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_rels/sheet12.xml.rels" ContentType="application/vnd.openxmlformats-package.relationships+xml"/>
  <Override PartName="/xl/worksheets/_rels/sheet13.xml.rels" ContentType="application/vnd.openxmlformats-package.relationships+xml"/>
  <Override PartName="/xl/worksheets/_rels/sheet14.xml.rels" ContentType="application/vnd.openxmlformats-package.relationships+xml"/>
  <Override PartName="/xl/worksheets/_rels/sheet15.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7.xml.rels" ContentType="application/vnd.openxmlformats-package.relationships+xml"/>
  <Override PartName="/xl/drawings/_rels/drawing8.xml.rels" ContentType="application/vnd.openxmlformats-package.relationships+xml"/>
  <Override PartName="/xl/drawings/_rels/drawing9.xml.rels" ContentType="application/vnd.openxmlformats-package.relationships+xml"/>
  <Override PartName="/xl/drawings/_rels/drawing10.xml.rels" ContentType="application/vnd.openxmlformats-package.relationships+xml"/>
  <Override PartName="/xl/drawings/_rels/drawing11.xml.rels" ContentType="application/vnd.openxmlformats-package.relationships+xml"/>
  <Override PartName="/xl/drawings/_rels/drawing12.xml.rels" ContentType="application/vnd.openxmlformats-package.relationships+xml"/>
  <Override PartName="/xl/drawings/_rels/drawing13.xml.rels" ContentType="application/vnd.openxmlformats-package.relationships+xml"/>
  <Override PartName="/xl/drawings/_rels/drawing14.xml.rels" ContentType="application/vnd.openxmlformats-package.relationships+xml"/>
  <Override PartName="/xl/drawings/_rels/drawing15.xml.rels" ContentType="application/vnd.openxmlformats-package.relationships+xml"/>
  <Override PartName="/xl/sharedStrings.xml" ContentType="application/vnd.openxmlformats-officedocument.spreadsheetml.sharedStrings+xml"/>
  <Override PartName="/xl/media/image1.png" ContentType="image/p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1" activeTab="13"/>
  </bookViews>
  <sheets>
    <sheet name="Ocorrências Mensais - FAT" sheetId="1" state="hidden" r:id="rId2"/>
    <sheet name="INSTRUÇÕES" sheetId="2" state="visible" r:id="rId3"/>
    <sheet name="Dados" sheetId="3" state="visible" r:id="rId4"/>
    <sheet name="Encargos" sheetId="4" state="visible" r:id="rId5"/>
    <sheet name="Insumos" sheetId="5" state="visible" r:id="rId6"/>
    <sheet name="EPI" sheetId="6" state="visible" r:id="rId7"/>
    <sheet name="Equip" sheetId="7" state="visible" r:id="rId8"/>
    <sheet name="Unif" sheetId="8" state="visible" r:id="rId9"/>
    <sheet name="Resumo" sheetId="9" state="visible" r:id="rId10"/>
    <sheet name="Servente Insalubre" sheetId="10" state="visible" r:id="rId11"/>
    <sheet name="Servente acúmulo de Copa" sheetId="11" state="visible" r:id="rId12"/>
    <sheet name="Zelador" sheetId="12" state="visible" r:id="rId13"/>
    <sheet name="Aux Adm" sheetId="13" state="visible" r:id="rId14"/>
    <sheet name="Custo Estimado Substituto" sheetId="14" state="visible" r:id="rId15"/>
    <sheet name="IPCA" sheetId="15" state="hidden" r:id="rId16"/>
  </sheets>
  <definedNames>
    <definedName function="false" hidden="false" localSheetId="12" name="_xlnm.Print_Area" vbProcedure="false">'Aux Adm'!$A$1:$J$47</definedName>
    <definedName function="false" hidden="false" localSheetId="2" name="_xlnm.Print_Area" vbProcedure="false">Dados!$A$1:$S$55</definedName>
    <definedName function="false" hidden="false" localSheetId="3" name="_xlnm.Print_Area" vbProcedure="false">Encargos!$A$1:$H$59</definedName>
    <definedName function="false" hidden="false" localSheetId="1" name="_xlnm.Print_Area" vbProcedure="false">INSTRUÇÕES!$A$1:$AA$83</definedName>
    <definedName function="false" hidden="false" localSheetId="4" name="_xlnm.Print_Area" vbProcedure="false">Insumos!$A$1:$L$81</definedName>
    <definedName function="false" hidden="false" localSheetId="10" name="_xlnm.Print_Area" vbProcedure="false">'Servente acúmulo de Copa'!$A$1:$J$47</definedName>
    <definedName function="false" hidden="false" localSheetId="9" name="_xlnm.Print_Area" vbProcedure="false">'Servente Insalubre'!$A$1:$J$47</definedName>
    <definedName function="false" hidden="false" localSheetId="7" name="_xlnm.Print_Area" vbProcedure="false">Unif!$A$1:$H$36</definedName>
    <definedName function="false" hidden="false" localSheetId="11" name="_xlnm.Print_Area" vbProcedure="false">Zelador!$A$1:$J$47</definedName>
    <definedName function="false" hidden="false" name="BS" vbProcedure="false">NA()</definedName>
    <definedName function="false" hidden="false" name="BT" vbProcedure="false">NA()</definedName>
    <definedName function="false" hidden="false" name="CIDADE" vbProcedure="false">NA()</definedName>
    <definedName function="false" hidden="false" name="CIDADES" vbProcedure="false">NA()</definedName>
    <definedName function="false" hidden="false" name="CPMF" vbProcedure="false">NA()</definedName>
    <definedName function="false" hidden="false" name="d" vbProcedure="false">NA()</definedName>
    <definedName function="false" hidden="false" name="ENCARGOS" vbProcedure="false">NA()</definedName>
    <definedName function="false" hidden="false" name="Excel_BuiltIn_Print_Area_1_1" vbProcedure="false">"$#REF!.$A$2:$C$99"</definedName>
    <definedName function="false" hidden="false" name="Excel_BuiltIn_Print_Area_6_1" vbProcedure="false">NA()</definedName>
    <definedName function="false" hidden="false" name="Excel_BuiltIn_Print_Area_7_1" vbProcedure="false">NA()</definedName>
    <definedName function="false" hidden="false" name="Excel_BuiltIn_Print_Area_8_1" vbProcedure="false">NA()</definedName>
    <definedName function="false" hidden="false" name="Excel_BuiltIn_Print_Area_9_1" vbProcedure="false">NA()</definedName>
    <definedName function="false" hidden="false" name="ISS" vbProcedure="false">NA()</definedName>
    <definedName function="false" hidden="false" name="Jornada" vbProcedure="false">NA()</definedName>
    <definedName function="false" hidden="false" name="TERRIT" vbProcedure="false">NA()</definedName>
    <definedName function="false" hidden="false" name="Tipo_de_Joranda_de_Trabalho" vbProcedure="false">NA()</definedName>
    <definedName function="false" hidden="false" name="TP_SERV" vbProcedure="false">NA()</definedName>
    <definedName function="false" hidden="false" name="TP_SERVPERC" vbProcedure="false">NA()</definedName>
    <definedName function="false" hidden="false" name="VRSELEC" vbProcedure="false">NA()</definedName>
    <definedName function="false" hidden="false" localSheetId="2" name="Print_Area_0" vbProcedure="false">Dados!$A$1:$S$55</definedName>
    <definedName function="false" hidden="false" localSheetId="3" name="Print_Area_0" vbProcedure="false">Encargos!$A$1:$H$59</definedName>
    <definedName function="false" hidden="false" localSheetId="4" name="Print_Area_0" vbProcedure="false">Insumos!$A$1:$L$81</definedName>
    <definedName function="false" hidden="false" localSheetId="7" name="Print_Area_0" vbProcedure="false">Unif!$A$1:$H$36</definedName>
    <definedName function="false" hidden="false" localSheetId="9" name="Print_Area_0" vbProcedure="false">'Servente Insalubre'!$A$1:$J$47</definedName>
    <definedName function="false" hidden="false" localSheetId="10" name="Print_Area_0" vbProcedure="false">'Servente acúmulo de Copa'!$A$1:$J$47</definedName>
    <definedName function="false" hidden="false" localSheetId="11" name="Print_Area_0" vbProcedure="false">Zelador!$A$1:$J$47</definedName>
    <definedName function="false" hidden="false" localSheetId="12" name="Print_Area_0" vbProcedure="false">'Aux Adm'!$A$1:$J$47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<sst xmlns="http://schemas.openxmlformats.org/spreadsheetml/2006/main" count="1307" uniqueCount="700">
  <si>
    <t xml:space="preserve">OCORRÊNCIAS MENSAIS DO FATURAMENTO </t>
  </si>
  <si>
    <t xml:space="preserve">UTILIZAÇÃO DO GESTOR CONTRATUAL PARA REALIZAÇÃO DO FATURAMENTO MENSAL</t>
  </si>
  <si>
    <t xml:space="preserve">DEFINIR BASE DE DESCONTOS/GLOSAS:</t>
  </si>
  <si>
    <t xml:space="preserve">MÊS CONTÁBIL</t>
  </si>
  <si>
    <r>
      <rPr>
        <b val="true"/>
        <sz val="10"/>
        <rFont val="Calibri"/>
        <family val="2"/>
        <charset val="1"/>
      </rPr>
      <t xml:space="preserve">INSTRUÇÕES DE PREENCHIMENTO
UTILIZAÇÃO EXCLUSIVA FISCAL/GESTOR
PARA AUXILIAR NO VALOR DE FATURAMENTO
Preencher as células destacadas na cor </t>
    </r>
    <r>
      <rPr>
        <b val="true"/>
        <sz val="10"/>
        <color rgb="FFFF0000"/>
        <rFont val="Calibri"/>
        <family val="2"/>
        <charset val="1"/>
      </rPr>
      <t xml:space="preserve">vermelha</t>
    </r>
    <r>
      <rPr>
        <b val="true"/>
        <sz val="10"/>
        <rFont val="Calibri"/>
        <family val="2"/>
        <charset val="1"/>
      </rPr>
      <t xml:space="preserve"> para realização dos cálculos das demais abas.
Não é necessário preenchimento de outras abas.</t>
    </r>
  </si>
  <si>
    <t xml:space="preserve">Informar número de Postos que não utilizam V.T.
(Coluna "D")</t>
  </si>
  <si>
    <t xml:space="preserve">Informar se titular do posto é optante pelo recebimento de V.T.
(Coluna "E")</t>
  </si>
  <si>
    <t xml:space="preserve">Desconto automático de V.T.
(Coluna "F")</t>
  </si>
  <si>
    <t xml:space="preserve">Preencher o número de dias (corridos) que o terceirizado que não recebe vt ficou afastado por férias ou faltas
(Coluna "G")</t>
  </si>
  <si>
    <t xml:space="preserve">Preencher nº de dias úteis em que o optante de V.T realizou trabalho em Home Office OU dias de Recesso Forense / Ponto facultativo
(Coluna "H")</t>
  </si>
  <si>
    <t xml:space="preserve">Conversão das horas de ausência em dias de ausência
(Coluna "I")</t>
  </si>
  <si>
    <t xml:space="preserve">Dias de ausência
(Coluna "J")</t>
  </si>
  <si>
    <t xml:space="preserve">Nº dias de faltas comuns sem substituição.
(Coluna "K")</t>
  </si>
  <si>
    <t xml:space="preserve">Informar número de dias por férias no mês (dias)
(Coluna "L")</t>
  </si>
  <si>
    <t xml:space="preserve">Desconto de V.A. por dias de recesso forense e/ou ponto facultativo.
(Coluna "M")</t>
  </si>
  <si>
    <t xml:space="preserve">Nº de dias corridos de férias sem substituição quando o adicional de insalubridade é passado para outra servente do quadro.
(Coluna "N")</t>
  </si>
  <si>
    <t xml:space="preserve">Somatório de glosas.
(Coluna "O")</t>
  </si>
  <si>
    <t xml:space="preserve">Somatório de acrésimo por substituição do posto insalubre por outro profissional do quadro.
(Coluna "P")</t>
  </si>
  <si>
    <t xml:space="preserve">Informativo sobre valor faturado por tipo de função.
(Coluna "Q")</t>
  </si>
  <si>
    <t xml:space="preserve">Informar código de elemento de despesa
(Coluna "S")</t>
  </si>
  <si>
    <t xml:space="preserve">INFORMATIVO PARA GESTÃO CONTRATUAL</t>
  </si>
  <si>
    <t xml:space="preserve">Quant</t>
  </si>
  <si>
    <t xml:space="preserve">Descrição das Categorias</t>
  </si>
  <si>
    <t xml:space="preserve">Carga Horária (horas)</t>
  </si>
  <si>
    <t xml:space="preserve">Nº Postos não optantes pelo recebimento de V.T.</t>
  </si>
  <si>
    <t xml:space="preserve">Realizar glosa por não fornecimento de V.T.?</t>
  </si>
  <si>
    <t xml:space="preserve">Dias de
Glosa V.T.
Para Não Optantes</t>
  </si>
  <si>
    <t xml:space="preserve">Ajuste de V.T para fornecimento para
postos Não Optantes</t>
  </si>
  <si>
    <t xml:space="preserve">Dias de Home Office OU Recesso para os postos Optantes de V.T.</t>
  </si>
  <si>
    <t xml:space="preserve">Dias de faltas após conversão das horas
(planilha auxiliar)</t>
  </si>
  <si>
    <t xml:space="preserve">Quant. Atrasos e Faltas</t>
  </si>
  <si>
    <t xml:space="preserve">Dias de Férias</t>
  </si>
  <si>
    <t xml:space="preserve">Dias de Glosas de V.A no Mês</t>
  </si>
  <si>
    <t xml:space="preserve">*1 Dias de Deslocamento de Insalubridade</t>
  </si>
  <si>
    <t xml:space="preserve">VALOR TOTAL GLOSADO</t>
  </si>
  <si>
    <t xml:space="preserve">VALOR TOTAL ACRESCIDO</t>
  </si>
  <si>
    <t xml:space="preserve">Valor Mensal 
Faturado com aplicação de descontos</t>
  </si>
  <si>
    <t xml:space="preserve">Elemento de Despesa </t>
  </si>
  <si>
    <t xml:space="preserve">VALOR DE RETENÇÃO CONTA VINCULADA</t>
  </si>
  <si>
    <t xml:space="preserve">CÓDIGOS ELEMENTO DE DESPESA</t>
  </si>
  <si>
    <t xml:space="preserve">FATURAMENTO MENSAL</t>
  </si>
  <si>
    <t xml:space="preserve">SIM</t>
  </si>
  <si>
    <t xml:space="preserve">ELEMENTO 2</t>
  </si>
  <si>
    <t xml:space="preserve">ELEMENTO 1</t>
  </si>
  <si>
    <t xml:space="preserve">VALOR TOTAL GLOSADOS</t>
  </si>
  <si>
    <t xml:space="preserve">OBSERVAÇÕES:</t>
  </si>
  <si>
    <t xml:space="preserve">1. Para apoio ao lançamento de ausências de horas, sugere-se a utilização da planilha complementar abaixo. O preenchimento das horas convertidas deve ocorrer na Coluna "I".</t>
  </si>
  <si>
    <t xml:space="preserve">Planilha auxiliar para conversão de horas de ausências em dias de faltas. (preenchimento coluna "I")</t>
  </si>
  <si>
    <t xml:space="preserve">Jornada</t>
  </si>
  <si>
    <t xml:space="preserve">Total de Horas</t>
  </si>
  <si>
    <t xml:space="preserve">Total de Minutos</t>
  </si>
  <si>
    <t xml:space="preserve">Conversão em Dias</t>
  </si>
  <si>
    <t xml:space="preserve">Obs: Informar a jornada de trabalho do posto analisado. Em sequência, informar as horas completas faltantes e posteriormente os minutos. Ex: 10:25h faltantes - Lançar 10 na célula "D22" e lançar 25 na célula "E22".
Lançar o resultado convertido na coluna "H".</t>
  </si>
  <si>
    <t xml:space="preserve">2. Na célula “N15” deverá ser informado a quantidade de dias em que o trabalho insalubre foi realizado por outra servente do quadro, durante as férias da Servente de Limpeza 40% insalubre - titular.</t>
  </si>
  <si>
    <t xml:space="preserve">ITEM</t>
  </si>
  <si>
    <t xml:space="preserve">DESCRIÇÃO DO MATERIAL DE IMPEZA
SERVENTES DE LIMPEZA</t>
  </si>
  <si>
    <t xml:space="preserve">GASTO MENSAL</t>
  </si>
  <si>
    <r>
      <rPr>
        <b val="true"/>
        <u val="single"/>
        <sz val="10"/>
        <rFont val="Calibri"/>
        <family val="2"/>
        <charset val="1"/>
      </rPr>
      <t xml:space="preserve">ANÁLISE CRÍTICA </t>
    </r>
    <r>
      <rPr>
        <b val="true"/>
        <sz val="10"/>
        <rFont val="Calibri"/>
        <family val="2"/>
        <charset val="1"/>
      </rPr>
      <t xml:space="preserve">SOBRE O FORNECIMENTO DOS MATERIAIS
ESTIMATIVA MENSAL x FORNECIMENTO EFETIVO
(INFORMAÇÃO COMO PARÂMETRO DE INDICATIVO)</t>
    </r>
  </si>
  <si>
    <t xml:space="preserve">REFERÊNCIA MENSAL PARA FORNECIMENTO</t>
  </si>
  <si>
    <t xml:space="preserve">Material</t>
  </si>
  <si>
    <t xml:space="preserve">Unid.</t>
  </si>
  <si>
    <t xml:space="preserve">Marcas de Referência</t>
  </si>
  <si>
    <t xml:space="preserve">QNTDE "REAL" FORNECIDA
NO MÊS</t>
  </si>
  <si>
    <t xml:space="preserve">Custo Mensal</t>
  </si>
  <si>
    <t xml:space="preserve">Quantidade Mensal</t>
  </si>
  <si>
    <t xml:space="preserve">Quantidade Total</t>
  </si>
  <si>
    <t xml:space="preserve">Periodicidade</t>
  </si>
  <si>
    <t xml:space="preserve">Divisor</t>
  </si>
  <si>
    <t xml:space="preserve">DESPESA MENSAL</t>
  </si>
  <si>
    <t xml:space="preserve">TAXA ADMINISTRATIVA</t>
  </si>
  <si>
    <t xml:space="preserve">LUCRO</t>
  </si>
  <si>
    <t xml:space="preserve">TRIBUTOS</t>
  </si>
  <si>
    <t xml:space="preserve">VALOR TOTAL COM MATERIAIS DE LIMPEZA</t>
  </si>
  <si>
    <t xml:space="preserve">MATERIAIS DE LIMPEZA COPA
COPEIRA</t>
  </si>
  <si>
    <t xml:space="preserve">VALOR TOTAL COM MATERIAIS DE COPA</t>
  </si>
  <si>
    <t xml:space="preserve">LISTA PARA OPÇÕES DE GLOSAS</t>
  </si>
  <si>
    <t xml:space="preserve">DIAS ÚTEIS (CONTRATO)</t>
  </si>
  <si>
    <t xml:space="preserve">Obs: Desconto por dias definidos em contrato.</t>
  </si>
  <si>
    <t xml:space="preserve">Obs: Desconto atualmente aplicado (30 dias corridos).</t>
  </si>
  <si>
    <t xml:space="preserve">DIAS DO MÊS VIGENTE</t>
  </si>
  <si>
    <t xml:space="preserve">Informar</t>
  </si>
  <si>
    <t xml:space="preserve">Obs: Desconto por dias úteis mensais, ocorrência variável, devendo ser informado mensalmente.</t>
  </si>
  <si>
    <t xml:space="preserve">JORNADA DE TRABALHO</t>
  </si>
  <si>
    <t xml:space="preserve">DIVISOR DE HORAS</t>
  </si>
  <si>
    <t xml:space="preserve">LISTA PARA TOTAL DE POSTOS</t>
  </si>
  <si>
    <t xml:space="preserve">Tribunal Regional Federal da 6ª Região</t>
  </si>
  <si>
    <t xml:space="preserve">Seção Judiciária de Minas Gerais</t>
  </si>
  <si>
    <t xml:space="preserve">Subseção Judiciária de Poços de Caldas</t>
  </si>
  <si>
    <t xml:space="preserve">INSTRUÇÕES DE PREENCHIMENTO - ANEXO X - PLANILHAS DE COMPOSIÇÃO DE CUSTOS</t>
  </si>
  <si>
    <t xml:space="preserve">1.</t>
  </si>
  <si>
    <t xml:space="preserve">SOMENTE SERÃO ACEITAS MODIFICAÇÕES NAS CÉLULAS DESTACADAS NA COR AMARELA COMO NO EXEMPLO ABAIXO:</t>
  </si>
  <si>
    <t xml:space="preserve">Células de livre edição.</t>
  </si>
  <si>
    <t xml:space="preserve">2.</t>
  </si>
  <si>
    <r>
      <rPr>
        <sz val="10"/>
        <rFont val="Calibri"/>
        <family val="2"/>
        <charset val="1"/>
      </rPr>
      <t xml:space="preserve">As demais células estarão </t>
    </r>
    <r>
      <rPr>
        <b val="true"/>
        <sz val="10"/>
        <rFont val="Calibri"/>
        <family val="2"/>
        <charset val="1"/>
      </rPr>
      <t xml:space="preserve">bloqueadas</t>
    </r>
    <r>
      <rPr>
        <sz val="10"/>
        <rFont val="Calibri"/>
        <family val="2"/>
        <charset val="1"/>
      </rPr>
      <t xml:space="preserve"> para edição das licitantes.</t>
    </r>
  </si>
  <si>
    <t xml:space="preserve">3.</t>
  </si>
  <si>
    <t xml:space="preserve">As Abas necessárias para o preenchimento estão organizadas em uma sequência lógica, sendo Dados; Encargos; Materiais (limpeza, copa e limpeza de veículos); EPI; Equipamentos; Uniforme.</t>
  </si>
  <si>
    <t xml:space="preserve">Os nomes das abas estarão abreviados para otimização da planilha.</t>
  </si>
  <si>
    <r>
      <rPr>
        <b val="true"/>
        <sz val="10"/>
        <rFont val="Calibri"/>
        <family val="2"/>
        <charset val="1"/>
      </rPr>
      <t xml:space="preserve">Sugere-se o preenchimento das seguintes abas em sequência: </t>
    </r>
    <r>
      <rPr>
        <sz val="10"/>
        <rFont val="Calibri"/>
        <family val="2"/>
        <charset val="1"/>
      </rPr>
      <t xml:space="preserve">Dados, Encargos, Materiais, EPI, Equipamentos e Uniforme, para a realização de cálculos completa da planilha de composição de custos.</t>
    </r>
  </si>
  <si>
    <t xml:space="preserve">3.1</t>
  </si>
  <si>
    <t xml:space="preserve">Estas Abas estarão destacadas na Cor Amarela.</t>
  </si>
  <si>
    <t xml:space="preserve">3.2</t>
  </si>
  <si>
    <t xml:space="preserve">PREENCHIMENTO ABA "DADOS"</t>
  </si>
  <si>
    <t xml:space="preserve"> - Informar piso salarial de cada categoria, correspondente à jornada de 220h. (Células "E7":"E10").</t>
  </si>
  <si>
    <t xml:space="preserve"> - Informar o percentual de acúmulo de função a ser aplicado. (Célula "I8").</t>
  </si>
  <si>
    <t xml:space="preserve"> - Informar o salário base para cálculo da atividade acumulada. (Célula "K8").</t>
  </si>
  <si>
    <t xml:space="preserve"> - Informar os Dados da Apresentação da Proposta e relacionados à Convenção Coletiva de Trabalho. Tais informações não interferem na execução de cálculos, servem apenas para instruir o processo da análise da proposta. (Células "E13:E17").</t>
  </si>
  <si>
    <t xml:space="preserve"> - Informar o percentual correspondente ao RAT, conforme atividade principal da licitante. (Célula "G23").</t>
  </si>
  <si>
    <t xml:space="preserve"> - Informar o fator correspondente ao FAP, conforme extraído do relatório FapWeb. (Célula "G24").</t>
  </si>
  <si>
    <t xml:space="preserve"> - Informar o valor do salário mínimo nacional vigente (base de cálculo para a cotação de insalubridade). (Célula "G27").</t>
  </si>
  <si>
    <t xml:space="preserve"> - Informar o valor unitário do Seguro de Vida, nos casos exigidos, conforme legislação vigente. (Célula "G30").</t>
  </si>
  <si>
    <t xml:space="preserve"> - Informar o valor unitário do Programa de Assistência Familiar - PAF, nos casos exigidos, conforme legislação vigente. (Célula "G31").</t>
  </si>
  <si>
    <t xml:space="preserve"> - Informar o valor unitário da tarifa de transporte público vigente à data de apresentação da proposta, conforme legislação vigente. (Célula "G32").</t>
  </si>
  <si>
    <t xml:space="preserve"> - Informar o quantitativo unitário diário de tarifas de transporte público (ex.: 1 tarifa para ida e 1 tarifa para volta = Total de 2 tarifas). (Célula "G33").</t>
  </si>
  <si>
    <t xml:space="preserve"> - Informar o percentual de desconto à título de participação do trabalhador em relação ao fornecimento de vale transporte, nos casos exigidos, conforme legislação vigente. (Célula "G34").</t>
  </si>
  <si>
    <t xml:space="preserve"> - Informar o valor unitário do ticket de Vale Alimentação, nos casos exigidos, conforme legislação vigente. (Célula "G36").</t>
  </si>
  <si>
    <t xml:space="preserve"> - Informar o percentual de desconto à título de participação do trabalhador em relação ao fornecimento de Vale Alimentação, nos casos exigidos, conforme legislação vigente. (Célula "G38").</t>
  </si>
  <si>
    <t xml:space="preserve"> - Incluir outros custos não previstos previamente, bem como descrevê-los, em caso de previsão legal, devendo ser apresentadas justificativas para a inserção. (Células "B39" e "G40").</t>
  </si>
  <si>
    <t xml:space="preserve"> - Informar o percentual relativo às Despesas Administrativas da licitante. (Células "G43").</t>
  </si>
  <si>
    <t xml:space="preserve"> - Informar o percentual relativo ao Lucro da licitante. (Células "G44").</t>
  </si>
  <si>
    <t xml:space="preserve"> - Informar a opção tributária da licitante (Células "F50") conforme legislação vigente, OBSERVANDO as instruções contantes na Célula "B47".</t>
  </si>
  <si>
    <t xml:space="preserve"> - Informar o percentual da alíquota COFINS (Células "G51") conforme legislação vigente, OBSERVANDO as instruções contantes na Célula "B47".</t>
  </si>
  <si>
    <t xml:space="preserve"> - Informar o percentual da alíquota PIS/PASEP (Células "G52") conforme legislação vigente, OBSERVANDO as instruções contantes na Célula "B47".</t>
  </si>
  <si>
    <t xml:space="preserve"> - Informar o percentual da alíquota ISSQN (Células "G53") conforme legislação vigente, OBSERVANDO as instruções contantes na Célula "B47".</t>
  </si>
  <si>
    <t xml:space="preserve"> - Incluir outros impostos não inseridos previamente, bem como descrevê-los, em caso de previsão legal, devendo ser apresentadas justificativas para a inserção. (Células "B54" e "G54").</t>
  </si>
  <si>
    <t xml:space="preserve"> - Alterar SOMENTE aqueles destacados na COR AMARELA.</t>
  </si>
  <si>
    <t xml:space="preserve">3.3</t>
  </si>
  <si>
    <t xml:space="preserve">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</si>
  <si>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</si>
  <si>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 "B59"), com as demais instruções cabíveis aos percentuais dispostos nesta Aba.</t>
  </si>
  <si>
    <t xml:space="preserve">3.4</t>
  </si>
  <si>
    <t xml:space="preserve">PREENCHIMENTO ABA "INSUMOS"</t>
  </si>
  <si>
    <t xml:space="preserve"> - Informar os valores unitários de cada item nas células destacadas em amarelo dispostas na "Coluna G", de acordo com sua descrição "Colunas B:E".</t>
  </si>
  <si>
    <t xml:space="preserve"> - Atentar-se para o preenchimento de todos os quadros dispostos nesta Aba, sendo:</t>
  </si>
  <si>
    <t xml:space="preserve"> - Materiais de Limpeza (Células "G9:G51)</t>
  </si>
  <si>
    <t xml:space="preserve"> - Materiais de Copa (Células "G59:G80)</t>
  </si>
  <si>
    <t xml:space="preserve"> - O preenchimento das células da Coluna "H" está permitida somente para inserção de Observações, caso necessário.</t>
  </si>
  <si>
    <t xml:space="preserve">3.5</t>
  </si>
  <si>
    <t xml:space="preserve">PREENCHIMENTO ABA "EPI"</t>
  </si>
  <si>
    <t xml:space="preserve"> - Informar os valores unitários de cada item nas células destacadas em amarelo dispostas na "Coluna D", de acordo com sua descrição "Colunas B:C".</t>
  </si>
  <si>
    <t xml:space="preserve">3.6</t>
  </si>
  <si>
    <t xml:space="preserve">PREENCHIMENTO ABA "EQUIPAMENTOS"</t>
  </si>
  <si>
    <t xml:space="preserve">3.7</t>
  </si>
  <si>
    <t xml:space="preserve">PREENCHIMENTO ABA "UNIFORMES"</t>
  </si>
  <si>
    <t xml:space="preserve"> - Informar os valores unitários de cada peça de uniforme nas células destacadas em amarelo dispostas na "Coluna G", de acordo com sua descrição "Colunas B:F".</t>
  </si>
  <si>
    <t xml:space="preserve"> - Atentar-se às descrições complementares dispostas nas "Especificações" que visam melhor entendimento dos itens de uniforme solicitados.</t>
  </si>
  <si>
    <t xml:space="preserve">4.</t>
  </si>
  <si>
    <r>
      <rPr>
        <sz val="10"/>
        <rFont val="Calibri"/>
        <family val="2"/>
        <charset val="1"/>
      </rPr>
      <t xml:space="preserve">Destaca-se que após o preenchimento destas Abas (de acordo com as instruções contidas no item 3), os preços individuais das </t>
    </r>
    <r>
      <rPr>
        <b val="true"/>
        <sz val="10"/>
        <rFont val="Calibri"/>
        <family val="2"/>
        <charset val="1"/>
      </rPr>
      <t xml:space="preserve">categorias</t>
    </r>
    <r>
      <rPr>
        <sz val="10"/>
        <rFont val="Calibri"/>
        <family val="2"/>
        <charset val="1"/>
      </rPr>
      <t xml:space="preserve"> profissionais serão refletidos automaticamente para as suas abas correspondentes (Serv Ins, Serv, Copeira, Zel ac. e Aux).</t>
    </r>
  </si>
  <si>
    <t xml:space="preserve">4.1</t>
  </si>
  <si>
    <r>
      <rPr>
        <b val="true"/>
        <sz val="10"/>
        <rFont val="Calibri"/>
        <family val="2"/>
        <charset val="1"/>
      </rPr>
      <t xml:space="preserve">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</si>
  <si>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 xml:space="preserve">4.2</t>
  </si>
  <si>
    <t xml:space="preserve">Estas abas estão destacadas na Cor Cinza.</t>
  </si>
  <si>
    <t xml:space="preserve">5.</t>
  </si>
  <si>
    <r>
      <rPr>
        <sz val="10"/>
        <rFont val="Calibri"/>
        <family val="2"/>
        <charset val="1"/>
      </rPr>
      <t xml:space="preserve">A Aba "</t>
    </r>
    <r>
      <rPr>
        <b val="true"/>
        <sz val="10"/>
        <rFont val="Calibri"/>
        <family val="2"/>
        <charset val="1"/>
      </rPr>
      <t xml:space="preserve">Resumo</t>
    </r>
    <r>
      <rPr>
        <sz val="10"/>
        <rFont val="Calibri"/>
        <family val="2"/>
        <charset val="1"/>
      </rPr>
      <t xml:space="preserve">" contém o detalhamento dos custos unitários por categoria profissional, além de conter o preço final da proposta.</t>
    </r>
  </si>
  <si>
    <t xml:space="preserve">5.1</t>
  </si>
  <si>
    <r>
      <rPr>
        <sz val="10"/>
        <rFont val="Calibri"/>
        <family val="2"/>
        <charset val="1"/>
      </rPr>
      <t xml:space="preserve">Para efeitos de lance/oferta, as licitantes devem considerar o valor da célula "W16", da Aba "Resumo", correspondente ao </t>
    </r>
    <r>
      <rPr>
        <b val="true"/>
        <sz val="10"/>
        <rFont val="Calibri"/>
        <family val="2"/>
        <charset val="1"/>
      </rPr>
      <t xml:space="preserve">VALOR MENSAL.</t>
    </r>
  </si>
  <si>
    <t xml:space="preserve">5.2</t>
  </si>
  <si>
    <t xml:space="preserve">Esta aba está destacada na Cor Azul.</t>
  </si>
  <si>
    <t xml:space="preserve">6.</t>
  </si>
  <si>
    <r>
      <rPr>
        <sz val="10"/>
        <rFont val="Calibri"/>
        <family val="2"/>
        <charset val="1"/>
      </rPr>
      <t xml:space="preserve">A Aba "</t>
    </r>
    <r>
      <rPr>
        <b val="true"/>
        <sz val="10"/>
        <rFont val="Calibri"/>
        <family val="2"/>
        <charset val="1"/>
      </rPr>
      <t xml:space="preserve">Custo Estimado Substituto</t>
    </r>
    <r>
      <rPr>
        <sz val="10"/>
        <rFont val="Calibri"/>
        <family val="2"/>
        <charset val="1"/>
      </rPr>
      <t xml:space="preserve">" contém valores estimados com os profissionais substitutos do titular em férias.</t>
    </r>
  </si>
  <si>
    <t xml:space="preserve">6.1</t>
  </si>
  <si>
    <t xml:space="preserve">Não será necessário realizar nenhuma alteração nesta aba, pois conterá apenas o reflexo dos dados preenchidos nas abas anteriores (conforme explicação nº 3).</t>
  </si>
  <si>
    <t xml:space="preserve">6.2</t>
  </si>
  <si>
    <t xml:space="preserve">ANEXO X - PLANILHA DE CUSTO E FORMAÇÃO DE PREÇO MENSAL ESTIMATIVO - PLANILHA DE DADOS</t>
  </si>
  <si>
    <t xml:space="preserve">Elemento de Despesa</t>
  </si>
  <si>
    <t xml:space="preserve">Quantidade de Postos</t>
  </si>
  <si>
    <t xml:space="preserve">Carga Horária
(Horas)</t>
  </si>
  <si>
    <t xml:space="preserve">*OBS 1 -
Salário Base I (Piso Para 220h/m)
(R$)</t>
  </si>
  <si>
    <t xml:space="preserve">Salário Base II
(Conforme Jornada Contratada)
(R$)</t>
  </si>
  <si>
    <t xml:space="preserve">
Insalubridade
Grau de Risco
(%)</t>
  </si>
  <si>
    <t xml:space="preserve">Valor Insalubridade
(R$)</t>
  </si>
  <si>
    <t xml:space="preserve">*OBS 2 -
Acúmulo de Função / Acréscimo Salarial
(%)</t>
  </si>
  <si>
    <t xml:space="preserve">*OBS 3 -
Tempo de Execução de Atividades em Acúmulo
(%)</t>
  </si>
  <si>
    <t xml:space="preserve">*OBS 4 -
Base Para Cálculo de Acúmulo de Função
(R$)</t>
  </si>
  <si>
    <t xml:space="preserve">Valor Acúmulo de Função
(R$)</t>
  </si>
  <si>
    <t xml:space="preserve">Remuneração Total
(Grupo A)
(R$)</t>
  </si>
  <si>
    <t xml:space="preserve">Uniforme
(R$)</t>
  </si>
  <si>
    <t xml:space="preserve">Material de Limpeza Rateado
(R$)</t>
  </si>
  <si>
    <t xml:space="preserve">Material de Copa Rateado
(R$)</t>
  </si>
  <si>
    <t xml:space="preserve">EPI</t>
  </si>
  <si>
    <t xml:space="preserve">Depreciação Rateada
(R$)</t>
  </si>
  <si>
    <t xml:space="preserve">CÓDIGO DE ELEMENTO DE DESPESA
(CONTROLE DA CONTRATANTE)</t>
  </si>
  <si>
    <t xml:space="preserve">índice de 7%</t>
  </si>
  <si>
    <t xml:space="preserve">valor da CCT 0165</t>
  </si>
  <si>
    <t xml:space="preserve">Servente de Limpeza 40% Insalubridade</t>
  </si>
  <si>
    <t xml:space="preserve">Servente de Limpeza  com acúmulo Copeira</t>
  </si>
  <si>
    <t xml:space="preserve">Zelador</t>
  </si>
  <si>
    <t xml:space="preserve">Auxiliar Administrativo</t>
  </si>
  <si>
    <t xml:space="preserve">OBS 1: Inserir piso salarial correspondente à jornada de 220h mensais.      OBS 2: Informar % de acúmulo de função.</t>
  </si>
  <si>
    <t xml:space="preserve">OBS 3: Informar % do tempo de acúmulo de função.   OBS 4: Informar salário base.</t>
  </si>
  <si>
    <t xml:space="preserve">TOTAL</t>
  </si>
  <si>
    <t xml:space="preserve">DADOS DA PROPOSTA</t>
  </si>
  <si>
    <t xml:space="preserve">Data de apresentação da proposta</t>
  </si>
  <si>
    <t xml:space="preserve">ABERTURA DA PROPOSTA</t>
  </si>
  <si>
    <t xml:space="preserve">Informar data de abertura do certame / data final para cadastro da proposta comercial.</t>
  </si>
  <si>
    <t xml:space="preserve">Sindicato utilizado</t>
  </si>
  <si>
    <t xml:space="preserve">SINSERTH x SINTAPPI</t>
  </si>
  <si>
    <t xml:space="preserve">Informar o sindicato utilizado pela Licitante.</t>
  </si>
  <si>
    <t xml:space="preserve">Número de registro da CCT - Código MTE</t>
  </si>
  <si>
    <t xml:space="preserve">MG001973/2025</t>
  </si>
  <si>
    <t xml:space="preserve">Informar o número de registro da Convenção Coletiva de Tralbalho utilizada no processo licitatório, junto ao Ministério do Trabalho e Emprego.</t>
  </si>
  <si>
    <t xml:space="preserve">Vigência da CCT utilizada</t>
  </si>
  <si>
    <t xml:space="preserve">01/04/2025 à 31/03/2026</t>
  </si>
  <si>
    <t xml:space="preserve">Informar a vigência da Convenção Coletiva de Trabalho utilizada no processo licitatório.</t>
  </si>
  <si>
    <t xml:space="preserve">Data base da categoria</t>
  </si>
  <si>
    <t xml:space="preserve">1 de abril</t>
  </si>
  <si>
    <t xml:space="preserve">Informar a data base da Convenção Coletiva de Trabalho utilizada no processo licitatório.</t>
  </si>
  <si>
    <t xml:space="preserve">ENCARGOS SOCIAIS E TRABALHISTAS</t>
  </si>
  <si>
    <t xml:space="preserve">-</t>
  </si>
  <si>
    <t xml:space="preserve">Percentual de Encargos (TOTAL)</t>
  </si>
  <si>
    <t xml:space="preserve">SAT - Seguro Acidentes Trabalho</t>
  </si>
  <si>
    <t xml:space="preserve">RAT (Atividade Principal)</t>
  </si>
  <si>
    <t xml:space="preserve">Informar percentual correspondente à atividade preponderante da Licitante.</t>
  </si>
  <si>
    <t xml:space="preserve">FAP (Conforme FapWeb)</t>
  </si>
  <si>
    <t xml:space="preserve">Informar Fator extraído do documento FapWeb da Licitante.</t>
  </si>
  <si>
    <t xml:space="preserve">SALÁRIO BASE PARE CÁLCULO DE INSALUBRIDADE</t>
  </si>
  <si>
    <t xml:space="preserve">SALÁRIO MINÍMO NACIONAL </t>
  </si>
  <si>
    <t xml:space="preserve">Informar base salarial para fins de cálculo de Insalubridade.</t>
  </si>
  <si>
    <t xml:space="preserve">BENEFÍCIOS</t>
  </si>
  <si>
    <t xml:space="preserve">Seguro de Vida em Grupo</t>
  </si>
  <si>
    <t xml:space="preserve">Inserir valor unitário mensal.</t>
  </si>
  <si>
    <t xml:space="preserve">Programa de Assistência Familiar - PAF</t>
  </si>
  <si>
    <t xml:space="preserve">Vale Transporte</t>
  </si>
  <si>
    <t xml:space="preserve">Valor da tarifa</t>
  </si>
  <si>
    <t xml:space="preserve">Inserir o valor unitário da tarifa.</t>
  </si>
  <si>
    <t xml:space="preserve">Número de Tarifas por dia</t>
  </si>
  <si>
    <t xml:space="preserve">Inserir a quantidade de tarifas diárias.</t>
  </si>
  <si>
    <t xml:space="preserve">Número de dias para fornecimento</t>
  </si>
  <si>
    <t xml:space="preserve">Número de dias utilizados para a precificação. Número determinado em edital. Não será permitido alteração.</t>
  </si>
  <si>
    <t xml:space="preserve">Custeio do trabalhador (participação legal)</t>
  </si>
  <si>
    <t xml:space="preserve">Inserir percentual de participação do trabalhador.</t>
  </si>
  <si>
    <t xml:space="preserve">Vale Alimentação</t>
  </si>
  <si>
    <t xml:space="preserve">Valor Unitário do Ticket</t>
  </si>
  <si>
    <t xml:space="preserve">Inserir valor unitário do Ticket.</t>
  </si>
  <si>
    <t xml:space="preserve">Outros (inserir somente com a justificativa legal)</t>
  </si>
  <si>
    <t xml:space="preserve">Inserir valor unitário mensal, quando preenchido, e apresentar as justificativas legais para inclusão.</t>
  </si>
  <si>
    <t xml:space="preserve">MONTANTE C</t>
  </si>
  <si>
    <t xml:space="preserve">Despesas Administrativas</t>
  </si>
  <si>
    <t xml:space="preserve">Informar percentual da Licitante.</t>
  </si>
  <si>
    <t xml:space="preserve">Lucro</t>
  </si>
  <si>
    <t xml:space="preserve">MONTANTE D</t>
  </si>
  <si>
    <t xml:space="preserve">OBS:</t>
  </si>
  <si>
    <t xml:space="preserve">Opção Tributária</t>
  </si>
  <si>
    <t xml:space="preserve">LUCRO REAL</t>
  </si>
  <si>
    <t xml:space="preserve">Informar opção tributária da Licitante. Atentar-se às observações do "Montante D".</t>
  </si>
  <si>
    <t xml:space="preserve">COFINS</t>
  </si>
  <si>
    <t xml:space="preserve">Informar percentual da Licitante. Atentar-se às observações do "Montante D".</t>
  </si>
  <si>
    <t xml:space="preserve">PIS/PASEP</t>
  </si>
  <si>
    <t xml:space="preserve">ISSQN</t>
  </si>
  <si>
    <t xml:space="preserve">Informar percentual do código tributário municipal, local da execução das atividades.</t>
  </si>
  <si>
    <t xml:space="preserve">Informar o tipo de tributo e apresentar as justificativas legais para inclusão. Informar percentual da Licitante. Atentar-se às observações do "Montante D".</t>
  </si>
  <si>
    <t xml:space="preserve">Soma dos tributos</t>
  </si>
  <si>
    <t xml:space="preserve">PREVISÃO DE REAJUSTE IPCA - 12 (DOZE) MESES DE CONTRATO - INFORMATIVO PARA SER UTILIZADO DURANTE A GESTÃO CONTRATUAL</t>
  </si>
  <si>
    <t xml:space="preserve">UNIFORME</t>
  </si>
  <si>
    <t xml:space="preserve">MATERIAIS
DIVERSOS</t>
  </si>
  <si>
    <t xml:space="preserve">EPI COVID</t>
  </si>
  <si>
    <t xml:space="preserve">SEG VIDA</t>
  </si>
  <si>
    <t xml:space="preserve">FATOR DE APLICAÇÃO
(2 CASAS DECIMAIS)</t>
  </si>
  <si>
    <t xml:space="preserve">DATA DE APROVAÇÃO IPCA</t>
  </si>
  <si>
    <t xml:space="preserve">DOCUMENTO RELACIONADO ID</t>
  </si>
  <si>
    <t xml:space="preserve">1º REAJUSTE IPCA</t>
  </si>
  <si>
    <t xml:space="preserve">Percentual (%) aprovado</t>
  </si>
  <si>
    <t xml:space="preserve">Aplicar reajuste após solicitação da contratada?</t>
  </si>
  <si>
    <t xml:space="preserve">NÃO</t>
  </si>
  <si>
    <t xml:space="preserve">2º REAJUSTE IPCA</t>
  </si>
  <si>
    <t xml:space="preserve">3º REAJUSTE IPCA</t>
  </si>
  <si>
    <t xml:space="preserve">4º REAJUSTE IPCA</t>
  </si>
  <si>
    <t xml:space="preserve">5º REAJUSTE IPCA</t>
  </si>
  <si>
    <t xml:space="preserve">CONTROLE DE REAJUSTE IPCA - UNIFORME</t>
  </si>
  <si>
    <t xml:space="preserve">APLICAR
VALOR</t>
  </si>
  <si>
    <t xml:space="preserve">INICIAL</t>
  </si>
  <si>
    <t xml:space="preserve">CONTROLE DE REAJUSTE IPCA - MATERIAIS DIVERSOS</t>
  </si>
  <si>
    <t xml:space="preserve">CONTROLE DE REAJUSTE IPCA - EPI COVID</t>
  </si>
  <si>
    <t xml:space="preserve">CONTROLE DE REAJUSTE IPCA - SEGURO DE VIDA</t>
  </si>
  <si>
    <t xml:space="preserve">VALOR INICIAL DO CONTRATO</t>
  </si>
  <si>
    <t xml:space="preserve">1º REAJUSTE POR IPCA</t>
  </si>
  <si>
    <t xml:space="preserve">2º REAJUSTE POR IPCA</t>
  </si>
  <si>
    <t xml:space="preserve">3º REAJUSTE POR IPCA</t>
  </si>
  <si>
    <t xml:space="preserve">4º REAJUSTE POR IPCA</t>
  </si>
  <si>
    <t xml:space="preserve">5º REAJUSTE POR IPCA</t>
  </si>
  <si>
    <t xml:space="preserve">HISTÓRICO - CONTROLE DE CONTRATO - VERSÃO DE PLANILHA DE CUSTOS</t>
  </si>
  <si>
    <t xml:space="preserve">Planilha / Proposta comercial - Início do contrato (Licitação)</t>
  </si>
  <si>
    <t xml:space="preserve">PLANILHA - ID</t>
  </si>
  <si>
    <t xml:space="preserve">Obs: Planiha apresentada e aceita durante a fase de lances.</t>
  </si>
  <si>
    <t xml:space="preserve">1º Termo Aditivo</t>
  </si>
  <si>
    <t xml:space="preserve">Obs: Planilha ajustada com o acréscimo de 1 posto "X" - 200h.</t>
  </si>
  <si>
    <t xml:space="preserve">1º Termo de Apostilamento</t>
  </si>
  <si>
    <t xml:space="preserve">Obs: Repactuação CCT 2024 / Alteração do salário mínimo nacional.</t>
  </si>
  <si>
    <t xml:space="preserve">INFORMAR TERMO ADITIVO / APOSTILAMENTO / ALTERAÇÃO CONTRATUAL</t>
  </si>
  <si>
    <t xml:space="preserve">Obs: Descrever alerações. EX: Como é realizado no Extrato.</t>
  </si>
  <si>
    <t xml:space="preserve">Planilha de Encargos Sociais e Trabalhistas</t>
  </si>
  <si>
    <t xml:space="preserve">ANEXO X</t>
  </si>
  <si>
    <t xml:space="preserve">INSTRUÇÕES DE PREENCHIMENTO - Informar/Alterar somente as células destacadas na Cor Amarela, de acordo com o percentual da Licitante.</t>
  </si>
  <si>
    <t xml:space="preserve">QUADRO RESUMO</t>
  </si>
  <si>
    <t xml:space="preserve">DESCRIÇÃO</t>
  </si>
  <si>
    <t xml:space="preserve">PERCENTUAL</t>
  </si>
  <si>
    <t xml:space="preserve">Grupo A</t>
  </si>
  <si>
    <t xml:space="preserve">Encargos Previdenciários, FGTS e Outras Contribuições</t>
  </si>
  <si>
    <t xml:space="preserve">PREVIDÊNCIA SOCIAL - INSS</t>
  </si>
  <si>
    <t xml:space="preserve">SESI ou SESC</t>
  </si>
  <si>
    <t xml:space="preserve">SENAI ou SENAC</t>
  </si>
  <si>
    <t xml:space="preserve">INCRA</t>
  </si>
  <si>
    <t xml:space="preserve">Salário Educação</t>
  </si>
  <si>
    <t xml:space="preserve">FGTS</t>
  </si>
  <si>
    <t xml:space="preserve">SAT - Seguro Acidentes Trabalho - (RAT x FAP)</t>
  </si>
  <si>
    <t xml:space="preserve">  Alterar FAP e RAT na aba "DADOS"</t>
  </si>
  <si>
    <t xml:space="preserve">SEBRAE</t>
  </si>
  <si>
    <t xml:space="preserve">Total Grupo A - Encargos previdenciários, FGTS e Outras Contribuições</t>
  </si>
  <si>
    <t xml:space="preserve">Grupo B</t>
  </si>
  <si>
    <t xml:space="preserve">Grupo B.1</t>
  </si>
  <si>
    <t xml:space="preserve">13º Salário</t>
  </si>
  <si>
    <t xml:space="preserve">Adicional de Férias</t>
  </si>
  <si>
    <t xml:space="preserve">Subtotal</t>
  </si>
  <si>
    <t xml:space="preserve">Incidência do Grupo A sobre 13º salário e adicional de férias</t>
  </si>
  <si>
    <t xml:space="preserve">Total Grupo B.1 - 13º salário e adicional de férias</t>
  </si>
  <si>
    <t xml:space="preserve">Grupo B.2</t>
  </si>
  <si>
    <t xml:space="preserve">Afastamento Maternidade</t>
  </si>
  <si>
    <t xml:space="preserve">Licença Maternidade</t>
  </si>
  <si>
    <t xml:space="preserve">Incidência do Grupo A sobre o afastamento maternidade</t>
  </si>
  <si>
    <t xml:space="preserve">Total Grupo B.2 - Afastamento maternidade</t>
  </si>
  <si>
    <t xml:space="preserve">Grupo B.3</t>
  </si>
  <si>
    <t xml:space="preserve">Provisão para Rescisão</t>
  </si>
  <si>
    <t xml:space="preserve">Aviso Prévio Indenizado</t>
  </si>
  <si>
    <t xml:space="preserve">Incidência do FGTS sobre o Aviso Prévio Indenizado</t>
  </si>
  <si>
    <t xml:space="preserve">Multa do FGTS do Aviso Prévio Indenizado</t>
  </si>
  <si>
    <t xml:space="preserve">Aviso Prévio Trabalhado</t>
  </si>
  <si>
    <t xml:space="preserve">Incidência do Grupo A sobre o Aviso Prévio Trabalhado </t>
  </si>
  <si>
    <t xml:space="preserve">Multa do FGTS do Aviso Prévio Trabalhado </t>
  </si>
  <si>
    <t xml:space="preserve">Total Grupo B.3 - Provisão para rescisão</t>
  </si>
  <si>
    <t xml:space="preserve">Grupo B.4</t>
  </si>
  <si>
    <t xml:space="preserve">Composição do Custo de Reposição do Profissional Ausente</t>
  </si>
  <si>
    <t xml:space="preserve">Remuneração do profissional substituto</t>
  </si>
  <si>
    <t xml:space="preserve">Ausência por doença</t>
  </si>
  <si>
    <t xml:space="preserve">Licença Paternidade</t>
  </si>
  <si>
    <t xml:space="preserve">Ausências Legais</t>
  </si>
  <si>
    <t xml:space="preserve">Ausência por acidente de trabalho</t>
  </si>
  <si>
    <t xml:space="preserve">PERCENTUAIS PARA CONTINGENCIAMENTO DE ENCARGOS TRABALHISTAS A SEREM APLICADOS SOBRE A NOTA FISCAL (UTILIZAÇÃO DURANTE A VIGÊNCIA CONTRATUAL)</t>
  </si>
  <si>
    <t xml:space="preserve">Incidência do submódulo 4.1 sobre custo de reposição</t>
  </si>
  <si>
    <t xml:space="preserve">Total Grupo B.4 - Custo de reposição do profissional ausente</t>
  </si>
  <si>
    <t xml:space="preserve">Título</t>
  </si>
  <si>
    <t xml:space="preserve">VARIAÇÃO RAT AJUSTADO 0,50% A 6%</t>
  </si>
  <si>
    <t xml:space="preserve">Grupo C</t>
  </si>
  <si>
    <t xml:space="preserve">Outros (especificar)</t>
  </si>
  <si>
    <t xml:space="preserve">EMPRESAS</t>
  </si>
  <si>
    <t xml:space="preserve">Indenização Adicional</t>
  </si>
  <si>
    <t xml:space="preserve">Grupo </t>
  </si>
  <si>
    <t xml:space="preserve">Mínimo</t>
  </si>
  <si>
    <t xml:space="preserve">Máximo</t>
  </si>
  <si>
    <t xml:space="preserve">LICITANTE</t>
  </si>
  <si>
    <t xml:space="preserve">Total Grupo C - Indenização Adicional</t>
  </si>
  <si>
    <t xml:space="preserve">SUBMÓDULO E.1 - da IN 02/2008 MPOG:</t>
  </si>
  <si>
    <t xml:space="preserve">Quadro Resumo - Encargos Sociais e Trabalhistas</t>
  </si>
  <si>
    <t xml:space="preserve">SAT (RATxFAP):</t>
  </si>
  <si>
    <t xml:space="preserve">13º salário</t>
  </si>
  <si>
    <t xml:space="preserve">13º Salário + Adicional de Férias</t>
  </si>
  <si>
    <t xml:space="preserve">Férias</t>
  </si>
  <si>
    <t xml:space="preserve">1/3 constitucional</t>
  </si>
  <si>
    <t xml:space="preserve">Custo de Rescisão</t>
  </si>
  <si>
    <t xml:space="preserve">Custo de Reposição do profissional Ausente</t>
  </si>
  <si>
    <t xml:space="preserve">Incidência do Grupo A (*)</t>
  </si>
  <si>
    <t xml:space="preserve">Multa do FGTS</t>
  </si>
  <si>
    <t xml:space="preserve">Total dos Encargos Sociais Trabalhistas</t>
  </si>
  <si>
    <t xml:space="preserve">Encargos a contingenciar</t>
  </si>
  <si>
    <t xml:space="preserve">Taxa da conta-corrente vinculada (inciso II art. 2º IN 001/2013</t>
  </si>
  <si>
    <t xml:space="preserve">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</si>
  <si>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 xml:space="preserve">Total a contingenciar</t>
  </si>
  <si>
    <t xml:space="preserve">ANEXO X - CUSTO ESTIMATIVO DE MATERIAIS DE LIMPEZA</t>
  </si>
  <si>
    <t xml:space="preserve">INSTRUÇÕES DE PREENCHIMENTO - Informar/Alterar somente as células destacadas na Cor Amarela, de acordo com o valor unitário da Licitante.</t>
  </si>
  <si>
    <t xml:space="preserve">VALORES UNITÁRIOS DO CONTRATO, CORRIGIDOS PELO REAJUSTE DE IPCA.</t>
  </si>
  <si>
    <t xml:space="preserve">DESCRIÇÃO DO MATERIAL</t>
  </si>
  <si>
    <t xml:space="preserve">REFERÊNCIA</t>
  </si>
  <si>
    <t xml:space="preserve">Quantidade</t>
  </si>
  <si>
    <t xml:space="preserve">Preço Unitário</t>
  </si>
  <si>
    <t xml:space="preserve">DIVISOR</t>
  </si>
  <si>
    <t xml:space="preserve">VALOR INICIAL DO CONTRATO
(Informar após o término da licitação)</t>
  </si>
  <si>
    <t xml:space="preserve">Ácido muriático, para limpeza pesada ácida desincrustante. Composição: ativo, tensoativo, não iônico e veiculo. Embalagem de 1 lt.</t>
  </si>
  <si>
    <t xml:space="preserve">unid.</t>
  </si>
  <si>
    <t xml:space="preserve">Start</t>
  </si>
  <si>
    <t xml:space="preserve">mensal</t>
  </si>
  <si>
    <t xml:space="preserve">Água sanitária galão de 5 litros, composição do produto: hipoclorito de sódio 2,5%, hidróxido de sódio e veículo, teor de cloro ativo entre 2,0 e 2,5% p/p.</t>
  </si>
  <si>
    <t xml:space="preserve">Galão</t>
  </si>
  <si>
    <t xml:space="preserve">Santa Clara</t>
  </si>
  <si>
    <t xml:space="preserve">trimestral</t>
  </si>
  <si>
    <t xml:space="preserve">Álcool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t>
  </si>
  <si>
    <t xml:space="preserve">Asseptgel</t>
  </si>
  <si>
    <t xml:space="preserve">Balde plástico em polietileno de alta densidade, alta resistência a impacto, com paredes e fundo reforçados, com reforço no encaixe da alça de aço zincado constando no corpo a marcado fabricante, capacidade de 12 litros.</t>
  </si>
  <si>
    <t xml:space="preserve">Arqplast</t>
  </si>
  <si>
    <t xml:space="preserve">semestral</t>
  </si>
  <si>
    <t xml:space="preserve">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t>
  </si>
  <si>
    <t xml:space="preserve">Azulim</t>
  </si>
  <si>
    <t xml:space="preserve">Cesto para lixo de 100 litros - tipo balde, com tampa e pedal - confeccionado em material de polipropileno ou poliestireno resistente, atóxico, com tampa sobreposta, duas alças laterais, cesto em formato redondo.</t>
  </si>
  <si>
    <t xml:space="preserve">unid</t>
  </si>
  <si>
    <t xml:space="preserve">anual</t>
  </si>
  <si>
    <t xml:space="preserve">Cloro liquido concentrado com teor ativo de no minimo 10 a 12% para limpeza pesada. Embalagem com 5 litros</t>
  </si>
  <si>
    <t xml:space="preserve">bimestral</t>
  </si>
  <si>
    <t xml:space="preserve">Desentupidor Pia: Tipo: Sanfonado, Com Alto Poder De Sucção. Material: Borracha Flexível, Composto Por Polipropileno E Borracha Termoplástica. Plástico Resistente, Cabo Longo, mínimo 20 CM.</t>
  </si>
  <si>
    <t xml:space="preserve">Oliveira e Azevedo</t>
  </si>
  <si>
    <t xml:space="preserve">Desentupidor Vaso Sanitário Material: Borracha Flexível, Medidas aproximadas: Comprimento Cabo: 50 CM, Altura: 10 CM, Diâmetro: 16 CM, Material Cabo: Madeira</t>
  </si>
  <si>
    <t xml:space="preserve">Canada</t>
  </si>
  <si>
    <t xml:space="preserve">Desodorizador de ambiente com 360ml. Aromatizador de Ambientes Aerosol, conteúdo 360ml/240g sem Cfc. Essências suaves. Aplicação: aromatizador ambiental. Embalagemdeverá conter externamente os dados de identificação, procedência, número do lote, validade e número do registro no Ministério da Saúde. Marca igual ou superior a Bom Ar, Glade ou Ultra Fresh.</t>
  </si>
  <si>
    <t xml:space="preserve">Glade</t>
  </si>
  <si>
    <t xml:space="preserve">Detergente clorado. Desenvolvido para desinfecção, limpeza e clareamento das superfícies em ambientes de fluxo alto, médio e baixo. Com excelente ação bactericida. Aprovação Anvisa. CHEFF Clorado diluído (1 x 10) (p/ vasos sanitários). Embalagem Galão com 5 litros.</t>
  </si>
  <si>
    <t xml:space="preserve">Cheff, Audax Gold, Renko</t>
  </si>
  <si>
    <t xml:space="preserve">Desinfetante concentrado líquido. Aroma floral. Embalagem com 5 litros. Desinfetante líquido a base de pinho, para uso geral, ação bactericida e germicida, com 5 litros. Acondicionado em embalagem plástica original do fabricante, com o nome do responsável técnico, o lote, data de fabricação, validade. </t>
  </si>
  <si>
    <t xml:space="preserve">Mirax Floral Bouquet</t>
  </si>
  <si>
    <t xml:space="preserve">Detergente líquido para louça, neutro, embalagem de 500ml, com tampa Push Pool. Deverá conter glicerina e ser testado e aprovado por dermatologistas. Com fórmula biodegradável. Deve possuir registro na Anvisa/Ministério da Saúde, o qual deverá estar impresso no rótulo.</t>
  </si>
  <si>
    <t xml:space="preserve">Limpol</t>
  </si>
  <si>
    <t xml:space="preserve">Escova para lavar multiuso, oval, base plástica e cerdas de escova para lavar multiuso, oval, base plástica e cerdas de nylon.</t>
  </si>
  <si>
    <t xml:space="preserve">Condor</t>
  </si>
  <si>
    <t xml:space="preserve">Escova Sanitária Redonda em plástico Branco contendo 01 escova para vaso sanitário e 01 suporte redondo: Branco Tamanho aprox.: 14 x 42 cm</t>
  </si>
  <si>
    <t xml:space="preserve">Limpamania</t>
  </si>
  <si>
    <t xml:space="preserve">Esponja Para Lavagem De Louças E Limpeza Em Geral, Dupla Face Sintética, Um Lado Em Espuma Poliuretano E Outro Em Fibra Sintética Abrasiva, Antibacteriana, Formato Retangular, Medindo Aproximadamente 110mm X 75mm X 20mm De Espessura. Pacote com 4 unidades.</t>
  </si>
  <si>
    <t xml:space="preserve">pacote</t>
  </si>
  <si>
    <t xml:space="preserve">Scotch-Brite</t>
  </si>
  <si>
    <t xml:space="preserve">Esponja de LÃ DE AÇO, composição básica: aço carbono abrasivo, p/ limpeza em geral, acondicionada em embalagem plástica original do fabricante, peso líquido aproximado de 60g, pacote c/ 08 unidades.</t>
  </si>
  <si>
    <t xml:space="preserve">Bombril</t>
  </si>
  <si>
    <t xml:space="preserve">Espanador de pó de penas nº 25. Medidas aproximadas: 25 cm de penas e 40 cm de cabo</t>
  </si>
  <si>
    <t xml:space="preserve">Duster</t>
  </si>
  <si>
    <t xml:space="preserve">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t>
  </si>
  <si>
    <t xml:space="preserve">Intextil</t>
  </si>
  <si>
    <t xml:space="preserve">Limpa Pedras Pisos, lajota removedor de encardido pedra e cerâmica - Ácido Sulfônico - 5 litro concentrado com baixo odor e pH ácido sinergicamente balanceado para uma ação rápida e eficaz. Limpeza pesada, sem danificar, de sujidades como terra, fuligem, ferrugem, incrustações e encardidos em geral.</t>
  </si>
  <si>
    <t xml:space="preserve">Pedrex</t>
  </si>
  <si>
    <t xml:space="preserve">Lustra Móveis, Embalagem de 200 ml, Emulsão aquosa cremosa, perfumada, para aplicação em móveis e superfícies lisas. aromas diversos. frasco plástico de 200ml com bico econômico. embalagem certificada pelo INMETRO contendo data de fabricação, validade.</t>
  </si>
  <si>
    <t xml:space="preserve">Ypê</t>
  </si>
  <si>
    <t xml:space="preserve">Multiuso para limpeza diária 500ml - Limpador Geral Multiuso, para remoção de gorduras, fuligem, poeira, marcas de dedos e de sapatos, riscos de lápis, etc. ingredientes: alquil benzeno sulfonato de sódio, álcool etoxilado, coadjuvantes, sequestrante, fragrância e água. frascos de 500 ml de produto (marca de referência: veja).</t>
  </si>
  <si>
    <t xml:space="preserve">Veja</t>
  </si>
  <si>
    <t xml:space="preserve">Multiuso Limpeza Pesada 500ml - composição: alquil benzeno sulfonato de sódio, solvente, coadjuvantes, conservante, sequestrante, corante, fragrância e água. tensoativo biodegradável. Frascos de 500 ml de produto (marca de referência: veja).</t>
  </si>
  <si>
    <t xml:space="preserve">Luva Segurança Com Forro. Material: 100% Látex Nitrílico, Tamanho: M ou G, Aplicação: Manuseio Reagente Químico E Radioativo, Características Adicionais: Com Forro, Sem Talco, Pulso Com Bainha, Modelo: Palma Antiderrapante, Cor: Verde, Tipo: Ambidestra</t>
  </si>
  <si>
    <t xml:space="preserve">Par</t>
  </si>
  <si>
    <t xml:space="preserve">Bettanin</t>
  </si>
  <si>
    <t xml:space="preserve">Mangueira para jardim, com 50 metros de extensão ou mais, antitorção, com engate de torneira e esguicho jato regulável</t>
  </si>
  <si>
    <t xml:space="preserve">Tramontina</t>
  </si>
  <si>
    <t xml:space="preserve">Pá p/ lixo em plástico resistente c/ cabo de madeira de aprox. 60cm de altura na vertical</t>
  </si>
  <si>
    <t xml:space="preserve">Papel higiênico branco, folha dupla, de alta qualidade, com dimensões 10cm X 30m, com a marca do fabricante e indicação na embalagem, absorvente e resistente, fardo com 64 rolos de 30 metros. Tipo Neve ou de melhor qualidade.</t>
  </si>
  <si>
    <t xml:space="preserve">Fardo com 64 rolos</t>
  </si>
  <si>
    <t xml:space="preserve">Neve</t>
  </si>
  <si>
    <t xml:space="preserve">Papel Toalha Interfolhado, 2 dobras, 100% fibras celulósicas, branco extra luxo, sem pintas ou outros tipos de sujidades, boa qualidade , medindo aproximadamente 23cm x 23 cm , acondicionado em caixa c/1000 folhas.</t>
  </si>
  <si>
    <t xml:space="preserve">Pacote</t>
  </si>
  <si>
    <t xml:space="preserve">Economy (Jofel) ou similar</t>
  </si>
  <si>
    <t xml:space="preserve">Pedra sanitária c/ 25g - com suporte para fixar no vaso sanitário. Desinfetante sanitário em pedra 25 g</t>
  </si>
  <si>
    <t xml:space="preserve">Harpic, Pato</t>
  </si>
  <si>
    <t xml:space="preserve">Rodo Plástico e borracha dupla expandida de 40cm de largura, acompanha cabo de madeira plastificado de aproximadamente 1,26m, com garras pontiagudas nas laterais para melhor fixar panos de chão.</t>
  </si>
  <si>
    <t xml:space="preserve">Brubalar</t>
  </si>
  <si>
    <t xml:space="preserve">Rodo Mop Limpa Vidros Cabo Extensor Telescópio - Dupla Face </t>
  </si>
  <si>
    <t xml:space="preserve">Sabão em barra glicerinado - cor neutra. Pacote com 5 de 200g cada unidade.</t>
  </si>
  <si>
    <t xml:space="preserve">Minuano</t>
  </si>
  <si>
    <t xml:space="preserve">Sabão em Pó – Caixa de 0,8 a 1Kg. Sabão em pó, convencional, de primeira linha. Para lavar roupas e limpeza em geral.</t>
  </si>
  <si>
    <t xml:space="preserve">cx.</t>
  </si>
  <si>
    <t xml:space="preserve">Omo ou similar</t>
  </si>
  <si>
    <t xml:space="preserve">Sapólio em pó 300g</t>
  </si>
  <si>
    <t xml:space="preserve">Sabonete líquido Concentrado, cremoso perolizado, pronto pra uso, aroma erva-doce, lavanda ou similar, galão de 05 litros.</t>
  </si>
  <si>
    <t xml:space="preserve">Nobre, Start, Ikebana</t>
  </si>
  <si>
    <t xml:space="preserve">Saco de Algodão Tipo: Alvejado, Tamanho: 60 X 80 CM, Cor: Branco, Características Adicionais: Dupla Face</t>
  </si>
  <si>
    <t xml:space="preserve">Santa Margarida</t>
  </si>
  <si>
    <t xml:space="preserve">Saco plástico reforçado para lixo em polietileno, com capacidade de 20 litros, com estanqueidade suficiente para que não haja vazamento de lixo líquido. com espessura mínima de 08 micra, na cor preta. Pacote com 100 unidades.</t>
  </si>
  <si>
    <t xml:space="preserve">Altaplast</t>
  </si>
  <si>
    <t xml:space="preserve">Saco plástico reforçado para lixo em polietileno, com capacidade de 60 litros, com estanqueidade suficiente para que não haja vazamento de lixo líquido. com espessura mínima de 09 micra, na cor preta. Pacote com 100 unidades.</t>
  </si>
  <si>
    <t xml:space="preserve">Polisac</t>
  </si>
  <si>
    <t xml:space="preserve">Saco plástico reforçado para lixo em polietileno, com capacidade de 100 litros, com estanqueidade suficiente para que não haja vazamento de lixo líquido. com espessura mínima de 10 micra, na cor preta. Pacote com 100 unidades.</t>
  </si>
  <si>
    <t xml:space="preserve">Vassoura Material Cerdas: Pêlo Sintético, Comprimento Cepa: 60 CM, Tipo Cabo: Reforçado, Material Cabo: Madeira</t>
  </si>
  <si>
    <t xml:space="preserve">Vassoura Material Cerdas: Piaçava, Aplicação: Limpeza, Material Cepa: Madeira, Comprimento Cepa: 40 CM, Comprimento Cerdas: 13 CM, Largura Cepa: 5 CM, Altura Cepa: 4 CM, Material Cabo: Madeira</t>
  </si>
  <si>
    <t xml:space="preserve">Noviça</t>
  </si>
  <si>
    <t xml:space="preserve">Suporte De Parede Organizador Para Vassouras E Esfregoes E Ferramentas, Com 4 ou 5 Posiçoes E Ganchos. Material De Aço Relaminado De Alta Densidade, Comprimento aprox. De 25Cm, Largura 3Cm</t>
  </si>
  <si>
    <t xml:space="preserve">Suporte fixo de parede giratório de metal para mangueira até 50 metros</t>
  </si>
  <si>
    <t xml:space="preserve">N°de Postos para Rateio</t>
  </si>
  <si>
    <t xml:space="preserve">Valor por Posto</t>
  </si>
  <si>
    <t xml:space="preserve">ANEXO X - CUSTO ESTIMATIVO DE MATERIAIS DE LIMPEZA COPA</t>
  </si>
  <si>
    <t xml:space="preserve">OBSERVAÇÕES</t>
  </si>
  <si>
    <t xml:space="preserve">Marca de Referência</t>
  </si>
  <si>
    <t xml:space="preserve">Açucar Cristal 5kg - origem vegetal, constituído fundamentalmente por sacarose de cana de açucar, sólido com cristais bem definidos, odor próprio do produto, sabor próprio do produto, composição básica centesimal do açucar cristal branco empacotado: sacarose concentração mínima de 99,6%, sais mineirais concentração máxima de 0,10%, unidade máxima de 0,07% outros componentes 0,23%. </t>
  </si>
  <si>
    <t xml:space="preserve">União</t>
  </si>
  <si>
    <t xml:space="preserve">Adoçante 100ml - adoçante líquido dietético, aspecto límpido e transparente, embalagem: frasco de 100 ml, tipo: adoçante líquido composição: sucralose (aditivo edulcorante de origem sintética), com exceção de outros aditivos ou substâncias químicas, conforme regulamentação da Anvisa. Embalagem: frasco conta-gotas, com tampa vedante para evitar desperdício e facilitar a dosagem precisa. Validade: de acordo com o prazo indicado pelo fabricante, devendo ser respeitado o prazo de validade para garantir a qualidade do produto. </t>
  </si>
  <si>
    <t xml:space="preserve">Linea</t>
  </si>
  <si>
    <t xml:space="preserve">Bimestral</t>
  </si>
  <si>
    <t xml:space="preserve">Álcool granel 65% galão com 5 litros </t>
  </si>
  <si>
    <t xml:space="preserve">Tupi ou similar</t>
  </si>
  <si>
    <t xml:space="preserve">Balde Material: Plástico, Material Alça: Arame Galvanizado, Capacidade: 10 L, Cor: Preta, Características Adicionais: Reforço Fundo E Borda</t>
  </si>
  <si>
    <t xml:space="preserve">Sanremo</t>
  </si>
  <si>
    <t xml:space="preserve">Café 500G - Café Em Pó, Torrado E Moído, 100% Arábica, Especial, Qualidade Superior, Devendo Ser Produzido Exclusivamente Com Grãos Sãos E Limpos, Em Pó, Moído E Torrado Em Processo De Torração Homogênea Na Cor Castanho Claro A Moderado Escuro, Sem Amargor, Sem Impurezas, Com Validade Mínima 6 Meses A Contar Da Data De Entrega. Deverá Conter O Selo Da Abic De Pureza e Qualidade Ou Selo Equivalente Que Comprove A Qualidade Superior. Embalagem 500G. O Produto Deve Ter Os Registros Nos Órgãos Competentes De Fiscalização E Estar De Acordo Com A Legislação Vigente.</t>
  </si>
  <si>
    <t xml:space="preserve">3 Corações Gourmet, Orfeu</t>
  </si>
  <si>
    <t xml:space="preserve">Coador de Café. Especificação: Em pano 100% algodão, cor branca, dimensões de 20cm (diâmetro) x 30cm (profundidade), cabo 16 cm de comprimento feito de arame de aço galvanizado revestido com PVC. O rótulo do produto deve estampar o nome do fabricante.</t>
  </si>
  <si>
    <t xml:space="preserve">Stolf</t>
  </si>
  <si>
    <t xml:space="preserve">Desentupidor Pia Material: Borracha Flexível, Cor: Preta , Material Cabo: Plástico Resistente , Comprimento Cabo: 20 CM, Tipo: Sanfonado</t>
  </si>
  <si>
    <t xml:space="preserve">Limpol ou similar</t>
  </si>
  <si>
    <t xml:space="preserve">Escova para limpeza de mamadeira/garrafa, tipo redonda, base de arame galvanizado, com cerdas 100% polipropileno, medindo 15cm, cabo de arame duplo retorcido e ferro galvanizado, medindo 15cm, mínimo de 30 cerdas por tufos</t>
  </si>
  <si>
    <t xml:space="preserve">Dynasty</t>
  </si>
  <si>
    <t xml:space="preserve">Esponja de LÃ DE AÇO, composição básica: aço carbono abrasivo, p/ limpeza em geral, acondicionada em embalagem plástica original do fabricante, peso líquido aproximado de 60g, pacote c/ 08 unidades</t>
  </si>
  <si>
    <t xml:space="preserve">Guardanapo de limpeza, em papel absorvente, folha simples, na cor branca, não gofrado, 4 dobras, dimensões mínimas 24cm x 22cm, 100% fibras naturais, embalado em pacote com 50 unidades, com dados do fabricante, data de fabricação e prazo de validade. Produto fabricado de acordo com as normas da ABNT/NBR. Do tipo Coquetel, Santepel, Snob ou de melhor qualidade</t>
  </si>
  <si>
    <t xml:space="preserve">Santepel</t>
  </si>
  <si>
    <t xml:space="preserve">Guardanapo de limpeza, em papel absorvente, folha simples, na cor branca, não gofrado, 4 dobras, dimensões mínimas 33 cm x 30 cm, 100% fibras naturais, embalado em pacote com 50 unidades, com dados do fabricante, data de fabricação e prazo de validade. Produto fabricado de acordo com as normas da ABNT/NBR. Do tipo Coquetel, Santepel, Snob ou de melhor qualidade</t>
  </si>
  <si>
    <t xml:space="preserve">Luva Segurança Com Forro. Material: 100% Látex Nitrílico, Tamanho: M ou G, Aplicação: Manuseio Reagente Químico E Radioativo , Características Adicionais: Com Forro, Sem Talco, Pulso Com Bainha , Modelo: Palma Antiderrapante, Cor: Verde ,Tipo: Ambidestra</t>
  </si>
  <si>
    <t xml:space="preserve">Pá para lixo, material: plástico com cabo, material cabo: madeira, comprimento cabo: 60cm, tamanho:24x16,5x7cm.</t>
  </si>
  <si>
    <t xml:space="preserve">Pano de copa aberto 100% dimensões mínimas 40x60cm</t>
  </si>
  <si>
    <t xml:space="preserve">Karsten</t>
  </si>
  <si>
    <t xml:space="preserve">Rodo plástico push 60cm com borracha dupla cabo 120cm. Especificação: com cepa de polipropileno; propriedades mínimas; cepa medindo 60cm de comprimento; eva; duplo; com espessura 3,5mm(+/- 0,05mm); cepa pesando 230g, cabo de madeira (cedrinho) revestido de polipropileno; 120cm gancho de polietileno de alta densidade; rosca de polietileno de baixa densidade; embalado em embalagem apropriada.</t>
  </si>
  <si>
    <t xml:space="preserve">Sabão em barra glicerinado - cor neutra. Pacote com 5 de 200g cada unidade</t>
  </si>
  <si>
    <t xml:space="preserve">Saco De Algodão Tipo: Alvejado, Tamanho: 60 X 80 CM, Cor: Branco, Características Adicionais: Dupla Face</t>
  </si>
  <si>
    <t xml:space="preserve">Uzzilim</t>
  </si>
  <si>
    <t xml:space="preserve">ANEXO X - CUSTO ESTIMATIVO DE EPI</t>
  </si>
  <si>
    <t xml:space="preserve">Valores em R$</t>
  </si>
  <si>
    <t xml:space="preserve">Item</t>
  </si>
  <si>
    <t xml:space="preserve">Especificação</t>
  </si>
  <si>
    <t xml:space="preserve">Quant.</t>
  </si>
  <si>
    <t xml:space="preserve">Valor Unitário</t>
  </si>
  <si>
    <t xml:space="preserve">Valor Total</t>
  </si>
  <si>
    <t xml:space="preserve">Repasse Mensal</t>
  </si>
  <si>
    <t xml:space="preserve">RELAÇÃO DE EPI</t>
  </si>
  <si>
    <t xml:space="preserve">Cinturão de segurança tipo paraquedista, mod. 3 pontas cfe. ABNT NBR 15836</t>
  </si>
  <si>
    <t xml:space="preserve">Talabarte com 2 conectores, classe A ou classe T, conforme ABNT NBR 15837</t>
  </si>
  <si>
    <t xml:space="preserve">Total de EPI do Zelador</t>
  </si>
  <si>
    <t xml:space="preserve">N° de Postos para Rateio</t>
  </si>
  <si>
    <t xml:space="preserve">Valor por posto</t>
  </si>
  <si>
    <t xml:space="preserve"> Bota Segurança Material: Pvc - Cloreto De Polivinila ,
Material Sola: Antiderrapante , Cor: Preta , Tipo Cano: Longo</t>
  </si>
  <si>
    <t xml:space="preserve">Total de EPI de Servente e Zelador</t>
  </si>
  <si>
    <t xml:space="preserve">ANEXO X - CUSTO ESTIMATIVO DE PREÇOS DE EQUIPAMENTOS</t>
  </si>
  <si>
    <t xml:space="preserve">Depreciação 10% ao Ano</t>
  </si>
  <si>
    <t xml:space="preserve">RELAÇÃO DE MÁQUINAS E EQUIPAMENTOS </t>
  </si>
  <si>
    <t xml:space="preserve">Escada doméstica, material alumínio, número degraus 7, 8 ou 9, características adicionais pés antiderrapantes, trava de segurança, capacidade 120 kg, tipo dobrável.</t>
  </si>
  <si>
    <t xml:space="preserve">Escada doméstica, material alumínio, número degraus 16, características adicionais pésantiderrapantes, trava de segurança, capacidade 120 kg, tipo dobrável.</t>
  </si>
  <si>
    <t xml:space="preserve">Furadeira 5/8, potência mínima de 760w, marca Bosch ou Makita</t>
  </si>
  <si>
    <t xml:space="preserve">Jogo de brocas para madeira e metal, com no mínimo 10 peças</t>
  </si>
  <si>
    <t xml:space="preserve">Tesoura para corte de grama mínimo 48cm, qualidade superior - Profissional</t>
  </si>
  <si>
    <t xml:space="preserve">Aparador de grama. Potência mínima do motor de 1.500w, com cabo bipartido e punho ergonômico, com ajuste regulável. Voltagem 220V. Trava para extensão elétrica, fio de nylon com avanço automático. Garantia mínima 12 meses.</t>
  </si>
  <si>
    <t xml:space="preserve">Roçadeira Cortador de grama do tipo Roçadeira - Profissional - À Gasolina - mínimo 2 tempos</t>
  </si>
  <si>
    <t xml:space="preserve">Total da Depreciação de Máquinas e Equipamentos</t>
  </si>
  <si>
    <t xml:space="preserve">N° de postos para Rateio</t>
  </si>
  <si>
    <t xml:space="preserve">ANEXO X - CUSTO ESTIMATIVO DE PREÇOS DOS UNIFORMES</t>
  </si>
  <si>
    <t xml:space="preserve">Serviços de Limpeza e Conservação</t>
  </si>
  <si>
    <t xml:space="preserve">CATEGORIA</t>
  </si>
  <si>
    <t xml:space="preserve">QUANT.</t>
  </si>
  <si>
    <t xml:space="preserve">DESCRIÇÃO DE UNIFORME</t>
  </si>
  <si>
    <t xml:space="preserve">CORES</t>
  </si>
  <si>
    <t xml:space="preserve">TOTAL DO QUANTITATIVO</t>
  </si>
  <si>
    <t xml:space="preserve">PREÇO UNITÁRIO</t>
  </si>
  <si>
    <t xml:space="preserve">Servente </t>
  </si>
  <si>
    <t xml:space="preserve">Calça</t>
  </si>
  <si>
    <t xml:space="preserve">Calça com elástico
Material: brim leve misto 67% Algodão / 33% Poliéster; Modelo: Unissex; Quantidade Bolsos: 2 Laterais E 2 Traseiros; Tipo Cós: Com Elástico E Pala; Modelo: unissex; características adicionais: com elástico e cordão na cintura, sem fecho, tamanhos PP, P, M, G, GG e EX. 
Cor: Preta.</t>
  </si>
  <si>
    <t xml:space="preserve">Preta</t>
  </si>
  <si>
    <t xml:space="preserve">Camisa</t>
  </si>
  <si>
    <t xml:space="preserve">Camiseta Malha
Modelo unissex, confeccionado em Malha PV, com gramatura de 180g/m² ou superior, em tecido sem transparência, com manga curta, sem punho. Gola redonda e barra reta. Logotipo da empresa em silk screen.
COR: azul marinho, cinza chumbo ou preta.</t>
  </si>
  <si>
    <t xml:space="preserve">Azul marinho, cinza chumbo ou preta.</t>
  </si>
  <si>
    <t xml:space="preserve">TOTAL DE POSTOS</t>
  </si>
  <si>
    <t xml:space="preserve">Jaleco</t>
  </si>
  <si>
    <t xml:space="preserve">Jaleco
Modelo em brim, confeccionado preferencialmente em 100% algodão. Gola modelo italiana. fechamento em botão. Frente com 3 (três) bolsos, sendo um na altura do peito e dois na altura da cintura. Botões e aviamentos na cor do tecido. Logotipo da empresa bordado.
COR: azul marinho, cinza chumbo ou preto.</t>
  </si>
  <si>
    <t xml:space="preserve">Jaqueta</t>
  </si>
  <si>
    <t xml:space="preserve">Jaqueta
Forrada, gola padre, fechamento frontal com zíper aparente de nylon de primeira qualidade, punhos e cós com elástico, dois bolsos laterais embutidos fundos e grandes, acabamento retilíneo. Confeccionada em moletom, sendo 70% algodão e 30% poliéster. Características adicionais: sem capuz, aviamento e zíper na mesma cor do tecido e logotipo da empresa bordado.
COR: azul marinho, cinza chumbo ou preto</t>
  </si>
  <si>
    <t xml:space="preserve">Soma</t>
  </si>
  <si>
    <t xml:space="preserve">CÁLCULO VALOR DO REPASSE MENSAL SERVENTE DE LIMPEZA </t>
  </si>
  <si>
    <t xml:space="preserve"> Copeira</t>
  </si>
  <si>
    <t xml:space="preserve">Avental</t>
  </si>
  <si>
    <t xml:space="preserve">Avental Copeira - 1,20 x 0,60 m (Tecido Oxford). Cor: Preta , Características Adicionais: 2 Bolsos Dianteiros , Tamanho: Longo.
COR: branca</t>
  </si>
  <si>
    <t xml:space="preserve">Branco</t>
  </si>
  <si>
    <t xml:space="preserve">Touca</t>
  </si>
  <si>
    <t xml:space="preserve">Touca Copeira em tecido tule com lycra com aba 
COR: branca</t>
  </si>
  <si>
    <t xml:space="preserve">CÁLCULO VALOR DO REPASSE MENSAL ACÚMULO COPEIRA</t>
  </si>
  <si>
    <t xml:space="preserve">Calça Jeans
Calça jeans com 2 bolsos na frente e 2 bolsos externos atrás, com passador para cinto, fechamento em ziper e botão. Calça modelo em corte reto tradicional, confeccionada em jeans com elastano, sendo, no mínimo 97% algodão e 3% elastano. Frente com 2 bolsos embutidos e zíper de metal com um botão no cós para fechamento. Parte de trás com dois bolsos. Cós total no próprio tecido com 5 (cinco) passadores de cinto.
COR: azul marinho</t>
  </si>
  <si>
    <t xml:space="preserve">Azul Marinho</t>
  </si>
  <si>
    <t xml:space="preserve">Camisa Polo
Camisa Polo - Material: Piquet | Tipo Manga: Meia Manga | Tipo Colarinho: Gola Polo | Cor: Cinza Claro | Tamanho: P, M, G, GG. Confeccionada em malha Piquet ou similar, sendo 50% poliéster e 50% algodão, em tecido não transparente com gramatura entre 190 a 220g/m². Modelo gola: tipo colarinho, com pé de gola, pespontada, com um botão para fechamento. Manga curta simples, sem botões. Comprimento alongado para permitir colocar dentro da calça. Aviamento e botões na mesma cor do tecido. Logotipo da empresa bordado no lado esquerdo. Sem bolsos. Etiqueta de composição e identificação do tecido, confecção, tamanho da peça e instruções de lavagem, conforme determinação do INMETRO.
COR: azul marinho, cinza chumbo ou preta.</t>
  </si>
  <si>
    <t xml:space="preserve">CÁLCULO VALOR DO REPASSE MENSAL  DE ZELADOR</t>
  </si>
  <si>
    <t xml:space="preserve">Calça Social
Feminino: Modelo social, confeccionada em tecido Gabardine com elastano (lado interno acetinado), 95% poliéster, 5% elastano, 1ª qualidade ou confeccionada em tecido plano encorpado 74% Poliéster, 20% Viscose, 6% Elastano. Modelo: Sem pregas, com cós alto. Frente: fechável por zíper comum de nylon fino trava automática, com 01(um) botão no cós na cor do tecido para fechamento, e gancho metálico interno. Cós no próprio tecido entretelado com 6 passadores. Traseira: 2 (dois) pences. Barra: Máquina reta. Aviamento e botões na mesma cor do tecido. Etiqueta de composição e identificação do tecido, forro, confecção, tamanho da peça e instruções de lavagem, conforme determinação do INMETRO.
Masculino: Modelo social, confeccionada em Microfibra 100% poliéster maquinetada, sem pregas, 2 bolsos na frente tipo faca, 2 bolsos traseiros sendo um bolso do lado direito e um do lado esquerdo, embutidos sem portinhola, cerzidos, 1 pinchal em cada, fechamento por caseado e 1 botão. Ziper de nylon 18 cm trava automática; Cós no próprio tecido entretelado, fechável por gancho metálico e 1 botão na extensão, com 8 passantes de 1 cm; forro de bolso: 50% poliéster e 50% algodão na cor do tecido. Aviamento e botões na mesma cor do tecido. Etiqueta de composição e identificação do tecido, forro, confecção, tamanho da peça e instruções de lavagem, conforme determinação do INMETRO.
Cor: azul marinho, cinza chumbo ou preta.</t>
  </si>
  <si>
    <t xml:space="preserve">Calçado</t>
  </si>
  <si>
    <t xml:space="preserve">Tênis
Tênis maleável de nylon, com solado em borracha antiderrapante, forro e palmilha espumados, com acolchoamento no calcanhar. Fechamento em cadarço, com passador em cordão.
COR: preto</t>
  </si>
  <si>
    <t xml:space="preserve">Preto</t>
  </si>
  <si>
    <t xml:space="preserve">CÁLCULO VALOR DO REPASSE MENSAL AUXILIAR ADMINISTRATIVO</t>
  </si>
  <si>
    <t xml:space="preserve">ANEXO X - PLANILHA DE CUSTO E FORMAÇÃO DE PREÇO MENSAL ESTIMATIVO INTEGRAL - RESUMO</t>
  </si>
  <si>
    <t xml:space="preserve">MÊS: </t>
  </si>
  <si>
    <t xml:space="preserve">VALORES EM R$</t>
  </si>
  <si>
    <t xml:space="preserve">ELEMENTO DE DESPESA</t>
  </si>
  <si>
    <t xml:space="preserve">CATEGORIA PROFISSIONAL</t>
  </si>
  <si>
    <t xml:space="preserve">TOTAL DO FATURAMENTO MENSAL</t>
  </si>
  <si>
    <t xml:space="preserve">CUSTO MENSAL</t>
  </si>
  <si>
    <t xml:space="preserve">GLOSA VALE TRANSPORTE</t>
  </si>
  <si>
    <t xml:space="preserve">GLOSA DE ATRASOS, FALTAS E DESCONTO DO TITULAR EM FÉRIAS (sem material)</t>
  </si>
  <si>
    <t xml:space="preserve">GLOSA VALE ALIMENTAÇÃO</t>
  </si>
  <si>
    <t xml:space="preserve">TOTAL GLOSAS</t>
  </si>
  <si>
    <t xml:space="preserve">ACRÉSCIMO DE INSALUBRIDADE</t>
  </si>
  <si>
    <t xml:space="preserve">Homem-Mês</t>
  </si>
  <si>
    <t xml:space="preserve">Custo Mensal  do vale-transporte da categoria com Encargos</t>
  </si>
  <si>
    <t xml:space="preserve">GLOSA </t>
  </si>
  <si>
    <t xml:space="preserve">Glosa de Atrasos e Faltas</t>
  </si>
  <si>
    <t xml:space="preserve">Desconto Mensal do Titular em Férias sem substituição</t>
  </si>
  <si>
    <t xml:space="preserve">Desconto de Vale Alimentação em recesso forense ou ponto facultativo.</t>
  </si>
  <si>
    <t xml:space="preserve">Total da Glosa de Atrasos, Faltas, Desconto do Titular em Férias sem substituição e Desconto de V.A para recessos.</t>
  </si>
  <si>
    <t xml:space="preserve">PAGAMENTO INSALUBRIDADE EM SUBSTITUIÇÃO</t>
  </si>
  <si>
    <t xml:space="preserve">Custo Unitário da categoria</t>
  </si>
  <si>
    <t xml:space="preserve">Custo Mensal da categoria</t>
  </si>
  <si>
    <t xml:space="preserve">Dias de afastamento</t>
  </si>
  <si>
    <t xml:space="preserve">Valor da Glosa do vale transporte da categoria</t>
  </si>
  <si>
    <t xml:space="preserve">Custo Homem-Mês               (sem material)</t>
  </si>
  <si>
    <t xml:space="preserve">Valor da Glosa de Atrasos e Faltas</t>
  </si>
  <si>
    <t xml:space="preserve">Custo Unitário da categoria Planilha de Férias</t>
  </si>
  <si>
    <t xml:space="preserve">Valor do Desconto Mensal </t>
  </si>
  <si>
    <t xml:space="preserve">Custo Mensal  do vale alimentação da categoria com Encargos</t>
  </si>
  <si>
    <t xml:space="preserve">Dias de Recesso e/ou ponto facultativo</t>
  </si>
  <si>
    <t xml:space="preserve">Valor da Glosa do vale alimentação da categoria</t>
  </si>
  <si>
    <t xml:space="preserve">Valor Insalubridade por dia</t>
  </si>
  <si>
    <t xml:space="preserve">Quantidade de Dias</t>
  </si>
  <si>
    <t xml:space="preserve">Valor Devido</t>
  </si>
  <si>
    <t xml:space="preserve">TOTAL DO FATURAMENTO MENSAL </t>
  </si>
  <si>
    <t xml:space="preserve">Valor para Lance - Registro de oferta</t>
  </si>
  <si>
    <t xml:space="preserve">VALOR DO MATERIAL</t>
  </si>
  <si>
    <t xml:space="preserve">TOTAL DO FATURAMENTO ANUAL</t>
  </si>
  <si>
    <t xml:space="preserve">2. Na célula “R12” deverá ser informado a quantidade de dias em que o trabalho insalubre foi realizado por outra servente do quadro, durante as férias da titular.</t>
  </si>
  <si>
    <t xml:space="preserve">Planilha de Custo e Formação de Preço Mensal Por Categoria Profissional</t>
  </si>
  <si>
    <t xml:space="preserve">COM MATERIAL</t>
  </si>
  <si>
    <t xml:space="preserve">SEM MATERIAL</t>
  </si>
  <si>
    <t xml:space="preserve">CUSTO DE VALE ALIMENTAÇÃO</t>
  </si>
  <si>
    <t xml:space="preserve">CUSTO DE VALE-TRANSPORTE</t>
  </si>
  <si>
    <t xml:space="preserve">CUSTO INSALUBRIDADE</t>
  </si>
  <si>
    <t xml:space="preserve">33390.37.02 - Limpeza e Conservação</t>
  </si>
  <si>
    <t xml:space="preserve">MONTANTE "A" - Mão de Obra</t>
  </si>
  <si>
    <t xml:space="preserve">Função</t>
  </si>
  <si>
    <t xml:space="preserve">Carga Horária Mensal</t>
  </si>
  <si>
    <t xml:space="preserve"> Salário Base</t>
  </si>
  <si>
    <t xml:space="preserve">Adicional de Insalubridade</t>
  </si>
  <si>
    <t xml:space="preserve">Adicional Acúmulo de Função</t>
  </si>
  <si>
    <t xml:space="preserve">TOTAL DA REMUNERAÇÃO</t>
  </si>
  <si>
    <t xml:space="preserve">Encargos sociais e trabalhistas                         </t>
  </si>
  <si>
    <t xml:space="preserve">Total do Montante "A" ( Mão de Obra)</t>
  </si>
  <si>
    <t xml:space="preserve">MONTANTE "B" - INSUMOS</t>
  </si>
  <si>
    <t xml:space="preserve">Itens</t>
  </si>
  <si>
    <t xml:space="preserve">Valores Unitários</t>
  </si>
  <si>
    <t xml:space="preserve">Uniforme</t>
  </si>
  <si>
    <t xml:space="preserve">Seguro de vida  </t>
  </si>
  <si>
    <t xml:space="preserve">Material de Limpeza</t>
  </si>
  <si>
    <t xml:space="preserve">Material de Copa</t>
  </si>
  <si>
    <t xml:space="preserve">Depreciação de Equipamentos</t>
  </si>
  <si>
    <t xml:space="preserve">Total do Montante "B" (Insumos)</t>
  </si>
  <si>
    <t xml:space="preserve">Montante "A" + Montante "B"</t>
  </si>
  <si>
    <t xml:space="preserve">MONTANTE "C" - DEMAIS COMPONENTES</t>
  </si>
  <si>
    <t xml:space="preserve">ITENS</t>
  </si>
  <si>
    <t xml:space="preserve">Percentual</t>
  </si>
  <si>
    <t xml:space="preserve">Despesas administrativas/operacionais</t>
  </si>
  <si>
    <t xml:space="preserve">Base de cálculo do lucro</t>
  </si>
  <si>
    <t xml:space="preserve">Total do Montante "C" (Demais componentes)</t>
  </si>
  <si>
    <t xml:space="preserve">Montante "A" + Montante "B" + Montante "C"</t>
  </si>
  <si>
    <t xml:space="preserve">MONTANTE "D" - TRIBUTOS</t>
  </si>
  <si>
    <t xml:space="preserve">Total do Montante "D" (Tributos)</t>
  </si>
  <si>
    <t xml:space="preserve">FATOR K</t>
  </si>
  <si>
    <t xml:space="preserve">Deslocamento Insalubridade</t>
  </si>
  <si>
    <t xml:space="preserve">Valores Unitarios</t>
  </si>
  <si>
    <t xml:space="preserve">33390.37.01 - Serviços Administrativos</t>
  </si>
  <si>
    <t xml:space="preserve">ANEXO X - PLANILHA DE CUSTO E FORMAÇÃO DE PREÇO MENSAL ESTIMATIVO DO PROFISSIONAL SUBSTITUTO DO TITULAR EM FÉRIAS </t>
  </si>
  <si>
    <t xml:space="preserve">DESCRIÇÃO </t>
  </si>
  <si>
    <t xml:space="preserve">4.5</t>
  </si>
  <si>
    <t xml:space="preserve">Valor em R$</t>
  </si>
  <si>
    <t xml:space="preserve">Módulo 1 - Total da Remuneração</t>
  </si>
  <si>
    <t xml:space="preserve">A</t>
  </si>
  <si>
    <t xml:space="preserve">G</t>
  </si>
  <si>
    <t xml:space="preserve">Total do Custo MENSAL de Reposição do Profissional Ausente em Férias</t>
  </si>
  <si>
    <t xml:space="preserve">Total do Custo ANUAL de Reposição do Profissional Ausente em Férias</t>
  </si>
  <si>
    <t xml:space="preserve">Módulo 2 - Benefícios Mensais e Diários</t>
  </si>
  <si>
    <t xml:space="preserve">Vale-Alimentação</t>
  </si>
  <si>
    <t xml:space="preserve">B</t>
  </si>
  <si>
    <t xml:space="preserve">Vale-Transporte</t>
  </si>
  <si>
    <t xml:space="preserve">C</t>
  </si>
  <si>
    <t xml:space="preserve">Outros (sem concessão do intervalo intrajornada)</t>
  </si>
  <si>
    <t xml:space="preserve">Total de Benefícios Mensais e Diários</t>
  </si>
  <si>
    <t xml:space="preserve">Módulo 5 - Custos Indiretos, Lucros e Tributos</t>
  </si>
  <si>
    <t xml:space="preserve">Custos Indiretos (Despesas Operacionais e Administrativas)</t>
  </si>
  <si>
    <t xml:space="preserve">Tributos</t>
  </si>
  <si>
    <t xml:space="preserve">C.1</t>
  </si>
  <si>
    <t xml:space="preserve">Tributos Federais (PIS E COFINS)</t>
  </si>
  <si>
    <t xml:space="preserve">C.2</t>
  </si>
  <si>
    <t xml:space="preserve">Tributos Estaduais (especificar)</t>
  </si>
  <si>
    <t xml:space="preserve">C.3</t>
  </si>
  <si>
    <t xml:space="preserve">Tributos Municipais (ISS)</t>
  </si>
  <si>
    <t xml:space="preserve">C.4</t>
  </si>
  <si>
    <t xml:space="preserve">Total dos Custos Indiretos e Tributos</t>
  </si>
  <si>
    <t xml:space="preserve">CUSTO TOTAL DO PROFISSIONAL SUBSTITUTO</t>
  </si>
  <si>
    <t xml:space="preserve">Resumo do Custo Por Empregado Substituto do Titular em Férias</t>
  </si>
  <si>
    <t xml:space="preserve">Mão de Obra Vinculada à Execução Contratual  (Valor Por Empregado)</t>
  </si>
  <si>
    <t xml:space="preserve">Módulo 1 - Composição Remuneração * 12 (Anual)</t>
  </si>
  <si>
    <t xml:space="preserve">Subtotal (A+B)</t>
  </si>
  <si>
    <t xml:space="preserve">E</t>
  </si>
  <si>
    <t xml:space="preserve">Módulo 5 - Custos Indiretos, Tributos e Lucro</t>
  </si>
  <si>
    <t xml:space="preserve">Valor Total Mensal Por Empregado Substituto do Titular em Férias </t>
  </si>
  <si>
    <t xml:space="preserve">Subseção Judiciária de Sete Lagoas</t>
  </si>
  <si>
    <t xml:space="preserve">Período:</t>
  </si>
  <si>
    <t xml:space="preserve">ÍNDICE </t>
  </si>
  <si>
    <t xml:space="preserve">IPCA/ IBGE</t>
  </si>
  <si>
    <t xml:space="preserve">DIAS</t>
  </si>
  <si>
    <t xml:space="preserve">Pró-rata</t>
  </si>
  <si>
    <t xml:space="preserve">VALOR ATUAL</t>
  </si>
  <si>
    <t xml:space="preserve">ANO</t>
  </si>
  <si>
    <t xml:space="preserve">MÊS</t>
  </si>
  <si>
    <t xml:space="preserve">ÍNDICE %</t>
  </si>
  <si>
    <t xml:space="preserve">%</t>
  </si>
  <si>
    <t xml:space="preserve">AGO</t>
  </si>
  <si>
    <t xml:space="preserve">SET</t>
  </si>
  <si>
    <t xml:space="preserve">OUT</t>
  </si>
  <si>
    <t xml:space="preserve">NOV</t>
  </si>
  <si>
    <t xml:space="preserve">DEZ</t>
  </si>
  <si>
    <t xml:space="preserve">JAN</t>
  </si>
  <si>
    <t xml:space="preserve">FEV</t>
  </si>
  <si>
    <t xml:space="preserve">MAR</t>
  </si>
  <si>
    <t xml:space="preserve">ABR</t>
  </si>
  <si>
    <t xml:space="preserve">MAI</t>
  </si>
  <si>
    <t xml:space="preserve">JUN</t>
  </si>
  <si>
    <t xml:space="preserve">JUL</t>
  </si>
  <si>
    <t xml:space="preserve">INDICE ACUMULADO</t>
  </si>
</sst>
</file>

<file path=xl/styles.xml><?xml version="1.0" encoding="utf-8"?>
<styleSheet xmlns="http://schemas.openxmlformats.org/spreadsheetml/2006/main">
  <numFmts count="16">
    <numFmt numFmtId="164" formatCode="General"/>
    <numFmt numFmtId="165" formatCode="General"/>
    <numFmt numFmtId="166" formatCode="0"/>
    <numFmt numFmtId="167" formatCode="0.00"/>
    <numFmt numFmtId="168" formatCode="_-* #,##0.00_-;\-* #,##0.00_-;_-* \-??_-;_-@_-"/>
    <numFmt numFmtId="169" formatCode="_-&quot;R$ &quot;* #,##0.00_-;&quot;-R$ &quot;* #,##0.00_-;_-&quot;R$ &quot;* \-??_-;_-@_-"/>
    <numFmt numFmtId="170" formatCode="#,##0.00"/>
    <numFmt numFmtId="171" formatCode="#,##0_ ;\-#,##0\ "/>
    <numFmt numFmtId="172" formatCode="0.00%"/>
    <numFmt numFmtId="173" formatCode="#,##0"/>
    <numFmt numFmtId="174" formatCode="d/m/yyyy"/>
    <numFmt numFmtId="175" formatCode="0.0000"/>
    <numFmt numFmtId="176" formatCode="0%"/>
    <numFmt numFmtId="177" formatCode="_(* #,##0.00_);_(* \(#,##0.00\);_(* \-??_);_(@_)"/>
    <numFmt numFmtId="178" formatCode="@"/>
    <numFmt numFmtId="179" formatCode="* #,##0.00\ ;* \(#,##0.00\);* \-#\ ;@\ "/>
  </numFmts>
  <fonts count="48">
    <font>
      <sz val="11"/>
      <color rgb="FF000000"/>
      <name val="Calibri"/>
      <family val="2"/>
      <charset val="1"/>
    </font>
    <font>
      <sz val="10"/>
      <name val="Arial"/>
      <family val="0"/>
    </font>
    <font>
      <sz val="10"/>
      <name val="Arial"/>
      <family val="0"/>
    </font>
    <font>
      <sz val="10"/>
      <name val="Arial"/>
      <family val="0"/>
    </font>
    <font>
      <sz val="11"/>
      <name val="Calibri"/>
      <family val="2"/>
      <charset val="1"/>
    </font>
    <font>
      <sz val="10"/>
      <color rgb="FF333333"/>
      <name val="Calibri"/>
      <family val="2"/>
      <charset val="1"/>
    </font>
    <font>
      <b val="true"/>
      <sz val="18"/>
      <name val="Calibri"/>
      <family val="2"/>
      <charset val="1"/>
    </font>
    <font>
      <b val="true"/>
      <sz val="16"/>
      <name val="Calibri"/>
      <family val="2"/>
      <charset val="1"/>
    </font>
    <font>
      <b val="true"/>
      <sz val="11"/>
      <name val="Calibri"/>
      <family val="2"/>
      <charset val="1"/>
    </font>
    <font>
      <sz val="12"/>
      <name val="Calibri"/>
      <family val="2"/>
      <charset val="1"/>
    </font>
    <font>
      <b val="true"/>
      <sz val="10"/>
      <name val="Calibri"/>
      <family val="2"/>
      <charset val="1"/>
    </font>
    <font>
      <b val="true"/>
      <sz val="10"/>
      <color rgb="FFFF0000"/>
      <name val="Calibri"/>
      <family val="2"/>
      <charset val="1"/>
    </font>
    <font>
      <sz val="10"/>
      <name val="Calibri"/>
      <family val="2"/>
      <charset val="1"/>
    </font>
    <font>
      <sz val="9"/>
      <name val="Calibri"/>
      <family val="2"/>
      <charset val="1"/>
    </font>
    <font>
      <sz val="10"/>
      <color rgb="FFFF0000"/>
      <name val="Calibri"/>
      <family val="2"/>
      <charset val="1"/>
    </font>
    <font>
      <sz val="11"/>
      <color rgb="FF808080"/>
      <name val="Calibri"/>
      <family val="2"/>
      <charset val="1"/>
    </font>
    <font>
      <b val="true"/>
      <i val="true"/>
      <u val="single"/>
      <sz val="11"/>
      <name val="Calibri"/>
      <family val="2"/>
      <charset val="1"/>
    </font>
    <font>
      <sz val="11"/>
      <color rgb="FFFF0000"/>
      <name val="Calibri"/>
      <family val="2"/>
      <charset val="1"/>
    </font>
    <font>
      <b val="true"/>
      <u val="single"/>
      <sz val="10"/>
      <name val="Calibri"/>
      <family val="2"/>
      <charset val="1"/>
    </font>
    <font>
      <sz val="10"/>
      <color rgb="FF000000"/>
      <name val="Calibri"/>
      <family val="2"/>
      <charset val="1"/>
    </font>
    <font>
      <sz val="8"/>
      <name val="Calibri"/>
      <family val="2"/>
      <charset val="1"/>
    </font>
    <font>
      <b val="true"/>
      <sz val="12"/>
      <name val="Calibri"/>
      <family val="2"/>
      <charset val="1"/>
    </font>
    <font>
      <sz val="10"/>
      <color rgb="FFFFFFFF"/>
      <name val="Calibri"/>
      <family val="2"/>
      <charset val="1"/>
    </font>
    <font>
      <b val="true"/>
      <sz val="14"/>
      <name val="Calibri"/>
      <family val="2"/>
      <charset val="1"/>
    </font>
    <font>
      <b val="true"/>
      <sz val="11"/>
      <color rgb="FF000000"/>
      <name val="Calibri"/>
      <family val="2"/>
      <charset val="1"/>
    </font>
    <font>
      <b val="true"/>
      <sz val="11"/>
      <color rgb="FFFF0000"/>
      <name val="Calibri"/>
      <family val="2"/>
      <charset val="1"/>
    </font>
    <font>
      <b val="true"/>
      <sz val="12"/>
      <color rgb="FF333333"/>
      <name val="Calibri"/>
      <family val="2"/>
      <charset val="1"/>
    </font>
    <font>
      <b val="true"/>
      <sz val="11"/>
      <color rgb="FF333333"/>
      <name val="Calibri"/>
      <family val="2"/>
      <charset val="1"/>
    </font>
    <font>
      <b val="true"/>
      <sz val="9"/>
      <color rgb="FF333333"/>
      <name val="Calibri"/>
      <family val="2"/>
      <charset val="1"/>
    </font>
    <font>
      <b val="true"/>
      <sz val="9"/>
      <name val="Calibri"/>
      <family val="2"/>
      <charset val="1"/>
    </font>
    <font>
      <b val="true"/>
      <sz val="10"/>
      <color rgb="FF000000"/>
      <name val="Calibri"/>
      <family val="2"/>
      <charset val="1"/>
    </font>
    <font>
      <b val="true"/>
      <sz val="8"/>
      <name val="Calibri"/>
      <family val="2"/>
      <charset val="1"/>
    </font>
    <font>
      <b val="true"/>
      <sz val="9"/>
      <color rgb="FFFF0000"/>
      <name val="Calibri"/>
      <family val="2"/>
      <charset val="1"/>
    </font>
    <font>
      <b val="true"/>
      <sz val="6"/>
      <name val="Calibri"/>
      <family val="2"/>
      <charset val="1"/>
    </font>
    <font>
      <b val="true"/>
      <sz val="12"/>
      <color rgb="FFBFBFBF"/>
      <name val="Calibri"/>
      <family val="2"/>
      <charset val="1"/>
    </font>
    <font>
      <b val="true"/>
      <sz val="10"/>
      <color rgb="FFC00000"/>
      <name val="Calibri"/>
      <family val="2"/>
      <charset val="1"/>
    </font>
    <font>
      <sz val="10"/>
      <color rgb="FFC00000"/>
      <name val="Calibri"/>
      <family val="2"/>
      <charset val="1"/>
    </font>
    <font>
      <b val="true"/>
      <sz val="12"/>
      <name val="Times New Roman"/>
      <family val="1"/>
      <charset val="1"/>
    </font>
    <font>
      <b val="true"/>
      <sz val="7"/>
      <name val="Calibri"/>
      <family val="2"/>
      <charset val="1"/>
    </font>
    <font>
      <b val="true"/>
      <sz val="28"/>
      <name val="Calibri"/>
      <family val="2"/>
      <charset val="1"/>
    </font>
    <font>
      <b val="true"/>
      <sz val="12"/>
      <color rgb="FFCCFFCC"/>
      <name val="Calibri"/>
      <family val="2"/>
      <charset val="1"/>
    </font>
    <font>
      <sz val="14"/>
      <name val="Calibri"/>
      <family val="2"/>
      <charset val="1"/>
    </font>
    <font>
      <b val="true"/>
      <sz val="12.5"/>
      <name val="Calibri"/>
      <family val="2"/>
      <charset val="1"/>
    </font>
    <font>
      <b val="true"/>
      <sz val="12"/>
      <color rgb="FF000000"/>
      <name val="Calibri"/>
      <family val="2"/>
      <charset val="1"/>
    </font>
    <font>
      <b val="true"/>
      <sz val="9"/>
      <color rgb="FF000000"/>
      <name val="Calibri"/>
      <family val="2"/>
      <charset val="1"/>
    </font>
    <font>
      <b val="true"/>
      <sz val="10"/>
      <color rgb="FFFFFFFF"/>
      <name val="Calibri"/>
      <family val="2"/>
      <charset val="1"/>
    </font>
    <font>
      <sz val="10"/>
      <name val="Times New Roman"/>
      <family val="1"/>
      <charset val="1"/>
    </font>
    <font>
      <b val="true"/>
      <sz val="8"/>
      <color rgb="FFFF0000"/>
      <name val="Calibri"/>
      <family val="2"/>
      <charset val="1"/>
    </font>
  </fonts>
  <fills count="21">
    <fill>
      <patternFill patternType="none"/>
    </fill>
    <fill>
      <patternFill patternType="gray125"/>
    </fill>
    <fill>
      <patternFill patternType="solid">
        <fgColor rgb="FFFFFF99"/>
        <bgColor rgb="FFFFFFCC"/>
      </patternFill>
    </fill>
    <fill>
      <patternFill patternType="solid">
        <fgColor rgb="FFF8CBAD"/>
        <bgColor rgb="FFFFC7CE"/>
      </patternFill>
    </fill>
    <fill>
      <patternFill patternType="solid">
        <fgColor rgb="FFFFFFCC"/>
        <bgColor rgb="FFFFF2CC"/>
      </patternFill>
    </fill>
    <fill>
      <patternFill patternType="solid">
        <fgColor rgb="FFDCE6F2"/>
        <bgColor rgb="FFDEEBF7"/>
      </patternFill>
    </fill>
    <fill>
      <patternFill patternType="solid">
        <fgColor rgb="FFF2DCDB"/>
        <bgColor rgb="FFD9D9D9"/>
      </patternFill>
    </fill>
    <fill>
      <patternFill patternType="solid">
        <fgColor rgb="FF606060"/>
        <bgColor rgb="FF595959"/>
      </patternFill>
    </fill>
    <fill>
      <patternFill patternType="solid">
        <fgColor rgb="FFFFFFFF"/>
        <bgColor rgb="FFF2F2F2"/>
      </patternFill>
    </fill>
    <fill>
      <patternFill patternType="solid">
        <fgColor rgb="FFF2F2F2"/>
        <bgColor rgb="FFDEEBF7"/>
      </patternFill>
    </fill>
    <fill>
      <patternFill patternType="solid">
        <fgColor rgb="FF3366CC"/>
        <bgColor rgb="FF0066CC"/>
      </patternFill>
    </fill>
    <fill>
      <patternFill patternType="solid">
        <fgColor rgb="FFD9D9D9"/>
        <bgColor rgb="FFDCE6F2"/>
      </patternFill>
    </fill>
    <fill>
      <patternFill patternType="solid">
        <fgColor rgb="FF595959"/>
        <bgColor rgb="FF606060"/>
      </patternFill>
    </fill>
    <fill>
      <patternFill patternType="solid">
        <fgColor rgb="FFDEEBF7"/>
        <bgColor rgb="FFDCE6F2"/>
      </patternFill>
    </fill>
    <fill>
      <patternFill patternType="solid">
        <fgColor rgb="FF10243E"/>
        <bgColor rgb="FF333333"/>
      </patternFill>
    </fill>
    <fill>
      <patternFill patternType="solid">
        <fgColor rgb="FFBDD7EE"/>
        <bgColor rgb="FFD9D9D9"/>
      </patternFill>
    </fill>
    <fill>
      <patternFill patternType="solid">
        <fgColor rgb="FFC0C0C0"/>
        <bgColor rgb="FFBFBFBF"/>
      </patternFill>
    </fill>
    <fill>
      <patternFill patternType="solid">
        <fgColor rgb="FFFFF2CC"/>
        <bgColor rgb="FFFFFFCC"/>
      </patternFill>
    </fill>
    <fill>
      <patternFill patternType="solid">
        <fgColor rgb="FFADB9CA"/>
        <bgColor rgb="FFBFBFBF"/>
      </patternFill>
    </fill>
    <fill>
      <patternFill patternType="solid">
        <fgColor rgb="FF00B0F0"/>
        <bgColor rgb="FF33CCCC"/>
      </patternFill>
    </fill>
    <fill>
      <patternFill patternType="solid">
        <fgColor rgb="FF808080"/>
        <bgColor rgb="FF606060"/>
      </patternFill>
    </fill>
  </fills>
  <borders count="71">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thin"/>
      <right style="thin"/>
      <top style="thin"/>
      <bottom style="thin"/>
      <diagonal/>
    </border>
    <border diagonalUp="false" diagonalDown="false">
      <left style="medium"/>
      <right style="thin"/>
      <top style="medium"/>
      <bottom style="medium"/>
      <diagonal/>
    </border>
    <border diagonalUp="false" diagonalDown="false">
      <left style="thin"/>
      <right/>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style="medium"/>
      <top style="medium"/>
      <bottom style="medium"/>
      <diagonal/>
    </border>
    <border diagonalUp="false" diagonalDown="false">
      <left/>
      <right style="thin"/>
      <top style="medium"/>
      <bottom style="medium"/>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style="medium"/>
      <top/>
      <bottom style="thin"/>
      <diagonal/>
    </border>
    <border diagonalUp="false" diagonalDown="false">
      <left style="medium"/>
      <right style="medium"/>
      <top/>
      <bottom style="thin"/>
      <diagonal/>
    </border>
    <border diagonalUp="false" diagonalDown="false">
      <left/>
      <right style="thin"/>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style="thin"/>
      <right style="medium"/>
      <top style="thin"/>
      <bottom style="thin"/>
      <diagonal/>
    </border>
    <border diagonalUp="false" diagonalDown="false">
      <left style="medium"/>
      <right style="medium"/>
      <top style="thin"/>
      <bottom style="thin"/>
      <diagonal/>
    </border>
    <border diagonalUp="false" diagonalDown="false">
      <left/>
      <right style="thin"/>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top style="thin"/>
      <bottom style="medium"/>
      <diagonal/>
    </border>
    <border diagonalUp="false" diagonalDown="false">
      <left style="thin"/>
      <right style="medium"/>
      <top style="thin"/>
      <bottom style="medium"/>
      <diagonal/>
    </border>
    <border diagonalUp="false" diagonalDown="false">
      <left style="medium"/>
      <right style="medium"/>
      <top style="thin"/>
      <bottom style="medium"/>
      <diagonal/>
    </border>
    <border diagonalUp="false" diagonalDown="false">
      <left style="thin"/>
      <right/>
      <top/>
      <bottom style="medium"/>
      <diagonal/>
    </border>
    <border diagonalUp="false" diagonalDown="false">
      <left style="medium"/>
      <right style="thin"/>
      <top/>
      <bottom style="medium"/>
      <diagonal/>
    </border>
    <border diagonalUp="false" diagonalDown="false">
      <left style="thin"/>
      <right style="medium"/>
      <top/>
      <bottom style="medium"/>
      <diagonal/>
    </border>
    <border diagonalUp="false" diagonalDown="false">
      <left/>
      <right style="thin"/>
      <top style="thin"/>
      <bottom style="medium"/>
      <diagonal/>
    </border>
    <border diagonalUp="false" diagonalDown="false">
      <left/>
      <right/>
      <top style="thin"/>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medium"/>
      <top style="medium"/>
      <bottom style="thin"/>
      <diagonal/>
    </border>
    <border diagonalUp="false" diagonalDown="false">
      <left style="medium"/>
      <right style="medium"/>
      <top style="medium"/>
      <bottom/>
      <diagonal/>
    </border>
    <border diagonalUp="false" diagonalDown="false">
      <left style="medium"/>
      <right/>
      <top style="thin"/>
      <bottom style="thin"/>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top/>
      <bottom/>
      <diagonal/>
    </border>
    <border diagonalUp="false" diagonalDown="false">
      <left/>
      <right/>
      <top/>
      <bottom style="thin"/>
      <diagonal/>
    </border>
    <border diagonalUp="false" diagonalDown="false">
      <left/>
      <right style="thin"/>
      <top style="medium"/>
      <bottom style="thin"/>
      <diagonal/>
    </border>
    <border diagonalUp="false" diagonalDown="false">
      <left style="thin"/>
      <right style="thin"/>
      <top style="thin"/>
      <bottom/>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medium"/>
      <right style="medium"/>
      <top/>
      <bottom style="medium"/>
      <diagonal/>
    </border>
    <border diagonalUp="false" diagonalDown="false">
      <left style="thin"/>
      <right style="medium"/>
      <top style="thin"/>
      <bottom/>
      <diagonal/>
    </border>
    <border diagonalUp="false" diagonalDown="false">
      <left/>
      <right style="thin"/>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right/>
      <top style="thin"/>
      <bottom style="thin"/>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thin"/>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top style="medium"/>
      <bottom style="thin"/>
      <diagonal/>
    </border>
    <border diagonalUp="false" diagonalDown="false">
      <left style="medium"/>
      <right style="thin"/>
      <top style="medium"/>
      <bottom/>
      <diagonal/>
    </border>
    <border diagonalUp="false" diagonalDown="false">
      <left style="thin"/>
      <right/>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style="thin"/>
      <top/>
      <bottom/>
      <diagonal/>
    </border>
    <border diagonalUp="false" diagonalDown="false">
      <left style="medium"/>
      <right style="thin"/>
      <top/>
      <bottom/>
      <diagonal/>
    </border>
    <border diagonalUp="false" diagonalDown="false">
      <left style="medium"/>
      <right/>
      <top style="thin"/>
      <bottom style="medium"/>
      <diagonal/>
    </border>
    <border diagonalUp="false" diagonalDown="false">
      <left style="thin"/>
      <right style="thin"/>
      <top/>
      <bottom style="medium"/>
      <diagonal/>
    </border>
    <border diagonalUp="false" diagonalDown="false">
      <left style="thin"/>
      <right style="medium"/>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169"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76" fontId="0" fillId="0" borderId="0" applyFont="true" applyBorder="false" applyAlignment="true" applyProtection="false">
      <alignment horizontal="general" vertical="bottom" textRotation="0" wrapText="false" indent="0" shrinkToFit="false"/>
    </xf>
    <xf numFmtId="179" fontId="46" fillId="0" borderId="0" applyFont="true" applyBorder="false" applyAlignment="true" applyProtection="false">
      <alignment horizontal="general" vertical="bottom" textRotation="0" wrapText="false" indent="0" shrinkToFit="false"/>
    </xf>
  </cellStyleXfs>
  <cellXfs count="71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5" fontId="5" fillId="0" borderId="2"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4" fillId="0" borderId="3" xfId="0" applyFont="true" applyBorder="true" applyAlignment="true" applyProtection="false">
      <alignment horizontal="general" vertical="top" textRotation="0" wrapText="false" indent="0" shrinkToFit="false"/>
      <protection locked="true" hidden="false"/>
    </xf>
    <xf numFmtId="165" fontId="5"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center" vertical="top"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5" fontId="5" fillId="0" borderId="0" xfId="0" applyFont="true" applyBorder="false" applyAlignment="true" applyProtection="false">
      <alignment horizontal="left" vertical="top" textRotation="0" wrapText="false" indent="0" shrinkToFit="false"/>
      <protection locked="true" hidden="false"/>
    </xf>
    <xf numFmtId="164" fontId="6" fillId="0" borderId="0" xfId="0" applyFont="true" applyBorder="false" applyAlignment="true" applyProtection="false">
      <alignment horizontal="center" vertical="top" textRotation="0" wrapText="false" indent="0" shrinkToFit="false"/>
      <protection locked="true" hidden="false"/>
    </xf>
    <xf numFmtId="164" fontId="7" fillId="2" borderId="4" xfId="0" applyFont="true" applyBorder="true" applyAlignment="true" applyProtection="false">
      <alignment horizontal="center" vertical="center" textRotation="0" wrapText="true" indent="0" shrinkToFit="false"/>
      <protection locked="true" hidden="false"/>
    </xf>
    <xf numFmtId="164" fontId="8" fillId="2" borderId="4" xfId="0" applyFont="true" applyBorder="true" applyAlignment="true" applyProtection="false">
      <alignment horizontal="center" vertical="center" textRotation="0" wrapText="true" indent="0" shrinkToFit="false"/>
      <protection locked="true" hidden="false"/>
    </xf>
    <xf numFmtId="165" fontId="4" fillId="0" borderId="4" xfId="0" applyFont="true" applyBorder="true" applyAlignment="true" applyProtection="false">
      <alignment horizontal="center" vertical="center" textRotation="0" wrapText="true" indent="0" shrinkToFit="false"/>
      <protection locked="true" hidden="false"/>
    </xf>
    <xf numFmtId="165" fontId="4"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5" xfId="0" applyFont="true" applyBorder="true" applyAlignment="true" applyProtection="false">
      <alignment horizontal="center" vertical="center" textRotation="0" wrapText="true" indent="0" shrinkToFit="false"/>
      <protection locked="true" hidden="false"/>
    </xf>
    <xf numFmtId="164" fontId="12" fillId="3" borderId="6" xfId="0" applyFont="true" applyBorder="true" applyAlignment="true" applyProtection="false">
      <alignment horizontal="center" vertical="center" textRotation="0" wrapText="true" indent="0" shrinkToFit="false"/>
      <protection locked="true" hidden="false"/>
    </xf>
    <xf numFmtId="164" fontId="12" fillId="3" borderId="5" xfId="0" applyFont="true" applyBorder="true" applyAlignment="true" applyProtection="false">
      <alignment horizontal="center" vertical="center" textRotation="0" wrapText="true" indent="0" shrinkToFit="false"/>
      <protection locked="true" hidden="false"/>
    </xf>
    <xf numFmtId="164" fontId="12" fillId="3" borderId="7" xfId="0" applyFont="true" applyBorder="true" applyAlignment="true" applyProtection="false">
      <alignment horizontal="center" vertical="center" textRotation="0" wrapText="true" indent="0" shrinkToFit="false"/>
      <protection locked="true" hidden="false"/>
    </xf>
    <xf numFmtId="164" fontId="12" fillId="3" borderId="8" xfId="0" applyFont="true" applyBorder="true" applyAlignment="true" applyProtection="false">
      <alignment horizontal="center" vertical="center" textRotation="0" wrapText="true" indent="0" shrinkToFit="false"/>
      <protection locked="true" hidden="false"/>
    </xf>
    <xf numFmtId="164" fontId="12" fillId="3" borderId="9" xfId="0" applyFont="true" applyBorder="true" applyAlignment="true" applyProtection="false">
      <alignment horizontal="center" vertical="center" textRotation="0" wrapText="true" indent="0" shrinkToFit="false"/>
      <protection locked="true" hidden="false"/>
    </xf>
    <xf numFmtId="164" fontId="13" fillId="3" borderId="9" xfId="0" applyFont="true" applyBorder="true" applyAlignment="true" applyProtection="false">
      <alignment horizontal="center" vertical="center" textRotation="0" wrapText="true" indent="0" shrinkToFit="false"/>
      <protection locked="true" hidden="false"/>
    </xf>
    <xf numFmtId="164" fontId="12" fillId="3" borderId="10" xfId="0" applyFont="true" applyBorder="true" applyAlignment="true" applyProtection="false">
      <alignment horizontal="center" vertical="center" textRotation="0" wrapText="true" indent="0" shrinkToFit="false"/>
      <protection locked="true" hidden="false"/>
    </xf>
    <xf numFmtId="164" fontId="8" fillId="4" borderId="8" xfId="0" applyFont="true" applyBorder="true" applyAlignment="true" applyProtection="false">
      <alignment horizontal="center" vertical="center" textRotation="0" wrapText="true" indent="0" shrinkToFit="false"/>
      <protection locked="true" hidden="false"/>
    </xf>
    <xf numFmtId="164" fontId="10" fillId="5" borderId="11" xfId="0" applyFont="true" applyBorder="true" applyAlignment="true" applyProtection="false">
      <alignment horizontal="center" vertical="center" textRotation="0" wrapText="true" indent="0" shrinkToFit="false"/>
      <protection locked="true" hidden="false"/>
    </xf>
    <xf numFmtId="164" fontId="10" fillId="5" borderId="12" xfId="0" applyFont="true" applyBorder="true" applyAlignment="true" applyProtection="false">
      <alignment horizontal="center" vertical="center" textRotation="0" wrapText="true" indent="0" shrinkToFit="false"/>
      <protection locked="true" hidden="false"/>
    </xf>
    <xf numFmtId="164" fontId="10" fillId="5" borderId="13" xfId="0" applyFont="true" applyBorder="true" applyAlignment="true" applyProtection="false">
      <alignment horizontal="center" vertical="center" textRotation="0" wrapText="true" indent="0" shrinkToFit="false"/>
      <protection locked="true" hidden="false"/>
    </xf>
    <xf numFmtId="164" fontId="10" fillId="5" borderId="14" xfId="0" applyFont="true" applyBorder="true" applyAlignment="true" applyProtection="false">
      <alignment horizontal="center" vertical="center" textRotation="0" wrapText="true" indent="0" shrinkToFit="false"/>
      <protection locked="true" hidden="false"/>
    </xf>
    <xf numFmtId="164" fontId="10" fillId="5" borderId="15" xfId="0" applyFont="true" applyBorder="true" applyAlignment="true" applyProtection="false">
      <alignment horizontal="center" vertical="center" textRotation="0" wrapText="true" indent="0" shrinkToFit="false"/>
      <protection locked="true" hidden="false"/>
    </xf>
    <xf numFmtId="164" fontId="10" fillId="5" borderId="16" xfId="0" applyFont="true" applyBorder="true" applyAlignment="true" applyProtection="false">
      <alignment horizontal="center" vertical="center" textRotation="0" wrapText="true" indent="0" shrinkToFit="false"/>
      <protection locked="true" hidden="false"/>
    </xf>
    <xf numFmtId="166" fontId="12" fillId="0" borderId="17" xfId="0" applyFont="true" applyBorder="true" applyAlignment="true" applyProtection="false">
      <alignment horizontal="center" vertical="center" textRotation="0" wrapText="false" indent="0" shrinkToFit="false"/>
      <protection locked="true" hidden="false"/>
    </xf>
    <xf numFmtId="165" fontId="12" fillId="0" borderId="4" xfId="0" applyFont="true" applyBorder="true" applyAlignment="true" applyProtection="false">
      <alignment horizontal="general" vertical="center" textRotation="0" wrapText="true" indent="0" shrinkToFit="false"/>
      <protection locked="true" hidden="false"/>
    </xf>
    <xf numFmtId="166" fontId="12" fillId="0" borderId="4" xfId="0" applyFont="true" applyBorder="true" applyAlignment="true" applyProtection="false">
      <alignment horizontal="center" vertical="center" textRotation="0" wrapText="false" indent="0" shrinkToFit="false"/>
      <protection locked="true" hidden="false"/>
    </xf>
    <xf numFmtId="164" fontId="14" fillId="6" borderId="18" xfId="0" applyFont="true" applyBorder="true" applyAlignment="true" applyProtection="true">
      <alignment horizontal="center" vertical="center" textRotation="0" wrapText="false" indent="0" shrinkToFit="false"/>
      <protection locked="false" hidden="false"/>
    </xf>
    <xf numFmtId="164" fontId="14" fillId="6" borderId="4" xfId="0" applyFont="true" applyBorder="true" applyAlignment="true" applyProtection="true">
      <alignment horizontal="center" vertical="center" textRotation="0" wrapText="false" indent="0" shrinkToFit="false"/>
      <protection locked="false" hidden="false"/>
    </xf>
    <xf numFmtId="167" fontId="14" fillId="6" borderId="17" xfId="0" applyFont="true" applyBorder="true" applyAlignment="true" applyProtection="true">
      <alignment horizontal="center" vertical="center" textRotation="0" wrapText="false" indent="0" shrinkToFit="false"/>
      <protection locked="false" hidden="false"/>
    </xf>
    <xf numFmtId="167" fontId="12" fillId="0" borderId="19" xfId="0" applyFont="true" applyBorder="true" applyAlignment="true" applyProtection="false">
      <alignment horizontal="center" vertical="center" textRotation="0" wrapText="false" indent="0" shrinkToFit="false"/>
      <protection locked="true" hidden="false"/>
    </xf>
    <xf numFmtId="164" fontId="14" fillId="6" borderId="20" xfId="0" applyFont="true" applyBorder="true" applyAlignment="true" applyProtection="true">
      <alignment horizontal="center" vertical="center" textRotation="0" wrapText="false" indent="0" shrinkToFit="false"/>
      <protection locked="false" hidden="false"/>
    </xf>
    <xf numFmtId="168" fontId="15" fillId="7" borderId="20" xfId="0" applyFont="true" applyBorder="true" applyAlignment="true" applyProtection="false">
      <alignment horizontal="center" vertical="center" textRotation="0" wrapText="false" indent="0" shrinkToFit="false"/>
      <protection locked="true" hidden="false"/>
    </xf>
    <xf numFmtId="168" fontId="12" fillId="0" borderId="21" xfId="0" applyFont="true" applyBorder="true" applyAlignment="true" applyProtection="false">
      <alignment horizontal="center" vertical="center" textRotation="0" wrapText="false" indent="0" shrinkToFit="false"/>
      <protection locked="true" hidden="false"/>
    </xf>
    <xf numFmtId="168" fontId="15" fillId="7" borderId="4" xfId="0" applyFont="true" applyBorder="true" applyAlignment="true" applyProtection="false">
      <alignment horizontal="center" vertical="center" textRotation="0" wrapText="false" indent="0" shrinkToFit="false"/>
      <protection locked="true" hidden="false"/>
    </xf>
    <xf numFmtId="169" fontId="12" fillId="0" borderId="4" xfId="0" applyFont="true" applyBorder="true" applyAlignment="true" applyProtection="false">
      <alignment horizontal="center" vertical="center" textRotation="0" wrapText="false" indent="0" shrinkToFit="false"/>
      <protection locked="true" hidden="false"/>
    </xf>
    <xf numFmtId="165" fontId="12" fillId="0" borderId="4" xfId="0" applyFont="true" applyBorder="true" applyAlignment="true" applyProtection="false">
      <alignment horizontal="center" vertical="center" textRotation="0" wrapText="false" indent="0" shrinkToFit="false"/>
      <protection locked="true" hidden="false"/>
    </xf>
    <xf numFmtId="169" fontId="12" fillId="0" borderId="4" xfId="17" applyFont="true" applyBorder="true" applyAlignment="true" applyProtection="true">
      <alignment horizontal="center" vertical="center" textRotation="0" wrapText="false" indent="0" shrinkToFit="false"/>
      <protection locked="true" hidden="false"/>
    </xf>
    <xf numFmtId="165" fontId="12" fillId="0" borderId="21" xfId="0" applyFont="true" applyBorder="true" applyAlignment="true" applyProtection="false">
      <alignment horizontal="center" vertical="center" textRotation="0" wrapText="false" indent="0" shrinkToFit="false"/>
      <protection locked="true" hidden="false"/>
    </xf>
    <xf numFmtId="166" fontId="12" fillId="0" borderId="22" xfId="0" applyFont="true" applyBorder="true" applyAlignment="true" applyProtection="false">
      <alignment horizontal="center" vertical="center" textRotation="0" wrapText="false" indent="0" shrinkToFit="false"/>
      <protection locked="true" hidden="false"/>
    </xf>
    <xf numFmtId="166" fontId="12" fillId="0" borderId="23" xfId="0" applyFont="true" applyBorder="true" applyAlignment="true" applyProtection="false">
      <alignment horizontal="center" vertical="center" textRotation="0" wrapText="false" indent="0" shrinkToFit="false"/>
      <protection locked="true" hidden="false"/>
    </xf>
    <xf numFmtId="164" fontId="14" fillId="6" borderId="23" xfId="0" applyFont="true" applyBorder="true" applyAlignment="true" applyProtection="true">
      <alignment horizontal="center" vertical="center" textRotation="0" wrapText="false" indent="0" shrinkToFit="false"/>
      <protection locked="false" hidden="false"/>
    </xf>
    <xf numFmtId="164" fontId="14" fillId="6" borderId="24" xfId="0" applyFont="true" applyBorder="true" applyAlignment="true" applyProtection="true">
      <alignment horizontal="center" vertical="center" textRotation="0" wrapText="false" indent="0" shrinkToFit="false"/>
      <protection locked="false" hidden="false"/>
    </xf>
    <xf numFmtId="167" fontId="14" fillId="6" borderId="22" xfId="0" applyFont="true" applyBorder="true" applyAlignment="true" applyProtection="true">
      <alignment horizontal="center" vertical="center" textRotation="0" wrapText="false" indent="0" shrinkToFit="false"/>
      <protection locked="false" hidden="false"/>
    </xf>
    <xf numFmtId="167" fontId="12" fillId="0" borderId="25" xfId="0" applyFont="true" applyBorder="true" applyAlignment="true" applyProtection="false">
      <alignment horizontal="center" vertical="center" textRotation="0" wrapText="false" indent="0" shrinkToFit="false"/>
      <protection locked="true" hidden="false"/>
    </xf>
    <xf numFmtId="164" fontId="14" fillId="6" borderId="26" xfId="0" applyFont="true" applyBorder="true" applyAlignment="true" applyProtection="true">
      <alignment horizontal="center" vertical="center" textRotation="0" wrapText="false" indent="0" shrinkToFit="false"/>
      <protection locked="false" hidden="false"/>
    </xf>
    <xf numFmtId="164" fontId="10" fillId="5" borderId="22" xfId="0" applyFont="true" applyBorder="true" applyAlignment="true" applyProtection="false">
      <alignment horizontal="center" vertical="center" textRotation="0" wrapText="true" indent="0" shrinkToFit="false"/>
      <protection locked="true" hidden="false"/>
    </xf>
    <xf numFmtId="165" fontId="10" fillId="5" borderId="27" xfId="0" applyFont="true" applyBorder="true" applyAlignment="true" applyProtection="false">
      <alignment horizontal="center" vertical="center" textRotation="0" wrapText="true" indent="0" shrinkToFit="false"/>
      <protection locked="true" hidden="false"/>
    </xf>
    <xf numFmtId="164" fontId="10" fillId="5" borderId="28" xfId="0" applyFont="true" applyBorder="true" applyAlignment="true" applyProtection="false">
      <alignment horizontal="center" vertical="center" textRotation="0" wrapText="true" indent="0" shrinkToFit="false"/>
      <protection locked="true" hidden="false"/>
    </xf>
    <xf numFmtId="170" fontId="10" fillId="5" borderId="29" xfId="0" applyFont="true" applyBorder="true" applyAlignment="true" applyProtection="false">
      <alignment horizontal="center" vertical="center" textRotation="0" wrapText="true" indent="0" shrinkToFit="false"/>
      <protection locked="true" hidden="false"/>
    </xf>
    <xf numFmtId="165" fontId="10" fillId="5" borderId="9" xfId="0" applyFont="true" applyBorder="true" applyAlignment="true" applyProtection="false">
      <alignment horizontal="center" vertical="center" textRotation="0" wrapText="true" indent="0" shrinkToFit="false"/>
      <protection locked="true" hidden="false"/>
    </xf>
    <xf numFmtId="165" fontId="10" fillId="5" borderId="26" xfId="0" applyFont="true" applyBorder="true" applyAlignment="true" applyProtection="false">
      <alignment horizontal="center" vertical="center" textRotation="0" wrapText="true" indent="0" shrinkToFit="false"/>
      <protection locked="true" hidden="false"/>
    </xf>
    <xf numFmtId="165" fontId="10" fillId="5" borderId="30" xfId="0" applyFont="true" applyBorder="true" applyAlignment="true" applyProtection="false">
      <alignment horizontal="center" vertical="center" textRotation="0" wrapText="true" indent="0" shrinkToFit="false"/>
      <protection locked="true" hidden="false"/>
    </xf>
    <xf numFmtId="165" fontId="10" fillId="5" borderId="23" xfId="0" applyFont="true" applyBorder="true" applyAlignment="true" applyProtection="false">
      <alignment horizontal="center" vertical="center" textRotation="0" wrapText="true" indent="0" shrinkToFit="false"/>
      <protection locked="true" hidden="false"/>
    </xf>
    <xf numFmtId="164" fontId="10" fillId="5" borderId="22" xfId="0" applyFont="true" applyBorder="true" applyAlignment="true" applyProtection="false">
      <alignment horizontal="general" vertical="center" textRotation="0" wrapText="tru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17" fillId="0" borderId="0" xfId="0" applyFont="true" applyBorder="false" applyAlignment="true" applyProtection="false">
      <alignment horizontal="center" vertical="center" textRotation="0" wrapText="true" indent="0" shrinkToFit="false"/>
      <protection locked="true" hidden="false"/>
    </xf>
    <xf numFmtId="164" fontId="10" fillId="5" borderId="4"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true">
      <alignment horizontal="center" vertical="center" textRotation="0" wrapText="false" indent="0" shrinkToFit="false"/>
      <protection locked="false" hidden="false"/>
    </xf>
    <xf numFmtId="167" fontId="12" fillId="0" borderId="4" xfId="0" applyFont="true" applyBorder="true" applyAlignment="true" applyProtection="true">
      <alignment horizontal="center" vertical="center" textRotation="0" wrapText="false" indent="0" shrinkToFit="false"/>
      <protection locked="false" hidden="false"/>
    </xf>
    <xf numFmtId="164" fontId="12" fillId="0" borderId="31" xfId="0" applyFont="true" applyBorder="true" applyAlignment="true" applyProtection="false">
      <alignment horizontal="left" vertical="center" textRotation="0" wrapText="true" indent="0" shrinkToFit="false"/>
      <protection locked="true" hidden="false"/>
    </xf>
    <xf numFmtId="169" fontId="4" fillId="0" borderId="0" xfId="17" applyFont="true" applyBorder="true" applyAlignment="true" applyProtection="true">
      <alignment horizontal="center"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0" fillId="5" borderId="32" xfId="0" applyFont="true" applyBorder="true" applyAlignment="true" applyProtection="false">
      <alignment horizontal="center" vertical="center" textRotation="0" wrapText="true" indent="0" shrinkToFit="false"/>
      <protection locked="true" hidden="false"/>
    </xf>
    <xf numFmtId="164" fontId="10" fillId="5" borderId="33" xfId="0" applyFont="true" applyBorder="true" applyAlignment="true" applyProtection="false">
      <alignment horizontal="center" vertical="center" textRotation="0" wrapText="true" indent="0" shrinkToFit="false"/>
      <protection locked="true" hidden="false"/>
    </xf>
    <xf numFmtId="164" fontId="10" fillId="5" borderId="34" xfId="0" applyFont="true" applyBorder="true" applyAlignment="true" applyProtection="false">
      <alignment horizontal="center" vertical="center" textRotation="0" wrapText="true" indent="0" shrinkToFit="false"/>
      <protection locked="true" hidden="false"/>
    </xf>
    <xf numFmtId="164" fontId="18" fillId="4" borderId="35" xfId="0" applyFont="true" applyBorder="true" applyAlignment="true" applyProtection="false">
      <alignment horizontal="center" vertical="center" textRotation="0" wrapText="true" indent="0" shrinkToFit="false"/>
      <protection locked="true" hidden="false"/>
    </xf>
    <xf numFmtId="164" fontId="10" fillId="5" borderId="36" xfId="0" applyFont="true" applyBorder="true" applyAlignment="true" applyProtection="false">
      <alignment horizontal="center" vertical="center" textRotation="0" wrapText="true" indent="0" shrinkToFit="false"/>
      <protection locked="true" hidden="false"/>
    </xf>
    <xf numFmtId="164" fontId="10" fillId="5" borderId="19" xfId="0" applyFont="true" applyBorder="true" applyAlignment="true" applyProtection="false">
      <alignment horizontal="center" vertical="center" textRotation="0" wrapText="true" indent="0" shrinkToFit="false"/>
      <protection locked="true" hidden="false"/>
    </xf>
    <xf numFmtId="164" fontId="12" fillId="8" borderId="17" xfId="0" applyFont="true" applyBorder="true" applyAlignment="true" applyProtection="false">
      <alignment horizontal="center" vertical="center" textRotation="0" wrapText="true" indent="0" shrinkToFit="false"/>
      <protection locked="true" hidden="false"/>
    </xf>
    <xf numFmtId="165" fontId="19" fillId="0" borderId="4" xfId="0" applyFont="true" applyBorder="true" applyAlignment="true" applyProtection="false">
      <alignment horizontal="left" vertical="center" textRotation="0" wrapText="true" indent="0" shrinkToFit="false"/>
      <protection locked="true" hidden="false"/>
    </xf>
    <xf numFmtId="165" fontId="12" fillId="0" borderId="4" xfId="0" applyFont="true" applyBorder="true" applyAlignment="true" applyProtection="false">
      <alignment horizontal="center" vertical="center" textRotation="0" wrapText="true" indent="0" shrinkToFit="false"/>
      <protection locked="true" hidden="false"/>
    </xf>
    <xf numFmtId="165" fontId="12" fillId="0" borderId="4" xfId="0" applyFont="true" applyBorder="true" applyAlignment="true" applyProtection="false">
      <alignment horizontal="center" vertical="bottom" textRotation="0" wrapText="true" indent="0" shrinkToFit="false"/>
      <protection locked="true" hidden="false"/>
    </xf>
    <xf numFmtId="165" fontId="14" fillId="6" borderId="12" xfId="0" applyFont="true" applyBorder="true" applyAlignment="true" applyProtection="true">
      <alignment horizontal="center" vertical="center" textRotation="0" wrapText="false" indent="0" shrinkToFit="false"/>
      <protection locked="false" hidden="false"/>
    </xf>
    <xf numFmtId="165" fontId="12" fillId="0" borderId="14" xfId="0" applyFont="true" applyBorder="true" applyAlignment="true" applyProtection="false">
      <alignment horizontal="center" vertical="center" textRotation="0" wrapText="false" indent="0" shrinkToFit="false"/>
      <protection locked="true" hidden="false"/>
    </xf>
    <xf numFmtId="165" fontId="10" fillId="0" borderId="20" xfId="0" applyFont="true" applyBorder="true" applyAlignment="true" applyProtection="false">
      <alignment horizontal="center" vertical="center" textRotation="0" wrapText="true" indent="0" shrinkToFit="false"/>
      <protection locked="true" hidden="false"/>
    </xf>
    <xf numFmtId="165" fontId="13" fillId="0" borderId="11" xfId="0" applyFont="true" applyBorder="true" applyAlignment="true" applyProtection="false">
      <alignment horizontal="center" vertical="center" textRotation="0" wrapText="true" indent="0" shrinkToFit="false"/>
      <protection locked="true" hidden="false"/>
    </xf>
    <xf numFmtId="171" fontId="12" fillId="0" borderId="12" xfId="0" applyFont="true" applyBorder="true" applyAlignment="true" applyProtection="false">
      <alignment horizontal="center" vertical="center" textRotation="0" wrapText="true" indent="0" shrinkToFit="false"/>
      <protection locked="true" hidden="false"/>
    </xf>
    <xf numFmtId="165" fontId="12" fillId="0" borderId="18" xfId="0" applyFont="true" applyBorder="true" applyAlignment="true" applyProtection="false">
      <alignment horizontal="center" vertical="center" textRotation="0" wrapText="true" indent="0" shrinkToFit="false"/>
      <protection locked="true" hidden="false"/>
    </xf>
    <xf numFmtId="165" fontId="12" fillId="0" borderId="19" xfId="0" applyFont="true" applyBorder="true" applyAlignment="true" applyProtection="false">
      <alignment horizontal="center" vertical="center" textRotation="0" wrapText="false" indent="0" shrinkToFit="false"/>
      <protection locked="true" hidden="false"/>
    </xf>
    <xf numFmtId="166" fontId="5" fillId="0" borderId="17" xfId="0" applyFont="true" applyBorder="true" applyAlignment="true" applyProtection="false">
      <alignment horizontal="center" vertical="center" textRotation="0" wrapText="true" indent="0" shrinkToFit="false"/>
      <protection locked="true" hidden="false"/>
    </xf>
    <xf numFmtId="165" fontId="19" fillId="0" borderId="4" xfId="0" applyFont="true" applyBorder="true" applyAlignment="true" applyProtection="false">
      <alignment horizontal="general" vertical="center" textRotation="0" wrapText="true" indent="0" shrinkToFit="false"/>
      <protection locked="true" hidden="false"/>
    </xf>
    <xf numFmtId="169" fontId="10" fillId="5" borderId="14" xfId="17" applyFont="true" applyBorder="true" applyAlignment="true" applyProtection="true">
      <alignment horizontal="center" vertical="center" textRotation="0" wrapText="true" indent="0" shrinkToFit="false"/>
      <protection locked="true" hidden="false"/>
    </xf>
    <xf numFmtId="164" fontId="10" fillId="5" borderId="37" xfId="0" applyFont="true" applyBorder="true" applyAlignment="true" applyProtection="false">
      <alignment horizontal="right" vertical="center" textRotation="0" wrapText="true" indent="0" shrinkToFit="false"/>
      <protection locked="true" hidden="false"/>
    </xf>
    <xf numFmtId="172" fontId="10" fillId="5" borderId="21" xfId="0" applyFont="true" applyBorder="true" applyAlignment="true" applyProtection="false">
      <alignment horizontal="center" vertical="center" textRotation="0" wrapText="true" indent="0" shrinkToFit="false"/>
      <protection locked="true" hidden="false"/>
    </xf>
    <xf numFmtId="169" fontId="10" fillId="5" borderId="19" xfId="17" applyFont="true" applyBorder="true" applyAlignment="true" applyProtection="true">
      <alignment horizontal="center" vertical="center" textRotation="0" wrapText="true" indent="0" shrinkToFit="false"/>
      <protection locked="true" hidden="false"/>
    </xf>
    <xf numFmtId="164" fontId="10" fillId="5" borderId="22" xfId="0" applyFont="true" applyBorder="true" applyAlignment="true" applyProtection="false">
      <alignment horizontal="right" vertical="center" textRotation="0" wrapText="true" indent="0" shrinkToFit="false"/>
      <protection locked="true" hidden="false"/>
    </xf>
    <xf numFmtId="169" fontId="10" fillId="5" borderId="25" xfId="17" applyFont="true" applyBorder="true" applyAlignment="true" applyProtection="true">
      <alignment horizontal="center" vertical="center" textRotation="0" wrapText="tru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0" fillId="5" borderId="38" xfId="0" applyFont="true" applyBorder="true" applyAlignment="true" applyProtection="false">
      <alignment horizontal="center" vertical="center" textRotation="0" wrapText="true" indent="0" shrinkToFit="false"/>
      <protection locked="true" hidden="false"/>
    </xf>
    <xf numFmtId="164" fontId="10" fillId="5" borderId="39" xfId="0" applyFont="true" applyBorder="true" applyAlignment="true" applyProtection="false">
      <alignment horizontal="center" vertical="center" textRotation="0" wrapText="true" indent="0" shrinkToFit="false"/>
      <protection locked="true" hidden="false"/>
    </xf>
    <xf numFmtId="164" fontId="10" fillId="5" borderId="9" xfId="0" applyFont="true" applyBorder="true" applyAlignment="true" applyProtection="false">
      <alignment horizontal="center" vertical="center" textRotation="0" wrapText="true" indent="0" shrinkToFit="false"/>
      <protection locked="true" hidden="false"/>
    </xf>
    <xf numFmtId="166" fontId="12" fillId="0" borderId="17" xfId="0" applyFont="true" applyBorder="true" applyAlignment="true" applyProtection="false">
      <alignment horizontal="center" vertical="center" textRotation="0" wrapText="true" indent="0" shrinkToFit="false"/>
      <protection locked="true" hidden="false"/>
    </xf>
    <xf numFmtId="165" fontId="19" fillId="0" borderId="4" xfId="0" applyFont="true" applyBorder="true" applyAlignment="true" applyProtection="false">
      <alignment horizontal="left" vertical="bottom" textRotation="0" wrapText="true" indent="0" shrinkToFit="false"/>
      <protection locked="true" hidden="false"/>
    </xf>
    <xf numFmtId="166" fontId="12" fillId="0" borderId="4" xfId="0" applyFont="true" applyBorder="true" applyAlignment="true" applyProtection="false">
      <alignment horizontal="center" vertical="center" textRotation="0" wrapText="true" indent="0" shrinkToFit="false"/>
      <protection locked="true" hidden="false"/>
    </xf>
    <xf numFmtId="169" fontId="10" fillId="5" borderId="34" xfId="17" applyFont="true" applyBorder="true" applyAlignment="true" applyProtection="true">
      <alignment horizontal="center" vertical="center" textRotation="0" wrapText="true" indent="0" shrinkToFit="false"/>
      <protection locked="true" hidden="false"/>
    </xf>
    <xf numFmtId="164" fontId="4" fillId="0" borderId="4" xfId="0" applyFont="true" applyBorder="true" applyAlignment="true" applyProtection="false">
      <alignment horizontal="center"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73" fontId="4" fillId="0" borderId="18" xfId="0" applyFont="true" applyBorder="true" applyAlignment="true" applyProtection="false">
      <alignment horizontal="center" vertical="center" textRotation="0" wrapText="false" indent="0" shrinkToFit="false"/>
      <protection locked="true" hidden="false"/>
    </xf>
    <xf numFmtId="164" fontId="4" fillId="0" borderId="18" xfId="0" applyFont="tru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false">
      <alignment horizontal="left"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20" fillId="0" borderId="1"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general" vertical="center" textRotation="0" wrapText="false" indent="0" shrinkToFit="false"/>
      <protection locked="true" hidden="false"/>
    </xf>
    <xf numFmtId="164" fontId="20" fillId="0" borderId="3"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21" fillId="0" borderId="0"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18" fillId="0" borderId="0" xfId="0" applyFont="true" applyBorder="false" applyAlignment="true" applyProtection="false">
      <alignment horizontal="left" vertical="bottom" textRotation="0" wrapText="false" indent="0" shrinkToFit="false"/>
      <protection locked="true" hidden="false"/>
    </xf>
    <xf numFmtId="164" fontId="12" fillId="2" borderId="9" xfId="0" applyFont="true" applyBorder="true" applyAlignment="true" applyProtection="false">
      <alignment horizontal="left" vertical="bottom"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9" borderId="0" xfId="0" applyFont="true" applyBorder="false" applyAlignment="false" applyProtection="false">
      <alignment horizontal="general" vertical="bottom" textRotation="0" wrapText="false" indent="0" shrinkToFit="false"/>
      <protection locked="true" hidden="false"/>
    </xf>
    <xf numFmtId="164" fontId="22" fillId="10" borderId="0" xfId="0" applyFont="true" applyBorder="false" applyAlignment="false" applyProtection="false">
      <alignment horizontal="general" vertical="bottom" textRotation="0" wrapText="false" indent="0" shrinkToFit="false"/>
      <protection locked="true" hidden="false"/>
    </xf>
    <xf numFmtId="164" fontId="12" fillId="9" borderId="0" xfId="0" applyFont="true" applyBorder="false" applyAlignment="true" applyProtection="false">
      <alignment horizontal="general" vertical="center" textRotation="0" wrapText="false" indent="0" shrinkToFit="false"/>
      <protection locked="true" hidden="false"/>
    </xf>
    <xf numFmtId="164" fontId="12" fillId="8"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5" fontId="4" fillId="0" borderId="0" xfId="0" applyFont="true" applyBorder="false" applyAlignment="true" applyProtection="false">
      <alignment horizontal="general" vertical="center" textRotation="0" wrapText="false" indent="0" shrinkToFit="false"/>
      <protection locked="true" hidden="false"/>
    </xf>
    <xf numFmtId="174" fontId="8" fillId="0"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true" indent="0" shrinkToFit="false"/>
      <protection locked="true" hidden="false"/>
    </xf>
    <xf numFmtId="164" fontId="12" fillId="11" borderId="4" xfId="0" applyFont="true" applyBorder="true" applyAlignment="true" applyProtection="false">
      <alignment horizontal="center" vertical="center" textRotation="0" wrapText="true" indent="0" shrinkToFit="false"/>
      <protection locked="true" hidden="false"/>
    </xf>
    <xf numFmtId="164" fontId="8" fillId="11" borderId="4" xfId="0" applyFont="true" applyBorder="true" applyAlignment="true" applyProtection="false">
      <alignment horizontal="center" vertical="center" textRotation="0" wrapText="true" indent="0" shrinkToFit="false"/>
      <protection locked="true" hidden="false"/>
    </xf>
    <xf numFmtId="175" fontId="9" fillId="0" borderId="0" xfId="0" applyFont="true" applyBorder="false" applyAlignment="true" applyProtection="false">
      <alignment horizontal="general" vertical="center" textRotation="0" wrapText="fals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6" fontId="4" fillId="0" borderId="4" xfId="0" applyFont="true" applyBorder="true" applyAlignment="true" applyProtection="false">
      <alignment horizontal="center" vertical="center" textRotation="0" wrapText="false" indent="0" shrinkToFit="false"/>
      <protection locked="true" hidden="false"/>
    </xf>
    <xf numFmtId="164" fontId="8" fillId="0" borderId="4" xfId="0" applyFont="true" applyBorder="true" applyAlignment="true" applyProtection="false">
      <alignment horizontal="center" vertical="center" textRotation="90" wrapText="false" indent="0" shrinkToFit="false"/>
      <protection locked="true" hidden="false"/>
    </xf>
    <xf numFmtId="164" fontId="4" fillId="0" borderId="4" xfId="0" applyFont="true" applyBorder="true" applyAlignment="true" applyProtection="false">
      <alignment horizontal="general" vertical="center" textRotation="0" wrapText="true" indent="0" shrinkToFit="false"/>
      <protection locked="true" hidden="false"/>
    </xf>
    <xf numFmtId="170" fontId="4" fillId="2" borderId="4" xfId="15" applyFont="true" applyBorder="true" applyAlignment="true" applyProtection="true">
      <alignment horizontal="center" vertical="center" textRotation="0" wrapText="false" indent="0" shrinkToFit="false"/>
      <protection locked="false" hidden="false"/>
    </xf>
    <xf numFmtId="170" fontId="4" fillId="0" borderId="4" xfId="15" applyFont="true" applyBorder="true" applyAlignment="true" applyProtection="true">
      <alignment horizontal="center" vertical="center" textRotation="0" wrapText="false" indent="0" shrinkToFit="false"/>
      <protection locked="true" hidden="false"/>
    </xf>
    <xf numFmtId="172" fontId="4" fillId="0" borderId="4" xfId="19" applyFont="true" applyBorder="true" applyAlignment="true" applyProtection="true">
      <alignment horizontal="center" vertical="center" textRotation="0" wrapText="false" indent="0" shrinkToFit="false"/>
      <protection locked="true" hidden="false"/>
    </xf>
    <xf numFmtId="170" fontId="8" fillId="0" borderId="4" xfId="15" applyFont="true" applyBorder="true" applyAlignment="true" applyProtection="true">
      <alignment horizontal="center" vertical="center" textRotation="0" wrapText="false" indent="0" shrinkToFit="false"/>
      <protection locked="true" hidden="false"/>
    </xf>
    <xf numFmtId="173" fontId="4" fillId="0" borderId="4" xfId="0" applyFont="true" applyBorder="true" applyAlignment="true" applyProtection="false">
      <alignment horizontal="center" vertical="center" textRotation="0" wrapText="false" indent="0" shrinkToFit="false"/>
      <protection locked="true" hidden="false"/>
    </xf>
    <xf numFmtId="168" fontId="15" fillId="7" borderId="4" xfId="15" applyFont="true" applyBorder="true" applyAlignment="true" applyProtection="true">
      <alignment horizontal="center" vertical="center" textRotation="0" wrapText="false" indent="0" shrinkToFit="false"/>
      <protection locked="true" hidden="false"/>
    </xf>
    <xf numFmtId="172" fontId="4" fillId="2" borderId="4" xfId="19" applyFont="true" applyBorder="true" applyAlignment="true" applyProtection="true">
      <alignment horizontal="center" vertical="center" textRotation="0" wrapText="false" indent="0" shrinkToFit="false"/>
      <protection locked="false" hidden="false"/>
    </xf>
    <xf numFmtId="172" fontId="4" fillId="8" borderId="4" xfId="19" applyFont="true" applyBorder="true" applyAlignment="true" applyProtection="true">
      <alignment horizontal="center" vertical="center" textRotation="0" wrapText="false" indent="0" shrinkToFit="false"/>
      <protection locked="true" hidden="false"/>
    </xf>
    <xf numFmtId="167" fontId="4" fillId="0" borderId="4" xfId="19" applyFont="true" applyBorder="true" applyAlignment="true" applyProtection="true">
      <alignment horizontal="center" vertical="center" textRotation="0" wrapText="false" indent="0" shrinkToFit="false"/>
      <protection locked="true" hidden="false"/>
    </xf>
    <xf numFmtId="172" fontId="4" fillId="12" borderId="4" xfId="19" applyFont="true" applyBorder="true" applyAlignment="true" applyProtection="true">
      <alignment horizontal="center" vertical="center" textRotation="0" wrapText="false" indent="0" shrinkToFit="false"/>
      <protection locked="false" hidden="false"/>
    </xf>
    <xf numFmtId="170" fontId="4" fillId="12" borderId="4" xfId="15" applyFont="true" applyBorder="true" applyAlignment="true" applyProtection="true">
      <alignment horizontal="center" vertical="center" textRotation="0" wrapText="false" indent="0" shrinkToFit="false"/>
      <protection locked="false" hidden="false"/>
    </xf>
    <xf numFmtId="167" fontId="4" fillId="12" borderId="4" xfId="19" applyFont="true" applyBorder="true" applyAlignment="true" applyProtection="true">
      <alignment horizontal="center" vertical="center" textRotation="0" wrapText="false" indent="0" shrinkToFit="false"/>
      <protection locked="true" hidden="false"/>
    </xf>
    <xf numFmtId="170" fontId="4" fillId="0" borderId="4" xfId="0" applyFont="true" applyBorder="true" applyAlignment="true" applyProtection="false">
      <alignment horizontal="center" vertical="center" textRotation="0" wrapText="false" indent="0" shrinkToFit="false"/>
      <protection locked="true" hidden="false"/>
    </xf>
    <xf numFmtId="164" fontId="8" fillId="0" borderId="4" xfId="0" applyFont="true" applyBorder="true" applyAlignment="tru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8" fillId="0" borderId="12" xfId="0" applyFont="true" applyBorder="true" applyAlignment="true" applyProtection="false">
      <alignment horizontal="center" vertical="center" textRotation="0" wrapText="false" indent="0" shrinkToFit="false"/>
      <protection locked="true" hidden="false"/>
    </xf>
    <xf numFmtId="170" fontId="8" fillId="0" borderId="12" xfId="15" applyFont="true" applyBorder="true" applyAlignment="true" applyProtection="true">
      <alignment horizontal="center" vertical="center" textRotation="0" wrapText="false" indent="0" shrinkToFit="false"/>
      <protection locked="true" hidden="false"/>
    </xf>
    <xf numFmtId="164" fontId="8" fillId="11" borderId="4" xfId="0" applyFont="tru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false">
      <alignment horizontal="left" vertical="center" textRotation="0" wrapText="false" indent="0" shrinkToFit="false"/>
      <protection locked="true" hidden="false"/>
    </xf>
    <xf numFmtId="164" fontId="8" fillId="2" borderId="4" xfId="0" applyFont="true" applyBorder="true" applyAlignment="true" applyProtection="true">
      <alignment horizontal="center" vertical="center" textRotation="0" wrapText="false" indent="0" shrinkToFit="false"/>
      <protection locked="false" hidden="false"/>
    </xf>
    <xf numFmtId="164" fontId="4" fillId="0" borderId="40" xfId="0" applyFont="true" applyBorder="true" applyAlignment="true" applyProtection="false">
      <alignment horizontal="general" vertical="center" textRotation="0" wrapText="false" indent="0" shrinkToFit="false"/>
      <protection locked="true" hidden="false"/>
    </xf>
    <xf numFmtId="172" fontId="8" fillId="0" borderId="4" xfId="19" applyFont="true" applyBorder="true" applyAlignment="true" applyProtection="true">
      <alignment horizontal="center" vertical="center" textRotation="0" wrapText="false" indent="0" shrinkToFit="false"/>
      <protection locked="true" hidden="false"/>
    </xf>
    <xf numFmtId="167" fontId="4" fillId="2" borderId="4" xfId="0" applyFont="true" applyBorder="true" applyAlignment="true" applyProtection="true">
      <alignment horizontal="center" vertical="center" textRotation="0" wrapText="false" indent="0" shrinkToFit="false"/>
      <protection locked="false" hidden="false"/>
    </xf>
    <xf numFmtId="164" fontId="4" fillId="0" borderId="18" xfId="0" applyFont="true" applyBorder="true" applyAlignment="true" applyProtection="false">
      <alignment horizontal="general" vertical="center" textRotation="0" wrapText="false" indent="0" shrinkToFit="false"/>
      <protection locked="true" hidden="false"/>
    </xf>
    <xf numFmtId="164" fontId="4" fillId="0" borderId="41" xfId="0" applyFont="true" applyBorder="true" applyAlignment="true" applyProtection="false">
      <alignment horizontal="general" vertical="center" textRotation="0" wrapText="false" indent="0" shrinkToFit="false"/>
      <protection locked="true" hidden="false"/>
    </xf>
    <xf numFmtId="168" fontId="4" fillId="0" borderId="21" xfId="15" applyFont="true" applyBorder="true" applyAlignment="true" applyProtection="true">
      <alignment horizontal="general" vertical="center" textRotation="0" wrapText="false" indent="0" shrinkToFit="false"/>
      <protection locked="true" hidden="false"/>
    </xf>
    <xf numFmtId="164" fontId="4" fillId="2" borderId="4" xfId="0" applyFont="true" applyBorder="true" applyAlignment="true" applyProtection="true">
      <alignment horizontal="center" vertical="center" textRotation="0" wrapText="false" indent="0" shrinkToFit="false"/>
      <protection locked="false" hidden="false"/>
    </xf>
    <xf numFmtId="164" fontId="4" fillId="0" borderId="40" xfId="0" applyFont="true" applyBorder="true" applyAlignment="true" applyProtection="false">
      <alignment horizontal="center" vertical="center" textRotation="0" wrapText="fals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67" fontId="4" fillId="2" borderId="4" xfId="0" applyFont="true" applyBorder="true" applyAlignment="true" applyProtection="true">
      <alignment horizontal="center" vertical="center" textRotation="0" wrapText="true" indent="0" shrinkToFit="false"/>
      <protection locked="false" hidden="false"/>
    </xf>
    <xf numFmtId="170" fontId="24" fillId="0" borderId="4" xfId="0" applyFont="tru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false">
      <alignment horizontal="left" vertical="center" textRotation="0" wrapText="true" indent="0" shrinkToFit="false"/>
      <protection locked="true" hidden="false"/>
    </xf>
    <xf numFmtId="172" fontId="4" fillId="2" borderId="4" xfId="0" applyFont="true" applyBorder="true" applyAlignment="true" applyProtection="true">
      <alignment horizontal="center" vertical="center" textRotation="0" wrapText="false" indent="0" shrinkToFit="false"/>
      <protection locked="false" hidden="false"/>
    </xf>
    <xf numFmtId="164" fontId="4" fillId="2" borderId="4" xfId="0" applyFont="true" applyBorder="true" applyAlignment="true" applyProtection="true">
      <alignment horizontal="left" vertical="center" textRotation="0" wrapText="false" indent="0" shrinkToFit="false"/>
      <protection locked="false" hidden="false"/>
    </xf>
    <xf numFmtId="165" fontId="8" fillId="11" borderId="4" xfId="0" applyFont="true" applyBorder="true" applyAlignment="true" applyProtection="false">
      <alignment horizontal="center" vertical="center" textRotation="0" wrapText="true" indent="0" shrinkToFit="false"/>
      <protection locked="true" hidden="false"/>
    </xf>
    <xf numFmtId="168" fontId="4" fillId="0" borderId="0" xfId="15" applyFont="true" applyBorder="true" applyAlignment="false" applyProtection="true">
      <alignment horizontal="general" vertical="bottom" textRotation="0" wrapText="false" indent="0" shrinkToFit="false"/>
      <protection locked="true" hidden="false"/>
    </xf>
    <xf numFmtId="172" fontId="17" fillId="0" borderId="4" xfId="0" applyFont="true" applyBorder="true" applyAlignment="true" applyProtection="false">
      <alignment horizontal="center" vertical="center" textRotation="0" wrapText="false" indent="0" shrinkToFit="false"/>
      <protection locked="true" hidden="false"/>
    </xf>
    <xf numFmtId="164" fontId="17" fillId="0" borderId="4" xfId="0" applyFont="true" applyBorder="true" applyAlignment="true" applyProtection="false">
      <alignment horizontal="center" vertical="center" textRotation="0" wrapText="false" indent="0" shrinkToFit="false"/>
      <protection locked="true" hidden="false"/>
    </xf>
    <xf numFmtId="167" fontId="4" fillId="9" borderId="4" xfId="0" applyFont="true" applyBorder="true" applyAlignment="true" applyProtection="false">
      <alignment horizontal="center" vertical="center" textRotation="0" wrapText="false" indent="0" shrinkToFit="false"/>
      <protection locked="true" hidden="false"/>
    </xf>
    <xf numFmtId="174" fontId="4" fillId="0" borderId="4" xfId="0" applyFont="true" applyBorder="true" applyAlignment="true" applyProtection="false">
      <alignment horizontal="center" vertical="center" textRotation="0" wrapText="false" indent="0" shrinkToFit="false"/>
      <protection locked="true" hidden="false"/>
    </xf>
    <xf numFmtId="167" fontId="4" fillId="0" borderId="4"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25" fillId="11" borderId="4" xfId="0" applyFont="true" applyBorder="true" applyAlignment="true" applyProtection="false">
      <alignment horizontal="center" vertical="center" textRotation="0" wrapText="true" indent="0" shrinkToFit="false"/>
      <protection locked="true" hidden="false"/>
    </xf>
    <xf numFmtId="164" fontId="8" fillId="11" borderId="23" xfId="0" applyFont="true" applyBorder="true" applyAlignment="true" applyProtection="false">
      <alignment horizontal="center" vertical="center" textRotation="0" wrapText="true" indent="0" shrinkToFit="false"/>
      <protection locked="true" hidden="false"/>
    </xf>
    <xf numFmtId="164" fontId="8" fillId="0" borderId="33" xfId="0" applyFont="true" applyBorder="true" applyAlignment="true" applyProtection="false">
      <alignment horizontal="left" vertical="center" textRotation="0" wrapText="false" indent="0" shrinkToFit="false"/>
      <protection locked="true" hidden="false"/>
    </xf>
    <xf numFmtId="164" fontId="4" fillId="0" borderId="42" xfId="0" applyFont="true" applyBorder="true" applyAlignment="true" applyProtection="false">
      <alignment horizontal="center" vertical="bottom" textRotation="0" wrapText="false" indent="0" shrinkToFit="false"/>
      <protection locked="true" hidden="false"/>
    </xf>
    <xf numFmtId="164" fontId="4" fillId="0" borderId="33" xfId="0" applyFont="true" applyBorder="true" applyAlignment="false" applyProtection="false">
      <alignment horizontal="general" vertical="bottom" textRotation="0" wrapText="false" indent="0" shrinkToFit="false"/>
      <protection locked="true" hidden="false"/>
    </xf>
    <xf numFmtId="164" fontId="4" fillId="0" borderId="23" xfId="0" applyFont="true" applyBorder="true" applyAlignment="true" applyProtection="false">
      <alignment horizontal="left" vertical="center" textRotation="0" wrapText="false" indent="0" shrinkToFit="false"/>
      <protection locked="true" hidden="false"/>
    </xf>
    <xf numFmtId="164" fontId="4" fillId="0" borderId="43" xfId="0" applyFont="true" applyBorder="true" applyAlignment="true" applyProtection="false">
      <alignment horizontal="left" vertical="center" textRotation="0" wrapText="false" indent="0" shrinkToFit="false"/>
      <protection locked="true" hidden="false"/>
    </xf>
    <xf numFmtId="164" fontId="8" fillId="0" borderId="12" xfId="0" applyFont="true" applyBorder="true" applyAlignment="true" applyProtection="false">
      <alignment horizontal="left" vertical="center" textRotation="0" wrapText="false" indent="0" shrinkToFit="false"/>
      <protection locked="true" hidden="false"/>
    </xf>
    <xf numFmtId="164" fontId="4" fillId="0" borderId="12"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5" fillId="0" borderId="44" xfId="0" applyFont="true" applyBorder="true" applyAlignment="true" applyProtection="false">
      <alignment horizontal="general" vertical="center"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4" fontId="5" fillId="0" borderId="45" xfId="0" applyFont="true" applyBorder="true" applyAlignment="true" applyProtection="false">
      <alignment horizontal="general"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6" fillId="11" borderId="46" xfId="0" applyFont="true" applyBorder="true" applyAlignment="true" applyProtection="false">
      <alignment horizontal="center" vertical="center" textRotation="0" wrapText="false" indent="0" shrinkToFit="false"/>
      <protection locked="true" hidden="false"/>
    </xf>
    <xf numFmtId="164" fontId="10" fillId="13" borderId="15" xfId="0" applyFont="true" applyBorder="true" applyAlignment="true" applyProtection="false">
      <alignment horizontal="center" vertical="bottom" textRotation="0" wrapText="true" indent="0" shrinkToFit="false"/>
      <protection locked="true" hidden="false"/>
    </xf>
    <xf numFmtId="164" fontId="10" fillId="11" borderId="20" xfId="0" applyFont="true" applyBorder="true" applyAlignment="true" applyProtection="false">
      <alignment horizontal="center" vertical="center" textRotation="0" wrapText="false" indent="0" shrinkToFit="false"/>
      <protection locked="true" hidden="false"/>
    </xf>
    <xf numFmtId="164" fontId="27" fillId="0" borderId="17" xfId="0" applyFont="true" applyBorder="true" applyAlignment="true" applyProtection="false">
      <alignment horizontal="center" vertical="bottom" textRotation="0" wrapText="false" indent="0" shrinkToFit="false"/>
      <protection locked="true" hidden="false"/>
    </xf>
    <xf numFmtId="164" fontId="27" fillId="0" borderId="4"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center" vertical="bottom" textRotation="0" wrapText="false" indent="0" shrinkToFit="false"/>
      <protection locked="true" hidden="false"/>
    </xf>
    <xf numFmtId="164" fontId="28" fillId="11" borderId="17" xfId="0" applyFont="true" applyBorder="true" applyAlignment="true" applyProtection="false">
      <alignment horizontal="center" vertical="center" textRotation="0" wrapText="false" indent="0" shrinkToFit="false"/>
      <protection locked="true" hidden="false"/>
    </xf>
    <xf numFmtId="164" fontId="28" fillId="11" borderId="19" xfId="0" applyFont="true" applyBorder="true" applyAlignment="true" applyProtection="false">
      <alignment horizontal="left" vertical="center" textRotation="0" wrapText="false" indent="0" shrinkToFit="false"/>
      <protection locked="true" hidden="false"/>
    </xf>
    <xf numFmtId="164" fontId="13" fillId="0" borderId="17" xfId="0" applyFont="true" applyBorder="true" applyAlignment="true" applyProtection="false">
      <alignment horizontal="center" vertical="center" textRotation="0" wrapText="false" indent="0" shrinkToFit="false"/>
      <protection locked="true" hidden="false"/>
    </xf>
    <xf numFmtId="164" fontId="13" fillId="0" borderId="4" xfId="0" applyFont="true" applyBorder="true" applyAlignment="true" applyProtection="false">
      <alignment horizontal="general" vertical="center" textRotation="0" wrapText="false" indent="0" shrinkToFit="false"/>
      <protection locked="true" hidden="false"/>
    </xf>
    <xf numFmtId="172" fontId="13" fillId="2" borderId="19" xfId="0" applyFont="true" applyBorder="true" applyAlignment="true" applyProtection="true">
      <alignment horizontal="center" vertical="center" textRotation="0" wrapText="false" indent="0" shrinkToFit="false"/>
      <protection locked="false" hidden="false"/>
    </xf>
    <xf numFmtId="172" fontId="13" fillId="0" borderId="19" xfId="0" applyFont="true" applyBorder="true" applyAlignment="true" applyProtection="false">
      <alignment horizontal="center" vertical="center" textRotation="0" wrapText="false" indent="0" shrinkToFit="false"/>
      <protection locked="true" hidden="false"/>
    </xf>
    <xf numFmtId="167" fontId="0" fillId="0" borderId="0" xfId="0" applyFont="true" applyBorder="false" applyAlignment="false" applyProtection="false">
      <alignment horizontal="general" vertical="bottom" textRotation="0" wrapText="false" indent="0" shrinkToFit="false"/>
      <protection locked="true" hidden="false"/>
    </xf>
    <xf numFmtId="164" fontId="28" fillId="11" borderId="17" xfId="0" applyFont="true" applyBorder="true" applyAlignment="true" applyProtection="false">
      <alignment horizontal="left" vertical="center" textRotation="0" wrapText="false" indent="0" shrinkToFit="false"/>
      <protection locked="true" hidden="false"/>
    </xf>
    <xf numFmtId="172" fontId="28" fillId="11" borderId="19" xfId="0" applyFont="true" applyBorder="true" applyAlignment="true" applyProtection="false">
      <alignment horizontal="center" vertical="center" textRotation="0" wrapText="false" indent="0" shrinkToFit="false"/>
      <protection locked="true" hidden="false"/>
    </xf>
    <xf numFmtId="164" fontId="28" fillId="11" borderId="20" xfId="0" applyFont="true" applyBorder="true" applyAlignment="true" applyProtection="false">
      <alignment horizontal="left" vertical="center" textRotation="0" wrapText="false" indent="0" shrinkToFit="false"/>
      <protection locked="true" hidden="false"/>
    </xf>
    <xf numFmtId="164" fontId="13" fillId="0" borderId="18" xfId="0" applyFont="true" applyBorder="true" applyAlignment="true" applyProtection="false">
      <alignment horizontal="general" vertical="center" textRotation="0" wrapText="false" indent="0" shrinkToFit="false"/>
      <protection locked="true" hidden="false"/>
    </xf>
    <xf numFmtId="172" fontId="22" fillId="14" borderId="19" xfId="19" applyFont="true" applyBorder="true" applyAlignment="true" applyProtection="true">
      <alignment horizontal="center" vertical="center" textRotation="0" wrapText="false" indent="0" shrinkToFit="false"/>
      <protection locked="true" hidden="false"/>
    </xf>
    <xf numFmtId="164" fontId="28" fillId="0" borderId="17" xfId="0" applyFont="true" applyBorder="true" applyAlignment="true" applyProtection="false">
      <alignment horizontal="left" vertical="center" textRotation="0" wrapText="false" indent="0" shrinkToFit="false"/>
      <protection locked="true" hidden="false"/>
    </xf>
    <xf numFmtId="172" fontId="29" fillId="0" borderId="19" xfId="0" applyFont="true" applyBorder="true" applyAlignment="true" applyProtection="false">
      <alignment horizontal="center" vertical="center" textRotation="0" wrapText="false" indent="0" shrinkToFit="false"/>
      <protection locked="true" hidden="false"/>
    </xf>
    <xf numFmtId="164" fontId="13" fillId="0" borderId="17" xfId="0" applyFont="true" applyBorder="true" applyAlignment="true" applyProtection="false">
      <alignment horizontal="left" vertical="center" textRotation="0" wrapText="true" indent="0" shrinkToFit="false"/>
      <protection locked="true" hidden="false"/>
    </xf>
    <xf numFmtId="172" fontId="19" fillId="0" borderId="14" xfId="0" applyFont="true" applyBorder="true" applyAlignment="true" applyProtection="false">
      <alignment horizontal="center" vertical="center" textRotation="0" wrapText="false" indent="0" shrinkToFit="false"/>
      <protection locked="true" hidden="false"/>
    </xf>
    <xf numFmtId="172" fontId="30" fillId="0" borderId="19" xfId="0" applyFont="true" applyBorder="true" applyAlignment="true" applyProtection="false">
      <alignment horizontal="center" vertical="center" textRotation="0" wrapText="false" indent="0" shrinkToFit="false"/>
      <protection locked="true" hidden="false"/>
    </xf>
    <xf numFmtId="164" fontId="13" fillId="0" borderId="17" xfId="0" applyFont="true" applyBorder="true" applyAlignment="true" applyProtection="false">
      <alignment horizontal="left" vertical="center" textRotation="0" wrapText="false" indent="0" shrinkToFit="false"/>
      <protection locked="true" hidden="false"/>
    </xf>
    <xf numFmtId="164" fontId="29" fillId="0" borderId="17" xfId="0" applyFont="true" applyBorder="true" applyAlignment="true" applyProtection="false">
      <alignment horizontal="left" vertical="center" textRotation="0" wrapText="false" indent="0" shrinkToFit="false"/>
      <protection locked="true" hidden="false"/>
    </xf>
    <xf numFmtId="164" fontId="31" fillId="15" borderId="35" xfId="0" applyFont="true" applyBorder="true" applyAlignment="true" applyProtection="false">
      <alignment horizontal="center" vertical="center" textRotation="0" wrapText="true" indent="0" shrinkToFit="false"/>
      <protection locked="true" hidden="false"/>
    </xf>
    <xf numFmtId="164" fontId="20" fillId="0" borderId="17" xfId="0" applyFont="true" applyBorder="true" applyAlignment="true" applyProtection="false">
      <alignment horizontal="center" vertical="center" textRotation="0" wrapText="true" indent="0" shrinkToFit="false"/>
      <protection locked="true" hidden="false"/>
    </xf>
    <xf numFmtId="164" fontId="20" fillId="0" borderId="19" xfId="0" applyFont="true" applyBorder="true" applyAlignment="true" applyProtection="false">
      <alignment horizontal="center" vertical="center" textRotation="0" wrapText="true" indent="0" shrinkToFit="false"/>
      <protection locked="true" hidden="false"/>
    </xf>
    <xf numFmtId="164" fontId="29" fillId="0" borderId="17" xfId="0" applyFont="true" applyBorder="true" applyAlignment="true" applyProtection="false">
      <alignment horizontal="center" vertical="center" textRotation="0" wrapText="false" indent="0" shrinkToFit="false"/>
      <protection locked="true" hidden="false"/>
    </xf>
    <xf numFmtId="164" fontId="29" fillId="0" borderId="4" xfId="0" applyFont="true" applyBorder="true" applyAlignment="true" applyProtection="false">
      <alignment horizontal="left" vertical="center" textRotation="0" wrapText="false" indent="0" shrinkToFit="false"/>
      <protection locked="true" hidden="false"/>
    </xf>
    <xf numFmtId="164" fontId="12" fillId="15" borderId="17" xfId="0" applyFont="true" applyBorder="true" applyAlignment="true" applyProtection="false">
      <alignment horizontal="center" vertical="center" textRotation="0" wrapText="true" indent="0" shrinkToFit="false"/>
      <protection locked="true" hidden="false"/>
    </xf>
    <xf numFmtId="164" fontId="12" fillId="15" borderId="4" xfId="0" applyFont="true" applyBorder="true" applyAlignment="true" applyProtection="false">
      <alignment horizontal="center" vertical="center" textRotation="0" wrapText="true" indent="0" shrinkToFit="false"/>
      <protection locked="true" hidden="false"/>
    </xf>
    <xf numFmtId="164" fontId="11" fillId="15" borderId="19" xfId="0" applyFont="true" applyBorder="true" applyAlignment="true" applyProtection="false">
      <alignment horizontal="center" vertical="center" textRotation="0" wrapText="true" indent="0" shrinkToFit="false"/>
      <protection locked="true" hidden="false"/>
    </xf>
    <xf numFmtId="172" fontId="12" fillId="15" borderId="4" xfId="0" applyFont="true" applyBorder="true" applyAlignment="true" applyProtection="false">
      <alignment horizontal="center" vertical="center" textRotation="0" wrapText="true" indent="0" shrinkToFit="false"/>
      <protection locked="true" hidden="false"/>
    </xf>
    <xf numFmtId="172" fontId="14" fillId="15" borderId="19" xfId="0" applyFont="true" applyBorder="true" applyAlignment="true" applyProtection="false">
      <alignment horizontal="center" vertical="center" textRotation="0" wrapText="true" indent="0" shrinkToFit="false"/>
      <protection locked="true" hidden="false"/>
    </xf>
    <xf numFmtId="164" fontId="28" fillId="11" borderId="20" xfId="0" applyFont="true" applyBorder="true" applyAlignment="true" applyProtection="false">
      <alignment horizontal="center" vertical="center" textRotation="0" wrapText="false" indent="0" shrinkToFit="false"/>
      <protection locked="true" hidden="false"/>
    </xf>
    <xf numFmtId="164" fontId="13" fillId="0" borderId="17" xfId="0" applyFont="true" applyBorder="true" applyAlignment="true" applyProtection="false">
      <alignment horizontal="center" vertical="center" textRotation="0" wrapText="true" indent="0" shrinkToFit="false"/>
      <protection locked="true" hidden="false"/>
    </xf>
    <xf numFmtId="172" fontId="13" fillId="0" borderId="4" xfId="0" applyFont="true" applyBorder="true" applyAlignment="true" applyProtection="false">
      <alignment horizontal="center" vertical="center" textRotation="0" wrapText="true" indent="0" shrinkToFit="false"/>
      <protection locked="true" hidden="false"/>
    </xf>
    <xf numFmtId="172" fontId="13" fillId="0" borderId="19" xfId="0" applyFont="true" applyBorder="true" applyAlignment="true" applyProtection="false">
      <alignment horizontal="center" vertical="center" textRotation="0" wrapText="true" indent="0" shrinkToFit="false"/>
      <protection locked="true" hidden="false"/>
    </xf>
    <xf numFmtId="164" fontId="29" fillId="15" borderId="17" xfId="0" applyFont="true" applyBorder="true" applyAlignment="true" applyProtection="false">
      <alignment horizontal="center" vertical="center" textRotation="0" wrapText="true" indent="0" shrinkToFit="false"/>
      <protection locked="true" hidden="false"/>
    </xf>
    <xf numFmtId="172" fontId="29" fillId="15" borderId="4" xfId="0" applyFont="true" applyBorder="true" applyAlignment="true" applyProtection="false">
      <alignment horizontal="center" vertical="center" textRotation="0" wrapText="true" indent="0" shrinkToFit="false"/>
      <protection locked="true" hidden="false"/>
    </xf>
    <xf numFmtId="172" fontId="29" fillId="15" borderId="19" xfId="0" applyFont="true" applyBorder="true" applyAlignment="true" applyProtection="false">
      <alignment horizontal="center" vertical="center" textRotation="0" wrapText="true" indent="0" shrinkToFit="false"/>
      <protection locked="true" hidden="false"/>
    </xf>
    <xf numFmtId="172" fontId="13" fillId="0" borderId="47" xfId="0" applyFont="true" applyBorder="true" applyAlignment="true" applyProtection="false">
      <alignment horizontal="center" vertical="center" textRotation="0" wrapText="true" indent="0" shrinkToFit="false"/>
      <protection locked="true" hidden="false"/>
    </xf>
    <xf numFmtId="164" fontId="28" fillId="11" borderId="48" xfId="0" applyFont="true" applyBorder="true" applyAlignment="true" applyProtection="false">
      <alignment horizontal="left" vertical="center" textRotation="0" wrapText="false" indent="0" shrinkToFit="false"/>
      <protection locked="true" hidden="false"/>
    </xf>
    <xf numFmtId="164" fontId="29" fillId="0" borderId="17" xfId="0" applyFont="true" applyBorder="true" applyAlignment="true" applyProtection="false">
      <alignment horizontal="center" vertical="center" textRotation="0" wrapText="true" indent="0" shrinkToFit="false"/>
      <protection locked="true" hidden="false"/>
    </xf>
    <xf numFmtId="172" fontId="29" fillId="0" borderId="4" xfId="0" applyFont="true" applyBorder="true" applyAlignment="true" applyProtection="false">
      <alignment horizontal="center" vertical="center" textRotation="0" wrapText="true" indent="0" shrinkToFit="false"/>
      <protection locked="true" hidden="false"/>
    </xf>
    <xf numFmtId="172" fontId="32" fillId="0" borderId="47" xfId="0" applyFont="true" applyBorder="true" applyAlignment="true" applyProtection="false">
      <alignment horizontal="center" vertical="center" textRotation="0" wrapText="true" indent="0" shrinkToFit="false"/>
      <protection locked="true" hidden="false"/>
    </xf>
    <xf numFmtId="164" fontId="22" fillId="14" borderId="3" xfId="0" applyFont="true" applyBorder="true" applyAlignment="true" applyProtection="false">
      <alignment horizontal="left" vertical="center" textRotation="0" wrapText="false" indent="0" shrinkToFit="false"/>
      <protection locked="true" hidden="false"/>
    </xf>
    <xf numFmtId="164" fontId="22" fillId="14" borderId="0" xfId="0" applyFont="true" applyBorder="false" applyAlignment="false" applyProtection="false">
      <alignment horizontal="general" vertical="bottom" textRotation="0" wrapText="false" indent="0" shrinkToFit="false"/>
      <protection locked="true" hidden="false"/>
    </xf>
    <xf numFmtId="164" fontId="22" fillId="14" borderId="45" xfId="0" applyFont="true" applyBorder="true" applyAlignment="false" applyProtection="false">
      <alignment horizontal="general" vertical="bottom" textRotation="0" wrapText="false" indent="0" shrinkToFit="false"/>
      <protection locked="true" hidden="false"/>
    </xf>
    <xf numFmtId="164" fontId="22" fillId="14" borderId="49" xfId="0" applyFont="true" applyBorder="true" applyAlignment="true" applyProtection="false">
      <alignment horizontal="justify" vertical="bottom" textRotation="0" wrapText="true" indent="0" shrinkToFit="false"/>
      <protection locked="true" hidden="false"/>
    </xf>
    <xf numFmtId="164" fontId="29" fillId="15" borderId="22" xfId="0" applyFont="true" applyBorder="true" applyAlignment="true" applyProtection="false">
      <alignment horizontal="center" vertical="center" textRotation="0" wrapText="true" indent="0" shrinkToFit="false"/>
      <protection locked="true" hidden="false"/>
    </xf>
    <xf numFmtId="172" fontId="29" fillId="15" borderId="23" xfId="0" applyFont="true" applyBorder="true" applyAlignment="true" applyProtection="false">
      <alignment horizontal="center" vertical="center" textRotation="0" wrapText="true" indent="0" shrinkToFit="false"/>
      <protection locked="true" hidden="false"/>
    </xf>
    <xf numFmtId="172" fontId="32" fillId="15" borderId="25"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64" fontId="12" fillId="0" borderId="2" xfId="0" applyFont="true" applyBorder="true" applyAlignment="false" applyProtection="false">
      <alignment horizontal="general" vertical="bottom" textRotation="0" wrapText="false" indent="0" shrinkToFit="false"/>
      <protection locked="true" hidden="false"/>
    </xf>
    <xf numFmtId="164" fontId="12" fillId="0" borderId="44" xfId="0" applyFont="true" applyBorder="true" applyAlignment="false" applyProtection="false">
      <alignment horizontal="general" vertical="bottom" textRotation="0" wrapText="false" indent="0" shrinkToFit="false"/>
      <protection locked="true" hidden="false"/>
    </xf>
    <xf numFmtId="164" fontId="12" fillId="0" borderId="3" xfId="0" applyFont="true" applyBorder="true" applyAlignment="false" applyProtection="false">
      <alignment horizontal="general" vertical="bottom" textRotation="0" wrapText="false" indent="0" shrinkToFit="false"/>
      <protection locked="true" hidden="false"/>
    </xf>
    <xf numFmtId="164" fontId="12" fillId="0" borderId="45" xfId="0" applyFont="true" applyBorder="true" applyAlignment="false" applyProtection="false">
      <alignment horizontal="general" vertical="bottom" textRotation="0" wrapText="false" indent="0" shrinkToFit="false"/>
      <protection locked="true" hidden="false"/>
    </xf>
    <xf numFmtId="164" fontId="23" fillId="11" borderId="46"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false" applyAlignment="true" applyProtection="false">
      <alignment horizontal="center" vertical="center" textRotation="0" wrapText="false" indent="0" shrinkToFit="false"/>
      <protection locked="true" hidden="false"/>
    </xf>
    <xf numFmtId="164" fontId="8" fillId="13" borderId="15"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33" fillId="11" borderId="17" xfId="0" applyFont="true" applyBorder="true" applyAlignment="true" applyProtection="false">
      <alignment horizontal="center" vertical="center" textRotation="0" wrapText="true" indent="0" shrinkToFit="false"/>
      <protection locked="true" hidden="false"/>
    </xf>
    <xf numFmtId="164" fontId="10" fillId="11" borderId="4" xfId="0" applyFont="true" applyBorder="true" applyAlignment="true" applyProtection="false">
      <alignment horizontal="center" vertical="center" textRotation="0" wrapText="true" indent="0" shrinkToFit="false"/>
      <protection locked="true" hidden="false"/>
    </xf>
    <xf numFmtId="164" fontId="10" fillId="11" borderId="19" xfId="0" applyFont="true" applyBorder="true" applyAlignment="true" applyProtection="false">
      <alignment horizontal="center" vertical="center" textRotation="0" wrapText="true" indent="0" shrinkToFit="false"/>
      <protection locked="true" hidden="false"/>
    </xf>
    <xf numFmtId="164" fontId="10" fillId="16" borderId="4" xfId="0" applyFont="true" applyBorder="true" applyAlignment="true" applyProtection="false">
      <alignment horizontal="center" vertical="center" textRotation="0" wrapText="true" indent="0" shrinkToFit="false"/>
      <protection locked="true" hidden="false"/>
    </xf>
    <xf numFmtId="164" fontId="10" fillId="11" borderId="43" xfId="0" applyFont="true" applyBorder="true" applyAlignment="true" applyProtection="false">
      <alignment horizontal="center" vertical="center" textRotation="0" wrapText="true" indent="0" shrinkToFit="false"/>
      <protection locked="true" hidden="false"/>
    </xf>
    <xf numFmtId="164" fontId="29" fillId="11" borderId="4" xfId="0" applyFont="true" applyBorder="true" applyAlignment="true" applyProtection="false">
      <alignment horizontal="center" vertical="center" textRotation="0" wrapText="true" indent="0" shrinkToFit="false"/>
      <protection locked="true" hidden="false"/>
    </xf>
    <xf numFmtId="164" fontId="10" fillId="16" borderId="12" xfId="0" applyFont="true" applyBorder="true" applyAlignment="true" applyProtection="false">
      <alignment horizontal="center" vertical="center" textRotation="0" wrapText="true" indent="0" shrinkToFit="false"/>
      <protection locked="true" hidden="false"/>
    </xf>
    <xf numFmtId="164" fontId="10" fillId="16" borderId="13" xfId="0" applyFont="true" applyBorder="true" applyAlignment="true" applyProtection="false">
      <alignment horizontal="center" vertical="center" textRotation="0" wrapText="true" indent="0" shrinkToFit="false"/>
      <protection locked="true" hidden="false"/>
    </xf>
    <xf numFmtId="164" fontId="11" fillId="5" borderId="11" xfId="0" applyFont="true" applyBorder="true" applyAlignment="true" applyProtection="false">
      <alignment horizontal="center" vertical="center" textRotation="0" wrapText="true" indent="0" shrinkToFit="false"/>
      <protection locked="true" hidden="false"/>
    </xf>
    <xf numFmtId="166" fontId="5" fillId="0" borderId="37" xfId="0" applyFont="true" applyBorder="true" applyAlignment="true" applyProtection="false">
      <alignment horizontal="center" vertical="center" textRotation="0" wrapText="true" indent="0" shrinkToFit="false"/>
      <protection locked="true" hidden="false"/>
    </xf>
    <xf numFmtId="164" fontId="0" fillId="0" borderId="4" xfId="0" applyFont="true" applyBorder="true" applyAlignment="true" applyProtection="false">
      <alignment horizontal="justify" vertical="bottom" textRotation="0" wrapText="true" indent="0" shrinkToFit="false"/>
      <protection locked="true" hidden="false"/>
    </xf>
    <xf numFmtId="164" fontId="12" fillId="8" borderId="21" xfId="0" applyFont="true" applyBorder="true" applyAlignment="true" applyProtection="false">
      <alignment horizontal="center" vertical="center" textRotation="0" wrapText="true" indent="0" shrinkToFit="false"/>
      <protection locked="true" hidden="false"/>
    </xf>
    <xf numFmtId="164" fontId="12" fillId="8" borderId="4" xfId="0" applyFont="true" applyBorder="true" applyAlignment="true" applyProtection="false">
      <alignment horizontal="center" vertical="center" textRotation="0" wrapText="true" indent="0" shrinkToFit="false"/>
      <protection locked="true" hidden="false"/>
    </xf>
    <xf numFmtId="166" fontId="12" fillId="8" borderId="4" xfId="0" applyFont="true" applyBorder="true" applyAlignment="true" applyProtection="false">
      <alignment horizontal="center" vertical="center" textRotation="0" wrapText="true" indent="0" shrinkToFit="false"/>
      <protection locked="true" hidden="false"/>
    </xf>
    <xf numFmtId="164" fontId="12" fillId="8" borderId="18" xfId="0" applyFont="true" applyBorder="true" applyAlignment="true" applyProtection="false">
      <alignment horizontal="center" vertical="center" textRotation="0" wrapText="true" indent="0" shrinkToFit="false"/>
      <protection locked="true" hidden="false"/>
    </xf>
    <xf numFmtId="167" fontId="12" fillId="2" borderId="4" xfId="0" applyFont="true" applyBorder="true" applyAlignment="true" applyProtection="true">
      <alignment horizontal="center" vertical="center" textRotation="0" wrapText="false" indent="0" shrinkToFit="false"/>
      <protection locked="false" hidden="false"/>
    </xf>
    <xf numFmtId="164" fontId="12" fillId="2" borderId="19" xfId="0" applyFont="true" applyBorder="true" applyAlignment="true" applyProtection="true">
      <alignment horizontal="general" vertical="center" textRotation="0" wrapText="true" indent="0" shrinkToFit="false"/>
      <protection locked="false" hidden="false"/>
    </xf>
    <xf numFmtId="167" fontId="12" fillId="0" borderId="4" xfId="0" applyFont="true" applyBorder="true" applyAlignment="true" applyProtection="false">
      <alignment horizontal="center" vertical="center" textRotation="0" wrapText="true" indent="0" shrinkToFit="false"/>
      <protection locked="true" hidden="false"/>
    </xf>
    <xf numFmtId="164" fontId="14" fillId="0" borderId="17" xfId="0" applyFont="true" applyBorder="true" applyAlignment="true" applyProtection="false">
      <alignment horizontal="center" vertical="center" textRotation="0" wrapText="false" indent="0" shrinkToFit="false"/>
      <protection locked="true" hidden="false"/>
    </xf>
    <xf numFmtId="164" fontId="12" fillId="2" borderId="19" xfId="0" applyFont="true" applyBorder="true" applyAlignment="true" applyProtection="true">
      <alignment horizontal="general" vertical="center" textRotation="0" wrapText="false" indent="0" shrinkToFit="false"/>
      <protection locked="false" hidden="false"/>
    </xf>
    <xf numFmtId="164" fontId="0" fillId="8" borderId="4" xfId="0" applyFont="true" applyBorder="true" applyAlignment="true" applyProtection="false">
      <alignment horizontal="justify" vertical="bottom" textRotation="0" wrapText="true" indent="0" shrinkToFit="false"/>
      <protection locked="true" hidden="false"/>
    </xf>
    <xf numFmtId="164" fontId="21" fillId="0" borderId="22" xfId="0" applyFont="true" applyBorder="true" applyAlignment="true" applyProtection="false">
      <alignment horizontal="center" vertical="center" textRotation="0" wrapText="false" indent="0" shrinkToFit="false"/>
      <protection locked="true" hidden="false"/>
    </xf>
    <xf numFmtId="177" fontId="10" fillId="11" borderId="25" xfId="0" applyFont="true" applyBorder="true" applyAlignment="true" applyProtection="false">
      <alignment horizontal="general" vertical="center" textRotation="0" wrapText="false" indent="0" shrinkToFit="false"/>
      <protection locked="true" hidden="false"/>
    </xf>
    <xf numFmtId="164" fontId="21" fillId="11" borderId="4" xfId="0" applyFont="true" applyBorder="true" applyAlignment="true" applyProtection="false">
      <alignment horizontal="center" vertical="center" textRotation="0" wrapText="false" indent="0" shrinkToFit="false"/>
      <protection locked="true" hidden="false"/>
    </xf>
    <xf numFmtId="167" fontId="21" fillId="11" borderId="4"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2" fillId="0" borderId="3" xfId="0" applyFont="true" applyBorder="true" applyAlignment="true" applyProtection="false">
      <alignment horizontal="center" vertical="center"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21" fillId="11" borderId="4" xfId="0" applyFont="true" applyBorder="true" applyAlignment="true" applyProtection="false">
      <alignment horizontal="center" vertical="center" textRotation="0" wrapText="true" indent="0" shrinkToFit="false"/>
      <protection locked="true" hidden="false"/>
    </xf>
    <xf numFmtId="164" fontId="10" fillId="0" borderId="3" xfId="0" applyFont="true" applyBorder="true" applyAlignment="true" applyProtection="false">
      <alignment horizontal="center" vertical="center" textRotation="0" wrapText="false" indent="0" shrinkToFit="false"/>
      <protection locked="true" hidden="false"/>
    </xf>
    <xf numFmtId="164" fontId="10" fillId="0" borderId="45" xfId="0" applyFont="true" applyBorder="true" applyAlignment="true" applyProtection="false">
      <alignment horizontal="center" vertical="center" textRotation="0" wrapText="false" indent="0" shrinkToFit="false"/>
      <protection locked="true" hidden="false"/>
    </xf>
    <xf numFmtId="164" fontId="29" fillId="16" borderId="12" xfId="0" applyFont="true" applyBorder="true" applyAlignment="true" applyProtection="false">
      <alignment horizontal="center" vertical="center" textRotation="0" wrapText="true" indent="0" shrinkToFit="false"/>
      <protection locked="true" hidden="false"/>
    </xf>
    <xf numFmtId="164" fontId="10" fillId="2" borderId="19" xfId="0" applyFont="true" applyBorder="true" applyAlignment="true" applyProtection="true">
      <alignment horizontal="center" vertical="center" textRotation="0" wrapText="true" indent="0" shrinkToFit="false"/>
      <protection locked="false" hidden="false"/>
    </xf>
    <xf numFmtId="164" fontId="17" fillId="0" borderId="17" xfId="0" applyFont="true" applyBorder="true" applyAlignment="true" applyProtection="false">
      <alignment horizontal="center" vertical="center" textRotation="0" wrapText="false" indent="0" shrinkToFit="false"/>
      <protection locked="true" hidden="false"/>
    </xf>
    <xf numFmtId="177" fontId="10" fillId="0" borderId="25" xfId="0" applyFont="true" applyBorder="true" applyAlignment="true" applyProtection="false">
      <alignment horizontal="general" vertical="center" textRotation="0" wrapText="false" indent="0" shrinkToFit="false"/>
      <protection locked="true" hidden="false"/>
    </xf>
    <xf numFmtId="164" fontId="21" fillId="11" borderId="4" xfId="0" applyFont="true" applyBorder="true" applyAlignment="true" applyProtection="false">
      <alignment horizontal="center" vertical="bottom" textRotation="0" wrapText="false" indent="0" shrinkToFit="false"/>
      <protection locked="true" hidden="false"/>
    </xf>
    <xf numFmtId="167" fontId="21" fillId="11" borderId="4" xfId="0" applyFont="true" applyBorder="true" applyAlignment="true" applyProtection="false">
      <alignment horizontal="center" vertical="bottom" textRotation="0" wrapText="fals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64" fontId="9" fillId="0" borderId="2" xfId="0" applyFont="true" applyBorder="true" applyAlignment="false" applyProtection="false">
      <alignment horizontal="general" vertical="bottom" textRotation="0" wrapText="false" indent="0" shrinkToFit="false"/>
      <protection locked="true" hidden="false"/>
    </xf>
    <xf numFmtId="164" fontId="9" fillId="0" borderId="44"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45" xfId="0" applyFont="true" applyBorder="true" applyAlignment="false" applyProtection="false">
      <alignment horizontal="general" vertical="bottom" textRotation="0" wrapText="false" indent="0" shrinkToFit="false"/>
      <protection locked="true" hidden="false"/>
    </xf>
    <xf numFmtId="164" fontId="21" fillId="0" borderId="46" xfId="0" applyFont="true" applyBorder="true" applyAlignment="true" applyProtection="false">
      <alignment horizontal="center" vertical="center" textRotation="0" wrapText="false" indent="0" shrinkToFit="false"/>
      <protection locked="true" hidden="false"/>
    </xf>
    <xf numFmtId="164" fontId="10" fillId="13" borderId="20" xfId="0" applyFont="true" applyBorder="true" applyAlignment="true" applyProtection="false">
      <alignment horizontal="center" vertical="center" textRotation="0" wrapText="true" indent="0" shrinkToFit="false"/>
      <protection locked="true" hidden="false"/>
    </xf>
    <xf numFmtId="164" fontId="21" fillId="0" borderId="3" xfId="0" applyFont="true" applyBorder="tru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76" fontId="34" fillId="0" borderId="45" xfId="0" applyFont="true" applyBorder="true" applyAlignment="true" applyProtection="false">
      <alignment horizontal="center" vertical="center" textRotation="0" wrapText="false" indent="0" shrinkToFit="false"/>
      <protection locked="true" hidden="false"/>
    </xf>
    <xf numFmtId="164" fontId="10" fillId="11" borderId="17" xfId="0" applyFont="true" applyBorder="true" applyAlignment="true" applyProtection="false">
      <alignment horizontal="center" vertical="center" textRotation="0" wrapText="true" indent="0" shrinkToFit="false"/>
      <protection locked="true" hidden="false"/>
    </xf>
    <xf numFmtId="170" fontId="10" fillId="11" borderId="4" xfId="0" applyFont="true" applyBorder="true" applyAlignment="true" applyProtection="false">
      <alignment horizontal="center" vertical="center" textRotation="0" wrapText="true" indent="0" shrinkToFit="false"/>
      <protection locked="true" hidden="false"/>
    </xf>
    <xf numFmtId="170" fontId="10" fillId="11" borderId="19" xfId="0" applyFont="true" applyBorder="true" applyAlignment="true" applyProtection="false">
      <alignment horizontal="center" vertical="center" textRotation="0" wrapText="true" indent="0" shrinkToFit="false"/>
      <protection locked="true" hidden="false"/>
    </xf>
    <xf numFmtId="164" fontId="10" fillId="0" borderId="20" xfId="0" applyFont="true" applyBorder="true" applyAlignment="true" applyProtection="false">
      <alignment horizontal="center" vertical="center" textRotation="0" wrapText="false" indent="0" shrinkToFit="false"/>
      <protection locked="true" hidden="false"/>
    </xf>
    <xf numFmtId="164" fontId="10" fillId="0" borderId="17" xfId="15" applyFont="true" applyBorder="true" applyAlignment="true" applyProtection="true">
      <alignment horizontal="center" vertical="center" textRotation="0" wrapText="false" indent="0" shrinkToFit="false"/>
      <protection locked="true" hidden="false"/>
    </xf>
    <xf numFmtId="164" fontId="19" fillId="0" borderId="4" xfId="0" applyFont="true" applyBorder="true" applyAlignment="true" applyProtection="false">
      <alignment horizontal="general" vertical="bottom" textRotation="0" wrapText="true" indent="0" shrinkToFit="false"/>
      <protection locked="true" hidden="false"/>
    </xf>
    <xf numFmtId="164" fontId="12" fillId="0" borderId="4" xfId="15" applyFont="true" applyBorder="true" applyAlignment="true" applyProtection="true">
      <alignment horizontal="center" vertical="center" textRotation="0" wrapText="false" indent="0" shrinkToFit="false"/>
      <protection locked="true" hidden="false"/>
    </xf>
    <xf numFmtId="170" fontId="12" fillId="2" borderId="4" xfId="15" applyFont="true" applyBorder="true" applyAlignment="true" applyProtection="true">
      <alignment horizontal="center" vertical="center" textRotation="0" wrapText="false" indent="0" shrinkToFit="false"/>
      <protection locked="false" hidden="false"/>
    </xf>
    <xf numFmtId="170" fontId="12" fillId="0" borderId="4" xfId="15" applyFont="true" applyBorder="true" applyAlignment="true" applyProtection="true">
      <alignment horizontal="center" vertical="center" textRotation="0" wrapText="false" indent="0" shrinkToFit="false"/>
      <protection locked="true" hidden="false"/>
    </xf>
    <xf numFmtId="170" fontId="12" fillId="0" borderId="19" xfId="15" applyFont="true" applyBorder="true" applyAlignment="true" applyProtection="true">
      <alignment horizontal="center" vertical="center" textRotation="0" wrapText="false" indent="0" shrinkToFit="false"/>
      <protection locked="true" hidden="false"/>
    </xf>
    <xf numFmtId="164" fontId="24" fillId="11" borderId="37" xfId="0" applyFont="true" applyBorder="true" applyAlignment="true" applyProtection="false">
      <alignment horizontal="center" vertical="bottom" textRotation="0" wrapText="true" indent="0" shrinkToFit="false"/>
      <protection locked="true" hidden="false"/>
    </xf>
    <xf numFmtId="170" fontId="10" fillId="11" borderId="19" xfId="15" applyFont="true" applyBorder="true" applyAlignment="true" applyProtection="true">
      <alignment horizontal="center" vertical="center" textRotation="0" wrapText="false" indent="0" shrinkToFit="false"/>
      <protection locked="true" hidden="false"/>
    </xf>
    <xf numFmtId="164" fontId="10" fillId="0" borderId="48" xfId="15" applyFont="true" applyBorder="true" applyAlignment="true" applyProtection="true">
      <alignment horizontal="center" vertical="center" textRotation="0" wrapText="false" indent="0" shrinkToFit="false"/>
      <protection locked="true" hidden="false"/>
    </xf>
    <xf numFmtId="168" fontId="19" fillId="0" borderId="43" xfId="15" applyFont="true" applyBorder="true" applyAlignment="true" applyProtection="true">
      <alignment horizontal="general" vertical="bottom" textRotation="0" wrapText="true" indent="0" shrinkToFit="false"/>
      <protection locked="true" hidden="false"/>
    </xf>
    <xf numFmtId="170" fontId="12" fillId="2" borderId="43" xfId="15" applyFont="true" applyBorder="true" applyAlignment="true" applyProtection="true">
      <alignment horizontal="center" vertical="center" textRotation="0" wrapText="true" indent="0" shrinkToFit="false"/>
      <protection locked="false" hidden="false"/>
    </xf>
    <xf numFmtId="170" fontId="12" fillId="0" borderId="43" xfId="15" applyFont="true" applyBorder="true" applyAlignment="true" applyProtection="true">
      <alignment horizontal="center" vertical="center" textRotation="0" wrapText="false" indent="0" shrinkToFit="false"/>
      <protection locked="true" hidden="false"/>
    </xf>
    <xf numFmtId="170" fontId="12" fillId="0" borderId="50" xfId="15" applyFont="true" applyBorder="true" applyAlignment="true" applyProtection="true">
      <alignment horizontal="center" vertical="center" textRotation="0" wrapText="false" indent="0" shrinkToFit="false"/>
      <protection locked="true" hidden="false"/>
    </xf>
    <xf numFmtId="178" fontId="8" fillId="11" borderId="17" xfId="0" applyFont="true" applyBorder="true" applyAlignment="true" applyProtection="false">
      <alignment horizontal="center" vertical="center" textRotation="0" wrapText="true" indent="0" shrinkToFit="false"/>
      <protection locked="true" hidden="false"/>
    </xf>
    <xf numFmtId="170" fontId="30" fillId="11" borderId="19" xfId="15" applyFont="true" applyBorder="true" applyAlignment="true" applyProtection="true">
      <alignment horizontal="center" vertical="center" textRotation="0" wrapText="false" indent="0" shrinkToFit="false"/>
      <protection locked="true" hidden="false"/>
    </xf>
    <xf numFmtId="164" fontId="24" fillId="11" borderId="17" xfId="0" applyFont="true" applyBorder="true" applyAlignment="true" applyProtection="false">
      <alignment horizontal="center" vertical="bottom" textRotation="0" wrapText="true" indent="0" shrinkToFit="false"/>
      <protection locked="true" hidden="false"/>
    </xf>
    <xf numFmtId="166" fontId="12" fillId="0" borderId="19" xfId="0" applyFont="true" applyBorder="true" applyAlignment="true" applyProtection="false">
      <alignment horizontal="center" vertical="bottom" textRotation="0" wrapText="false" indent="0" shrinkToFit="false"/>
      <protection locked="true" hidden="false"/>
    </xf>
    <xf numFmtId="164" fontId="24" fillId="11" borderId="22" xfId="0" applyFont="true" applyBorder="true" applyAlignment="true" applyProtection="false">
      <alignment horizontal="center" vertical="bottom" textRotation="0" wrapText="true" indent="0" shrinkToFit="false"/>
      <protection locked="true" hidden="false"/>
    </xf>
    <xf numFmtId="165" fontId="10" fillId="0" borderId="25" xfId="0" applyFont="true" applyBorder="true" applyAlignment="true" applyProtection="false">
      <alignment horizontal="center" vertical="bottom" textRotation="0" wrapText="false" indent="0" shrinkToFit="false"/>
      <protection locked="true" hidden="false"/>
    </xf>
    <xf numFmtId="164" fontId="19" fillId="0" borderId="4" xfId="0" applyFont="true" applyBorder="true" applyAlignment="true" applyProtection="false">
      <alignment horizontal="general" vertical="center" textRotation="0" wrapText="true" indent="0" shrinkToFit="false"/>
      <protection locked="true" hidden="false"/>
    </xf>
    <xf numFmtId="168" fontId="19" fillId="0" borderId="4" xfId="15" applyFont="true" applyBorder="true" applyAlignment="true" applyProtection="true">
      <alignment horizontal="general" vertical="center" textRotation="0" wrapText="true" indent="0" shrinkToFit="false"/>
      <protection locked="true" hidden="false"/>
    </xf>
    <xf numFmtId="170" fontId="12" fillId="2" borderId="4" xfId="15" applyFont="true" applyBorder="true" applyAlignment="true" applyProtection="true">
      <alignment horizontal="center" vertical="center" textRotation="0" wrapText="true" indent="0" shrinkToFit="false"/>
      <protection locked="false" hidden="false"/>
    </xf>
    <xf numFmtId="170" fontId="12" fillId="2" borderId="51" xfId="15" applyFont="true" applyBorder="true" applyAlignment="true" applyProtection="true">
      <alignment horizontal="center" vertical="center" textRotation="0" wrapText="true" indent="0" shrinkToFit="false"/>
      <protection locked="false" hidden="false"/>
    </xf>
    <xf numFmtId="164" fontId="19" fillId="0" borderId="51" xfId="0" applyFont="true" applyBorder="true" applyAlignment="true" applyProtection="false">
      <alignment horizontal="general" vertical="bottom" textRotation="0" wrapText="true" indent="0" shrinkToFit="false"/>
      <protection locked="true" hidden="false"/>
    </xf>
    <xf numFmtId="164" fontId="12" fillId="0" borderId="51" xfId="15" applyFont="true" applyBorder="true" applyAlignment="true" applyProtection="true">
      <alignment horizontal="center" vertical="center" textRotation="0" wrapText="false" indent="0" shrinkToFit="false"/>
      <protection locked="true" hidden="false"/>
    </xf>
    <xf numFmtId="178" fontId="8" fillId="11" borderId="22" xfId="0" applyFont="true" applyBorder="true" applyAlignment="true" applyProtection="false">
      <alignment horizontal="left" vertical="center" textRotation="0" wrapText="true" indent="0" shrinkToFit="false"/>
      <protection locked="true" hidden="false"/>
    </xf>
    <xf numFmtId="170" fontId="30" fillId="11" borderId="25" xfId="15" applyFont="true" applyBorder="true" applyAlignment="true" applyProtection="true">
      <alignment horizontal="center" vertical="center" textRotation="0" wrapText="false" indent="0" shrinkToFit="false"/>
      <protection locked="true" hidden="false"/>
    </xf>
    <xf numFmtId="166"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70" fontId="4"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20" fillId="0" borderId="52" xfId="0" applyFont="true" applyBorder="true" applyAlignment="true" applyProtection="false">
      <alignment horizontal="left" vertical="center" textRotation="0" wrapText="false" indent="0" shrinkToFit="false"/>
      <protection locked="true" hidden="false"/>
    </xf>
    <xf numFmtId="165" fontId="20" fillId="0" borderId="31" xfId="0" applyFont="true" applyBorder="true" applyAlignment="true" applyProtection="false">
      <alignment horizontal="left" vertical="bottom" textRotation="0" wrapText="false" indent="0" shrinkToFit="false"/>
      <protection locked="true" hidden="false"/>
    </xf>
    <xf numFmtId="166" fontId="20" fillId="0" borderId="31" xfId="0" applyFont="true" applyBorder="true" applyAlignment="true" applyProtection="false">
      <alignment horizontal="center" vertical="bottom" textRotation="0" wrapText="false" indent="0" shrinkToFit="false"/>
      <protection locked="true" hidden="false"/>
    </xf>
    <xf numFmtId="164" fontId="20" fillId="0" borderId="31" xfId="0" applyFont="true" applyBorder="true" applyAlignment="false" applyProtection="false">
      <alignment horizontal="general" vertical="bottom" textRotation="0" wrapText="false" indent="0" shrinkToFit="false"/>
      <protection locked="true" hidden="false"/>
    </xf>
    <xf numFmtId="164" fontId="4" fillId="0" borderId="31" xfId="0" applyFont="true" applyBorder="true" applyAlignment="false" applyProtection="false">
      <alignment horizontal="general" vertical="bottom" textRotation="0" wrapText="false" indent="0" shrinkToFit="false"/>
      <protection locked="true" hidden="false"/>
    </xf>
    <xf numFmtId="166" fontId="4" fillId="0" borderId="31" xfId="0" applyFont="true" applyBorder="true" applyAlignment="true" applyProtection="false">
      <alignment horizontal="center" vertical="bottom" textRotation="0" wrapText="false" indent="0" shrinkToFit="false"/>
      <protection locked="true" hidden="false"/>
    </xf>
    <xf numFmtId="167" fontId="4" fillId="0" borderId="31" xfId="0" applyFont="true" applyBorder="true" applyAlignment="true" applyProtection="false">
      <alignment horizontal="center" vertical="bottom" textRotation="0" wrapText="false" indent="0" shrinkToFit="false"/>
      <protection locked="true" hidden="false"/>
    </xf>
    <xf numFmtId="170" fontId="4" fillId="0" borderId="53" xfId="0" applyFont="true" applyBorder="true" applyAlignment="true" applyProtection="false">
      <alignment horizontal="center" vertical="bottom" textRotation="0" wrapText="false" indent="0" shrinkToFit="false"/>
      <protection locked="true" hidden="false"/>
    </xf>
    <xf numFmtId="164" fontId="10" fillId="13" borderId="4" xfId="0" applyFont="true" applyBorder="true" applyAlignment="true" applyProtection="false">
      <alignment horizontal="center" vertical="center" textRotation="0" wrapText="true" indent="0" shrinkToFit="false"/>
      <protection locked="true" hidden="false"/>
    </xf>
    <xf numFmtId="164" fontId="20" fillId="0" borderId="3" xfId="0" applyFont="true" applyBorder="true" applyAlignment="true" applyProtection="false">
      <alignment horizontal="left" vertical="center" textRotation="0" wrapText="false" indent="0" shrinkToFit="false"/>
      <protection locked="true" hidden="false"/>
    </xf>
    <xf numFmtId="165" fontId="20" fillId="0" borderId="0" xfId="0" applyFont="true" applyBorder="false" applyAlignment="true" applyProtection="false">
      <alignment horizontal="left" vertical="bottom" textRotation="0" wrapText="false" indent="0" shrinkToFit="false"/>
      <protection locked="true" hidden="false"/>
    </xf>
    <xf numFmtId="166" fontId="20" fillId="0" borderId="0" xfId="0" applyFont="true" applyBorder="false" applyAlignment="true" applyProtection="false">
      <alignment horizontal="center"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70" fontId="4" fillId="0" borderId="45" xfId="0" applyFont="true" applyBorder="true" applyAlignment="true" applyProtection="false">
      <alignment horizontal="center" vertical="bottom" textRotation="0" wrapText="false" indent="0" shrinkToFit="false"/>
      <protection locked="true" hidden="false"/>
    </xf>
    <xf numFmtId="165" fontId="20" fillId="0" borderId="0" xfId="0" applyFont="true" applyBorder="false" applyAlignment="true" applyProtection="false">
      <alignment horizontal="left" vertical="center" textRotation="0" wrapText="false" indent="0" shrinkToFit="false"/>
      <protection locked="true" hidden="false"/>
    </xf>
    <xf numFmtId="166" fontId="20" fillId="0" borderId="0" xfId="0" applyFont="true" applyBorder="false" applyAlignment="true" applyProtection="false">
      <alignment horizontal="center" vertical="center" textRotation="0" wrapText="false" indent="0" shrinkToFit="false"/>
      <protection locked="true" hidden="false"/>
    </xf>
    <xf numFmtId="164" fontId="20" fillId="0" borderId="0" xfId="0" applyFont="true" applyBorder="false" applyAlignment="true" applyProtection="false">
      <alignment horizontal="general" vertical="center" textRotation="0" wrapText="false" indent="0" shrinkToFit="false"/>
      <protection locked="true" hidden="false"/>
    </xf>
    <xf numFmtId="166" fontId="4" fillId="0" borderId="0" xfId="0" applyFont="true" applyBorder="false" applyAlignment="true" applyProtection="false">
      <alignment horizontal="center" vertical="center" textRotation="0" wrapText="false" indent="0" shrinkToFit="false"/>
      <protection locked="true" hidden="false"/>
    </xf>
    <xf numFmtId="167" fontId="4" fillId="0" borderId="0" xfId="0" applyFont="true" applyBorder="false" applyAlignment="true" applyProtection="false">
      <alignment horizontal="center" vertical="center" textRotation="0" wrapText="false" indent="0" shrinkToFit="false"/>
      <protection locked="true" hidden="false"/>
    </xf>
    <xf numFmtId="170" fontId="4" fillId="0" borderId="45" xfId="0" applyFont="true" applyBorder="true" applyAlignment="true" applyProtection="false">
      <alignment horizontal="center" vertical="center" textRotation="0" wrapText="false" indent="0" shrinkToFit="false"/>
      <protection locked="true" hidden="false"/>
    </xf>
    <xf numFmtId="164" fontId="21" fillId="11" borderId="9" xfId="0" applyFont="true" applyBorder="true" applyAlignment="true" applyProtection="false">
      <alignment horizontal="center" vertical="center" textRotation="0" wrapText="false" indent="0" shrinkToFit="false"/>
      <protection locked="true" hidden="false"/>
    </xf>
    <xf numFmtId="164" fontId="10" fillId="13" borderId="15" xfId="0" applyFont="true" applyBorder="true" applyAlignment="true" applyProtection="false">
      <alignment horizontal="center" vertical="center" textRotation="0" wrapText="true" indent="0" shrinkToFit="false"/>
      <protection locked="true" hidden="false"/>
    </xf>
    <xf numFmtId="164" fontId="35" fillId="5" borderId="4" xfId="0" applyFont="true" applyBorder="true" applyAlignment="true" applyProtection="false">
      <alignment horizontal="center" vertical="center" textRotation="0" wrapText="true" indent="0" shrinkToFit="false"/>
      <protection locked="true" hidden="false"/>
    </xf>
    <xf numFmtId="164" fontId="4" fillId="0" borderId="20" xfId="0" applyFont="true" applyBorder="true" applyAlignment="true" applyProtection="false">
      <alignment horizontal="left" vertical="center" textRotation="0" wrapText="false" indent="0" shrinkToFit="false"/>
      <protection locked="true" hidden="false"/>
    </xf>
    <xf numFmtId="164" fontId="4" fillId="0" borderId="37" xfId="0" applyFont="true" applyBorder="true" applyAlignment="true" applyProtection="false">
      <alignment horizontal="center" vertical="center" textRotation="0" wrapText="false" indent="0" shrinkToFit="false"/>
      <protection locked="true" hidden="false"/>
    </xf>
    <xf numFmtId="164" fontId="4" fillId="0" borderId="54" xfId="0" applyFont="true" applyBorder="true" applyAlignment="true" applyProtection="false">
      <alignment horizontal="left" vertical="center" textRotation="0" wrapText="false" indent="0" shrinkToFit="false"/>
      <protection locked="true" hidden="false"/>
    </xf>
    <xf numFmtId="166" fontId="4" fillId="0" borderId="54" xfId="0" applyFont="true" applyBorder="true" applyAlignment="true" applyProtection="false">
      <alignment horizontal="center" vertical="center" textRotation="0" wrapText="false" indent="0" shrinkToFit="false"/>
      <protection locked="true" hidden="false"/>
    </xf>
    <xf numFmtId="167" fontId="4" fillId="0" borderId="54" xfId="0" applyFont="true" applyBorder="true" applyAlignment="true" applyProtection="false">
      <alignment horizontal="center" vertical="center" textRotation="0" wrapText="false" indent="0" shrinkToFit="false"/>
      <protection locked="true" hidden="false"/>
    </xf>
    <xf numFmtId="170" fontId="4" fillId="0" borderId="47" xfId="0" applyFont="true" applyBorder="true" applyAlignment="true" applyProtection="false">
      <alignment horizontal="center" vertical="center" textRotation="0" wrapText="false" indent="0" shrinkToFit="false"/>
      <protection locked="true" hidden="false"/>
    </xf>
    <xf numFmtId="167" fontId="10" fillId="0" borderId="43" xfId="0" applyFont="true" applyBorder="true" applyAlignment="true" applyProtection="false">
      <alignment horizontal="center" vertical="center" textRotation="0" wrapText="true" indent="0" shrinkToFit="false"/>
      <protection locked="true" hidden="false"/>
    </xf>
    <xf numFmtId="164" fontId="12" fillId="0" borderId="48" xfId="0" applyFont="true" applyBorder="true" applyAlignment="true" applyProtection="false">
      <alignment horizontal="center" vertical="center" textRotation="0" wrapText="true" indent="0" shrinkToFit="false"/>
      <protection locked="true" hidden="false"/>
    </xf>
    <xf numFmtId="166" fontId="12" fillId="0" borderId="4" xfId="15" applyFont="true" applyBorder="true" applyAlignment="true" applyProtection="true">
      <alignment horizontal="center" vertical="center" textRotation="0" wrapText="false" indent="0" shrinkToFit="false"/>
      <protection locked="true" hidden="false"/>
    </xf>
    <xf numFmtId="164" fontId="19" fillId="8" borderId="4" xfId="0" applyFont="true" applyBorder="true" applyAlignment="true" applyProtection="false">
      <alignment horizontal="general" vertical="top" textRotation="0" wrapText="true" indent="0" shrinkToFit="false"/>
      <protection locked="true" hidden="false"/>
    </xf>
    <xf numFmtId="166" fontId="12" fillId="8" borderId="18" xfId="15" applyFont="true" applyBorder="true" applyAlignment="true" applyProtection="true">
      <alignment horizontal="center" vertical="center" textRotation="0" wrapText="false" indent="0" shrinkToFit="false"/>
      <protection locked="true" hidden="false"/>
    </xf>
    <xf numFmtId="167" fontId="4" fillId="17" borderId="4" xfId="0" applyFont="true" applyBorder="true" applyAlignment="true" applyProtection="true">
      <alignment horizontal="center" vertical="center" textRotation="0" wrapText="false" indent="0" shrinkToFit="false"/>
      <protection locked="false" hidden="false"/>
    </xf>
    <xf numFmtId="170" fontId="12" fillId="0" borderId="47" xfId="15" applyFont="true" applyBorder="true" applyAlignment="true" applyProtection="true">
      <alignment horizontal="center" vertical="center" textRotation="0" wrapText="false" indent="0" shrinkToFit="false"/>
      <protection locked="true" hidden="false"/>
    </xf>
    <xf numFmtId="164" fontId="36" fillId="0" borderId="4"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false" indent="0" shrinkToFit="false"/>
      <protection locked="true" hidden="false"/>
    </xf>
    <xf numFmtId="166" fontId="12" fillId="0" borderId="4" xfId="15" applyFont="true" applyBorder="true" applyAlignment="true" applyProtection="true">
      <alignment horizontal="center" vertical="center" textRotation="0" wrapText="false" indent="0" shrinkToFit="false"/>
      <protection locked="true" hidden="false"/>
    </xf>
    <xf numFmtId="164" fontId="19" fillId="0" borderId="4" xfId="0" applyFont="true" applyBorder="true" applyAlignment="true" applyProtection="false">
      <alignment horizontal="general" vertical="bottom" textRotation="0" wrapText="true" indent="0" shrinkToFit="false"/>
      <protection locked="true" hidden="false"/>
    </xf>
    <xf numFmtId="164" fontId="12" fillId="0" borderId="4" xfId="0" applyFont="true" applyBorder="true" applyAlignment="true" applyProtection="false">
      <alignment horizontal="center" vertical="center" textRotation="0" wrapText="true" indent="0" shrinkToFit="false"/>
      <protection locked="true" hidden="false"/>
    </xf>
    <xf numFmtId="164" fontId="12" fillId="0" borderId="17" xfId="0" applyFont="true" applyBorder="true" applyAlignment="true" applyProtection="false">
      <alignment horizontal="center" vertical="center" textRotation="0" wrapText="true" indent="0" shrinkToFit="false"/>
      <protection locked="true" hidden="false"/>
    </xf>
    <xf numFmtId="164" fontId="19" fillId="8" borderId="4" xfId="0" applyFont="true" applyBorder="true" applyAlignment="true" applyProtection="false">
      <alignment horizontal="general" vertical="bottom" textRotation="0" wrapText="true" indent="0" shrinkToFit="false"/>
      <protection locked="true" hidden="false"/>
    </xf>
    <xf numFmtId="166" fontId="6" fillId="0" borderId="11" xfId="0" applyFont="true" applyBorder="true" applyAlignment="true" applyProtection="false">
      <alignment horizontal="center" vertical="center" textRotation="0" wrapText="false" indent="0" shrinkToFit="false"/>
      <protection locked="true" hidden="false"/>
    </xf>
    <xf numFmtId="164" fontId="19" fillId="0" borderId="4" xfId="0" applyFont="true" applyBorder="true" applyAlignment="true" applyProtection="false">
      <alignment horizontal="general" vertical="top" textRotation="0" wrapText="true" indent="0" shrinkToFit="false"/>
      <protection locked="true" hidden="false"/>
    </xf>
    <xf numFmtId="170" fontId="10" fillId="0" borderId="17" xfId="0" applyFont="true" applyBorder="true" applyAlignment="true" applyProtection="false">
      <alignment horizontal="center" vertical="center" textRotation="0" wrapText="false" indent="0" shrinkToFit="false"/>
      <protection locked="true" hidden="false"/>
    </xf>
    <xf numFmtId="170" fontId="10" fillId="0" borderId="19" xfId="15" applyFont="true" applyBorder="true" applyAlignment="true" applyProtection="true">
      <alignment horizontal="center" vertical="center" textRotation="0" wrapText="false" indent="0" shrinkToFit="false"/>
      <protection locked="true" hidden="false"/>
    </xf>
    <xf numFmtId="164" fontId="21" fillId="11" borderId="55" xfId="0" applyFont="true" applyBorder="true" applyAlignment="true" applyProtection="false">
      <alignment horizontal="left" vertical="center" textRotation="0" wrapText="false" indent="0" shrinkToFit="false"/>
      <protection locked="true" hidden="false"/>
    </xf>
    <xf numFmtId="167" fontId="21" fillId="11" borderId="56" xfId="0" applyFont="true" applyBorder="true" applyAlignment="true" applyProtection="false">
      <alignment horizontal="center" vertical="center" textRotation="0" wrapText="false" indent="0" shrinkToFit="false"/>
      <protection locked="true" hidden="false"/>
    </xf>
    <xf numFmtId="170" fontId="37" fillId="11" borderId="29" xfId="15"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false">
      <alignment horizontal="center" vertical="center" textRotation="0" wrapText="true" indent="0" shrinkToFit="false"/>
      <protection locked="true" hidden="false"/>
    </xf>
    <xf numFmtId="166" fontId="12" fillId="0" borderId="0" xfId="15" applyFont="true" applyBorder="true" applyAlignment="true" applyProtection="true">
      <alignment horizontal="center"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true" indent="0" shrinkToFit="false"/>
      <protection locked="true" hidden="false"/>
    </xf>
    <xf numFmtId="167" fontId="12" fillId="0" borderId="0" xfId="15" applyFont="true" applyBorder="true" applyAlignment="true" applyProtection="true">
      <alignment horizontal="center" vertical="center" textRotation="0" wrapText="false" indent="0" shrinkToFit="false"/>
      <protection locked="true" hidden="false"/>
    </xf>
    <xf numFmtId="170" fontId="12" fillId="0" borderId="45" xfId="15" applyFont="true" applyBorder="true" applyAlignment="true" applyProtection="true">
      <alignment horizontal="center" vertical="center" textRotation="0" wrapText="false" indent="0" shrinkToFit="false"/>
      <protection locked="true" hidden="false"/>
    </xf>
    <xf numFmtId="164" fontId="10" fillId="0" borderId="17" xfId="0" applyFont="true" applyBorder="true" applyAlignment="true" applyProtection="false">
      <alignment horizontal="center" vertical="center" textRotation="0" wrapText="false" indent="0" shrinkToFit="false"/>
      <protection locked="true" hidden="false"/>
    </xf>
    <xf numFmtId="164" fontId="33" fillId="0" borderId="4" xfId="0" applyFont="true" applyBorder="true" applyAlignment="true" applyProtection="false">
      <alignment horizontal="center" vertical="center" textRotation="0" wrapText="false" indent="0" shrinkToFit="false"/>
      <protection locked="true" hidden="false"/>
    </xf>
    <xf numFmtId="166" fontId="33" fillId="0" borderId="4" xfId="0" applyFont="true" applyBorder="true" applyAlignment="true" applyProtection="false">
      <alignment horizontal="center" vertical="center" textRotation="0" wrapText="false" indent="0" shrinkToFit="false"/>
      <protection locked="true" hidden="false"/>
    </xf>
    <xf numFmtId="164" fontId="10" fillId="0" borderId="4" xfId="0" applyFont="true" applyBorder="true" applyAlignment="true" applyProtection="false">
      <alignment horizontal="center" vertical="center" textRotation="0" wrapText="false" indent="0" shrinkToFit="false"/>
      <protection locked="true" hidden="false"/>
    </xf>
    <xf numFmtId="166" fontId="38" fillId="0" borderId="4" xfId="0" applyFont="true" applyBorder="true" applyAlignment="true" applyProtection="false">
      <alignment horizontal="center" vertical="center" textRotation="0" wrapText="true" indent="0" shrinkToFit="false"/>
      <protection locked="true" hidden="false"/>
    </xf>
    <xf numFmtId="170" fontId="10" fillId="0" borderId="19" xfId="0" applyFont="true" applyBorder="true" applyAlignment="true" applyProtection="false">
      <alignment horizontal="center" vertical="center" textRotation="0" wrapText="false" indent="0" shrinkToFit="false"/>
      <protection locked="true" hidden="false"/>
    </xf>
    <xf numFmtId="164" fontId="35" fillId="5" borderId="43" xfId="0" applyFont="true" applyBorder="true" applyAlignment="true" applyProtection="false">
      <alignment horizontal="center" vertical="center" textRotation="0" wrapText="true" indent="0" shrinkToFit="false"/>
      <protection locked="true" hidden="false"/>
    </xf>
    <xf numFmtId="164" fontId="10" fillId="5" borderId="43" xfId="0" applyFont="true" applyBorder="true" applyAlignment="true" applyProtection="false">
      <alignment horizontal="center" vertical="center" textRotation="0" wrapText="true" indent="0" shrinkToFit="false"/>
      <protection locked="true" hidden="false"/>
    </xf>
    <xf numFmtId="166" fontId="12" fillId="0" borderId="18" xfId="15" applyFont="true" applyBorder="true" applyAlignment="true" applyProtection="true">
      <alignment horizontal="center" vertical="center" textRotation="0" wrapText="false" indent="0" shrinkToFit="false"/>
      <protection locked="true" hidden="false"/>
    </xf>
    <xf numFmtId="164" fontId="12" fillId="0" borderId="11" xfId="0" applyFont="true" applyBorder="true" applyAlignment="true" applyProtection="false">
      <alignment horizontal="center" vertical="center" textRotation="0" wrapText="true" indent="0" shrinkToFit="false"/>
      <protection locked="true" hidden="false"/>
    </xf>
    <xf numFmtId="164" fontId="12" fillId="0" borderId="12" xfId="0" applyFont="true" applyBorder="true" applyAlignment="true" applyProtection="false">
      <alignment horizontal="center" vertical="center" textRotation="0" wrapText="false" indent="0" shrinkToFit="false"/>
      <protection locked="true" hidden="false"/>
    </xf>
    <xf numFmtId="166" fontId="12" fillId="0" borderId="12" xfId="15" applyFont="true" applyBorder="true" applyAlignment="true" applyProtection="true">
      <alignment horizontal="center" vertical="center" textRotation="0" wrapText="false" indent="0" shrinkToFit="false"/>
      <protection locked="true" hidden="false"/>
    </xf>
    <xf numFmtId="164" fontId="12" fillId="8" borderId="4" xfId="0" applyFont="true" applyBorder="true" applyAlignment="true" applyProtection="false">
      <alignment horizontal="general" vertical="center" textRotation="0" wrapText="true" indent="0" shrinkToFit="false"/>
      <protection locked="true" hidden="false"/>
    </xf>
    <xf numFmtId="166" fontId="39" fillId="0" borderId="17" xfId="0" applyFont="true" applyBorder="true" applyAlignment="true" applyProtection="false">
      <alignment horizontal="center" vertical="center" textRotation="0" wrapText="false" indent="0" shrinkToFit="false"/>
      <protection locked="true" hidden="false"/>
    </xf>
    <xf numFmtId="170" fontId="10" fillId="0" borderId="22" xfId="0" applyFont="true" applyBorder="true" applyAlignment="true" applyProtection="false">
      <alignment horizontal="center" vertical="center" textRotation="0" wrapText="false" indent="0" shrinkToFit="false"/>
      <protection locked="true" hidden="false"/>
    </xf>
    <xf numFmtId="170" fontId="10" fillId="0" borderId="25" xfId="15" applyFont="true" applyBorder="true" applyAlignment="true" applyProtection="true">
      <alignment horizontal="center"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6" fontId="21" fillId="0" borderId="0" xfId="0" applyFont="true" applyBorder="false" applyAlignment="true" applyProtection="false">
      <alignment horizontal="center" vertical="center" textRotation="0" wrapText="false" indent="0" shrinkToFit="false"/>
      <protection locked="true" hidden="false"/>
    </xf>
    <xf numFmtId="167" fontId="21" fillId="0" borderId="0" xfId="0" applyFont="true" applyBorder="false" applyAlignment="true" applyProtection="false">
      <alignment horizontal="center" vertical="center" textRotation="0" wrapText="false" indent="0" shrinkToFit="false"/>
      <protection locked="true" hidden="false"/>
    </xf>
    <xf numFmtId="170" fontId="21" fillId="0" borderId="45" xfId="15" applyFont="true" applyBorder="true" applyAlignment="true" applyProtection="true">
      <alignment horizontal="center" vertical="center" textRotation="0" wrapText="false" indent="0" shrinkToFit="false"/>
      <protection locked="true" hidden="false"/>
    </xf>
    <xf numFmtId="164" fontId="12" fillId="0" borderId="4" xfId="0" applyFont="true" applyBorder="true" applyAlignment="true" applyProtection="false">
      <alignment horizontal="general" vertical="center" textRotation="0" wrapText="true" indent="0" shrinkToFit="false"/>
      <protection locked="true" hidden="false"/>
    </xf>
    <xf numFmtId="170" fontId="10" fillId="0" borderId="29" xfId="15" applyFont="true" applyBorder="true" applyAlignment="true" applyProtection="true">
      <alignment horizontal="center" vertical="center" textRotation="0" wrapText="false" indent="0" shrinkToFit="false"/>
      <protection locked="true" hidden="false"/>
    </xf>
    <xf numFmtId="164" fontId="40" fillId="0" borderId="57" xfId="0" applyFont="true" applyBorder="true" applyAlignment="true" applyProtection="false">
      <alignment horizontal="center" vertical="center" textRotation="0" wrapText="false" indent="0" shrinkToFit="false"/>
      <protection locked="true" hidden="false"/>
    </xf>
    <xf numFmtId="170" fontId="10" fillId="0" borderId="19"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19" fillId="0" borderId="0" xfId="0" applyFont="true" applyBorder="false" applyAlignment="true" applyProtection="false">
      <alignment horizontal="general" vertical="top" textRotation="0" wrapText="true" indent="0" shrinkToFit="false"/>
      <protection locked="true" hidden="false"/>
    </xf>
    <xf numFmtId="164" fontId="8" fillId="0" borderId="17" xfId="0" applyFont="true" applyBorder="true" applyAlignment="true" applyProtection="false">
      <alignment horizontal="center" vertical="center" textRotation="0" wrapText="false" indent="0" shrinkToFit="false"/>
      <protection locked="true" hidden="false"/>
    </xf>
    <xf numFmtId="170" fontId="0" fillId="0" borderId="19" xfId="0" applyFont="false" applyBorder="true" applyAlignment="true" applyProtection="false">
      <alignment horizontal="center" vertical="bottom" textRotation="0" wrapText="false" indent="0" shrinkToFit="false"/>
      <protection locked="true" hidden="false"/>
    </xf>
    <xf numFmtId="165" fontId="5" fillId="0" borderId="2"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4" fillId="0" borderId="44" xfId="0" applyFont="tru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4" fillId="0" borderId="45" xfId="0" applyFont="true" applyBorder="true" applyAlignment="false" applyProtection="false">
      <alignment horizontal="general" vertical="bottom" textRotation="0" wrapText="false" indent="0" shrinkToFit="false"/>
      <protection locked="true" hidden="false"/>
    </xf>
    <xf numFmtId="164" fontId="23" fillId="18" borderId="20" xfId="0" applyFont="true" applyBorder="true" applyAlignment="true" applyProtection="false">
      <alignment horizontal="center" vertical="center" textRotation="0" wrapText="true" indent="0" shrinkToFit="false"/>
      <protection locked="true" hidden="false"/>
    </xf>
    <xf numFmtId="164" fontId="41" fillId="0" borderId="0" xfId="0" applyFont="true" applyBorder="false" applyAlignment="true" applyProtection="false">
      <alignment horizontal="general" vertical="center" textRotation="0" wrapText="false" indent="0" shrinkToFit="false"/>
      <protection locked="true" hidden="false"/>
    </xf>
    <xf numFmtId="165" fontId="8" fillId="0" borderId="20" xfId="0" applyFont="true" applyBorder="true" applyAlignment="true" applyProtection="false">
      <alignment horizontal="center" vertical="center" textRotation="0" wrapText="true" indent="0" shrinkToFit="false"/>
      <protection locked="true" hidden="false"/>
    </xf>
    <xf numFmtId="165" fontId="12" fillId="8" borderId="57" xfId="0" applyFont="true" applyBorder="true" applyAlignment="true" applyProtection="false">
      <alignment horizontal="center" vertical="center" textRotation="0" wrapText="false" indent="0" shrinkToFit="false"/>
      <protection locked="true" hidden="false"/>
    </xf>
    <xf numFmtId="164" fontId="9" fillId="11" borderId="58" xfId="0" applyFont="true" applyBorder="true" applyAlignment="true" applyProtection="false">
      <alignment horizontal="general" vertical="center" textRotation="0" wrapText="false" indent="0" shrinkToFit="false"/>
      <protection locked="true" hidden="false"/>
    </xf>
    <xf numFmtId="164" fontId="42" fillId="11" borderId="59" xfId="0" applyFont="true" applyBorder="true" applyAlignment="true" applyProtection="false">
      <alignment horizontal="general" vertical="center" textRotation="0" wrapText="true" indent="0" shrinkToFit="false"/>
      <protection locked="true" hidden="false"/>
    </xf>
    <xf numFmtId="164" fontId="23" fillId="11" borderId="59" xfId="0" applyFont="true" applyBorder="true" applyAlignment="true" applyProtection="false">
      <alignment horizontal="general" vertical="center" textRotation="0" wrapText="false" indent="0" shrinkToFit="false"/>
      <protection locked="true" hidden="false"/>
    </xf>
    <xf numFmtId="164" fontId="21" fillId="11" borderId="59" xfId="0" applyFont="true" applyBorder="true" applyAlignment="true" applyProtection="false">
      <alignment horizontal="general" vertical="center" textRotation="0" wrapText="false" indent="0" shrinkToFit="false"/>
      <protection locked="true" hidden="false"/>
    </xf>
    <xf numFmtId="164" fontId="9" fillId="11" borderId="59" xfId="0" applyFont="true" applyBorder="true" applyAlignment="true" applyProtection="false">
      <alignment horizontal="general" vertical="center" textRotation="0" wrapText="false" indent="0" shrinkToFit="false"/>
      <protection locked="true" hidden="false"/>
    </xf>
    <xf numFmtId="164" fontId="21" fillId="11" borderId="60" xfId="0" applyFont="true" applyBorder="true" applyAlignment="true" applyProtection="false">
      <alignment horizontal="center" vertical="center" textRotation="0" wrapText="true" indent="0" shrinkToFit="false"/>
      <protection locked="true" hidden="false"/>
    </xf>
    <xf numFmtId="164" fontId="10" fillId="11" borderId="49" xfId="0" applyFont="true" applyBorder="true" applyAlignment="true" applyProtection="false">
      <alignment horizontal="center" vertical="center" textRotation="90" wrapText="false" indent="0" shrinkToFit="false"/>
      <protection locked="true" hidden="false"/>
    </xf>
    <xf numFmtId="164" fontId="8" fillId="11" borderId="46" xfId="0" applyFont="true" applyBorder="true" applyAlignment="true" applyProtection="false">
      <alignment horizontal="center" vertical="center" textRotation="0" wrapText="true" indent="0" shrinkToFit="false"/>
      <protection locked="true" hidden="false"/>
    </xf>
    <xf numFmtId="164" fontId="21" fillId="11" borderId="55" xfId="0" applyFont="true" applyBorder="true" applyAlignment="true" applyProtection="false">
      <alignment horizontal="center" vertical="center" textRotation="0" wrapText="false" indent="0" shrinkToFit="false"/>
      <protection locked="true" hidden="false"/>
    </xf>
    <xf numFmtId="164" fontId="21" fillId="11" borderId="49" xfId="0" applyFont="true" applyBorder="true" applyAlignment="true" applyProtection="false">
      <alignment horizontal="center" vertical="center" textRotation="0" wrapText="true" indent="0" shrinkToFit="false"/>
      <protection locked="true" hidden="false"/>
    </xf>
    <xf numFmtId="164" fontId="8" fillId="11" borderId="61" xfId="0" applyFont="true" applyBorder="true" applyAlignment="true" applyProtection="false">
      <alignment horizontal="center" vertical="center" textRotation="0" wrapText="true" indent="0" shrinkToFit="false"/>
      <protection locked="true" hidden="false"/>
    </xf>
    <xf numFmtId="164" fontId="8" fillId="11" borderId="9" xfId="0" applyFont="true" applyBorder="true" applyAlignment="true" applyProtection="false">
      <alignment horizontal="center" vertical="center" textRotation="0" wrapText="true" indent="0" shrinkToFit="false"/>
      <protection locked="true" hidden="false"/>
    </xf>
    <xf numFmtId="164" fontId="8" fillId="11" borderId="36" xfId="0" applyFont="true" applyBorder="true" applyAlignment="true" applyProtection="false">
      <alignment horizontal="center" vertical="center" textRotation="0" wrapText="true" indent="0" shrinkToFit="false"/>
      <protection locked="true" hidden="false"/>
    </xf>
    <xf numFmtId="164" fontId="8" fillId="11" borderId="2" xfId="0" applyFont="true" applyBorder="true" applyAlignment="true" applyProtection="false">
      <alignment horizontal="center" vertical="center" textRotation="0" wrapText="true" indent="0" shrinkToFit="false"/>
      <protection locked="true" hidden="false"/>
    </xf>
    <xf numFmtId="164" fontId="10" fillId="11" borderId="36" xfId="0" applyFont="true" applyBorder="true" applyAlignment="true" applyProtection="false">
      <alignment horizontal="center" vertical="center" textRotation="0" wrapText="true" indent="0" shrinkToFit="false"/>
      <protection locked="true" hidden="false"/>
    </xf>
    <xf numFmtId="164" fontId="12" fillId="11" borderId="37" xfId="0" applyFont="true" applyBorder="true" applyAlignment="true" applyProtection="false">
      <alignment horizontal="center" vertical="center" textRotation="0" wrapText="true" indent="0" shrinkToFit="false"/>
      <protection locked="true" hidden="false"/>
    </xf>
    <xf numFmtId="164" fontId="20" fillId="11" borderId="62" xfId="0" applyFont="true" applyBorder="true" applyAlignment="true" applyProtection="false">
      <alignment horizontal="center" vertical="center" textRotation="0" wrapText="true" indent="0" shrinkToFit="false"/>
      <protection locked="true" hidden="false"/>
    </xf>
    <xf numFmtId="164" fontId="12" fillId="11" borderId="34" xfId="0" applyFont="true" applyBorder="true" applyAlignment="true" applyProtection="false">
      <alignment horizontal="center" vertical="center" textRotation="0" wrapText="true" indent="0" shrinkToFit="false"/>
      <protection locked="true" hidden="false"/>
    </xf>
    <xf numFmtId="164" fontId="12" fillId="11" borderId="41" xfId="0" applyFont="true" applyBorder="true" applyAlignment="true" applyProtection="false">
      <alignment horizontal="center" vertical="center" textRotation="0" wrapText="true" indent="0" shrinkToFit="false"/>
      <protection locked="true" hidden="false"/>
    </xf>
    <xf numFmtId="164" fontId="12" fillId="11" borderId="61" xfId="0" applyFont="true" applyBorder="true" applyAlignment="true" applyProtection="false">
      <alignment horizontal="center" vertical="center" textRotation="0" wrapText="true" indent="0" shrinkToFit="false"/>
      <protection locked="true" hidden="false"/>
    </xf>
    <xf numFmtId="164" fontId="12" fillId="11" borderId="35" xfId="0" applyFont="true" applyBorder="true" applyAlignment="true" applyProtection="false">
      <alignment horizontal="center" vertical="center" textRotation="0" wrapText="true" indent="0" shrinkToFit="false"/>
      <protection locked="true" hidden="false"/>
    </xf>
    <xf numFmtId="164" fontId="12" fillId="11" borderId="58" xfId="0" applyFont="true" applyBorder="true" applyAlignment="true" applyProtection="false">
      <alignment horizontal="center" vertical="center" textRotation="0" wrapText="true" indent="0" shrinkToFit="false"/>
      <protection locked="true" hidden="false"/>
    </xf>
    <xf numFmtId="164" fontId="12" fillId="11" borderId="22" xfId="0" applyFont="true" applyBorder="true" applyAlignment="true" applyProtection="false">
      <alignment horizontal="center" vertical="center" textRotation="0" wrapText="true" indent="0" shrinkToFit="false"/>
      <protection locked="true" hidden="false"/>
    </xf>
    <xf numFmtId="164" fontId="13" fillId="11" borderId="25" xfId="0" applyFont="true" applyBorder="true" applyAlignment="true" applyProtection="false">
      <alignment horizontal="center" vertical="center" textRotation="0" wrapText="true" indent="0" shrinkToFit="false"/>
      <protection locked="true" hidden="false"/>
    </xf>
    <xf numFmtId="164" fontId="12" fillId="11" borderId="22" xfId="0" applyFont="true" applyBorder="true" applyAlignment="true" applyProtection="false">
      <alignment horizontal="center" vertical="center" textRotation="0" wrapText="false" indent="0" shrinkToFit="false"/>
      <protection locked="true" hidden="false"/>
    </xf>
    <xf numFmtId="164" fontId="12" fillId="11" borderId="23" xfId="0" applyFont="true" applyBorder="true" applyAlignment="true" applyProtection="false">
      <alignment horizontal="center" vertical="center" textRotation="0" wrapText="true" indent="0" shrinkToFit="false"/>
      <protection locked="true" hidden="false"/>
    </xf>
    <xf numFmtId="164" fontId="12" fillId="11" borderId="24" xfId="0" applyFont="true" applyBorder="true" applyAlignment="true" applyProtection="false">
      <alignment horizontal="center" vertical="center" textRotation="0" wrapText="true" indent="0" shrinkToFit="false"/>
      <protection locked="true" hidden="false"/>
    </xf>
    <xf numFmtId="164" fontId="12" fillId="11" borderId="43" xfId="0" applyFont="true" applyBorder="true" applyAlignment="true" applyProtection="false">
      <alignment horizontal="center" vertical="center" textRotation="0" wrapText="true" indent="0" shrinkToFit="false"/>
      <protection locked="true" hidden="false"/>
    </xf>
    <xf numFmtId="164" fontId="12" fillId="11" borderId="50" xfId="0" applyFont="true" applyBorder="true" applyAlignment="true" applyProtection="false">
      <alignment horizontal="center" vertical="center" textRotation="0" wrapText="true" indent="0" shrinkToFit="false"/>
      <protection locked="true" hidden="false"/>
    </xf>
    <xf numFmtId="164" fontId="12" fillId="11" borderId="51" xfId="0" applyFont="true" applyBorder="true" applyAlignment="true" applyProtection="false">
      <alignment horizontal="center" vertical="center" textRotation="0" wrapText="true" indent="0" shrinkToFit="false"/>
      <protection locked="true" hidden="false"/>
    </xf>
    <xf numFmtId="164" fontId="12" fillId="11" borderId="63" xfId="0" applyFont="true" applyBorder="true" applyAlignment="true" applyProtection="false">
      <alignment horizontal="center" vertical="center" textRotation="0" wrapText="true" indent="0" shrinkToFit="false"/>
      <protection locked="true" hidden="false"/>
    </xf>
    <xf numFmtId="164" fontId="13" fillId="11" borderId="24" xfId="0" applyFont="true" applyBorder="true" applyAlignment="true" applyProtection="false">
      <alignment horizontal="center" vertical="center" textRotation="0" wrapText="true" indent="0" shrinkToFit="false"/>
      <protection locked="true" hidden="false"/>
    </xf>
    <xf numFmtId="164" fontId="12" fillId="11" borderId="25" xfId="0" applyFont="true" applyBorder="true" applyAlignment="true" applyProtection="false">
      <alignment horizontal="center" vertical="center" textRotation="0" wrapText="true" indent="0" shrinkToFit="false"/>
      <protection locked="true" hidden="false"/>
    </xf>
    <xf numFmtId="165" fontId="10" fillId="0" borderId="5" xfId="0" applyFont="true" applyBorder="true" applyAlignment="true" applyProtection="false">
      <alignment horizontal="center" vertical="center" textRotation="91" wrapText="false" indent="0" shrinkToFit="false"/>
      <protection locked="true" hidden="false"/>
    </xf>
    <xf numFmtId="165" fontId="4" fillId="0" borderId="12" xfId="0" applyFont="true" applyBorder="true" applyAlignment="true" applyProtection="false">
      <alignment horizontal="general" vertical="center" textRotation="0" wrapText="true" indent="0" shrinkToFit="false"/>
      <protection locked="true" hidden="false"/>
    </xf>
    <xf numFmtId="166" fontId="4" fillId="0" borderId="12" xfId="0" applyFont="true" applyBorder="true" applyAlignment="true" applyProtection="false">
      <alignment horizontal="center" vertical="center" textRotation="0" wrapText="false" indent="0" shrinkToFit="false"/>
      <protection locked="true" hidden="false"/>
    </xf>
    <xf numFmtId="166" fontId="4" fillId="0" borderId="11" xfId="0" applyFont="true" applyBorder="true" applyAlignment="true" applyProtection="false">
      <alignment horizontal="center" vertical="center" textRotation="0" wrapText="false" indent="0" shrinkToFit="false"/>
      <protection locked="true" hidden="false"/>
    </xf>
    <xf numFmtId="170" fontId="4" fillId="0" borderId="12" xfId="0" applyFont="true" applyBorder="true" applyAlignment="true" applyProtection="false">
      <alignment horizontal="center" vertical="center" textRotation="0" wrapText="false" indent="0" shrinkToFit="false"/>
      <protection locked="true" hidden="false"/>
    </xf>
    <xf numFmtId="170" fontId="4" fillId="0" borderId="13" xfId="0" applyFont="true" applyBorder="true" applyAlignment="true" applyProtection="false">
      <alignment horizontal="center" vertical="center" textRotation="0" wrapText="false" indent="0" shrinkToFit="false"/>
      <protection locked="true" hidden="false"/>
    </xf>
    <xf numFmtId="170" fontId="4" fillId="0" borderId="32" xfId="0" applyFont="true" applyBorder="true" applyAlignment="true" applyProtection="false">
      <alignment horizontal="center" vertical="center" textRotation="0" wrapText="false" indent="0" shrinkToFit="false"/>
      <protection locked="true" hidden="false"/>
    </xf>
    <xf numFmtId="168" fontId="8" fillId="0" borderId="33" xfId="15" applyFont="true" applyBorder="true" applyAlignment="true" applyProtection="true">
      <alignment horizontal="center" vertical="center" textRotation="0" wrapText="false" indent="0" shrinkToFit="false"/>
      <protection locked="true" hidden="false"/>
    </xf>
    <xf numFmtId="168" fontId="8" fillId="0" borderId="34" xfId="15" applyFont="true" applyBorder="true" applyAlignment="true" applyProtection="true">
      <alignment horizontal="center" vertical="center" textRotation="0" wrapText="false" indent="0" shrinkToFit="false"/>
      <protection locked="true" hidden="false"/>
    </xf>
    <xf numFmtId="170" fontId="4" fillId="0" borderId="42" xfId="0" applyFont="true" applyBorder="true" applyAlignment="true" applyProtection="false">
      <alignment horizontal="center" vertical="center" textRotation="0" wrapText="false" indent="0" shrinkToFit="false"/>
      <protection locked="true" hidden="false"/>
    </xf>
    <xf numFmtId="170" fontId="4" fillId="0" borderId="16" xfId="0" applyFont="true" applyBorder="true" applyAlignment="true" applyProtection="false">
      <alignment horizontal="center" vertical="center" textRotation="0" wrapText="false" indent="0" shrinkToFit="false"/>
      <protection locked="true" hidden="false"/>
    </xf>
    <xf numFmtId="168" fontId="8" fillId="0" borderId="12" xfId="15" applyFont="true" applyBorder="true" applyAlignment="true" applyProtection="true">
      <alignment horizontal="center" vertical="center" textRotation="0" wrapText="false" indent="0" shrinkToFit="false"/>
      <protection locked="true" hidden="false"/>
    </xf>
    <xf numFmtId="168" fontId="8" fillId="0" borderId="13" xfId="15" applyFont="true" applyBorder="true" applyAlignment="true" applyProtection="true">
      <alignment horizontal="center" vertical="center" textRotation="0" wrapText="false" indent="0" shrinkToFit="false"/>
      <protection locked="true" hidden="false"/>
    </xf>
    <xf numFmtId="168" fontId="4" fillId="0" borderId="11" xfId="15" applyFont="true" applyBorder="true" applyAlignment="true" applyProtection="true">
      <alignment horizontal="center" vertical="center" textRotation="0" wrapText="false" indent="0" shrinkToFit="false"/>
      <protection locked="true" hidden="false"/>
    </xf>
    <xf numFmtId="168" fontId="4" fillId="0" borderId="12" xfId="15" applyFont="true" applyBorder="true" applyAlignment="true" applyProtection="true">
      <alignment horizontal="center" vertical="center" textRotation="0" wrapText="false" indent="0" shrinkToFit="false"/>
      <protection locked="true" hidden="false"/>
    </xf>
    <xf numFmtId="168" fontId="8" fillId="0" borderId="64" xfId="15" applyFont="true" applyBorder="true" applyAlignment="true" applyProtection="true">
      <alignment horizontal="center" vertical="center" textRotation="0" wrapText="false" indent="0" shrinkToFit="false"/>
      <protection locked="true" hidden="false"/>
    </xf>
    <xf numFmtId="168" fontId="8" fillId="11" borderId="11" xfId="15" applyFont="true" applyBorder="true" applyAlignment="true" applyProtection="true">
      <alignment horizontal="center" vertical="center" textRotation="0" wrapText="false" indent="0" shrinkToFit="false"/>
      <protection locked="true" hidden="false"/>
    </xf>
    <xf numFmtId="168" fontId="8" fillId="11" borderId="12" xfId="15" applyFont="true" applyBorder="true" applyAlignment="true" applyProtection="true">
      <alignment horizontal="center" vertical="center" textRotation="0" wrapText="false" indent="0" shrinkToFit="false"/>
      <protection locked="true" hidden="false"/>
    </xf>
    <xf numFmtId="168" fontId="8" fillId="11" borderId="14" xfId="15" applyFont="true" applyBorder="true" applyAlignment="true" applyProtection="true">
      <alignment horizontal="center" vertical="center" textRotation="0" wrapText="false" indent="0" shrinkToFit="false"/>
      <protection locked="true" hidden="false"/>
    </xf>
    <xf numFmtId="169" fontId="4" fillId="0" borderId="65" xfId="17" applyFont="true" applyBorder="true" applyAlignment="true" applyProtection="true">
      <alignment horizontal="right" vertical="center" textRotation="0" wrapText="false" indent="0" shrinkToFit="false"/>
      <protection locked="true" hidden="false"/>
    </xf>
    <xf numFmtId="170" fontId="4" fillId="0" borderId="17" xfId="0" applyFont="true" applyBorder="true" applyAlignment="true" applyProtection="false">
      <alignment horizontal="center" vertical="center" textRotation="0" wrapText="false" indent="0" shrinkToFit="false"/>
      <protection locked="true" hidden="false"/>
    </xf>
    <xf numFmtId="168" fontId="8" fillId="0" borderId="4" xfId="15" applyFont="true" applyBorder="true" applyAlignment="true" applyProtection="true">
      <alignment horizontal="center" vertical="center" textRotation="0" wrapText="false" indent="0" shrinkToFit="false"/>
      <protection locked="true" hidden="false"/>
    </xf>
    <xf numFmtId="168" fontId="8" fillId="0" borderId="19" xfId="15" applyFont="true" applyBorder="true" applyAlignment="true" applyProtection="true">
      <alignment horizontal="center" vertical="center" textRotation="0" wrapText="false" indent="0" shrinkToFit="false"/>
      <protection locked="true" hidden="false"/>
    </xf>
    <xf numFmtId="170" fontId="4" fillId="0" borderId="21" xfId="0" applyFont="true" applyBorder="true" applyAlignment="true" applyProtection="false">
      <alignment horizontal="center" vertical="center" textRotation="0" wrapText="false" indent="0" shrinkToFit="false"/>
      <protection locked="true" hidden="false"/>
    </xf>
    <xf numFmtId="168" fontId="8" fillId="0" borderId="18" xfId="15" applyFont="true" applyBorder="true" applyAlignment="true" applyProtection="true">
      <alignment horizontal="center" vertical="center" textRotation="0" wrapText="false" indent="0" shrinkToFit="false"/>
      <protection locked="true" hidden="false"/>
    </xf>
    <xf numFmtId="168" fontId="4" fillId="0" borderId="17" xfId="15" applyFont="true" applyBorder="true" applyAlignment="true" applyProtection="true">
      <alignment horizontal="center" vertical="center" textRotation="0" wrapText="false" indent="0" shrinkToFit="false"/>
      <protection locked="true" hidden="false"/>
    </xf>
    <xf numFmtId="168" fontId="4" fillId="0" borderId="4" xfId="15" applyFont="true" applyBorder="true" applyAlignment="true" applyProtection="true">
      <alignment horizontal="center" vertical="center" textRotation="0" wrapText="false" indent="0" shrinkToFit="false"/>
      <protection locked="true" hidden="false"/>
    </xf>
    <xf numFmtId="168" fontId="8" fillId="0" borderId="37" xfId="15" applyFont="true" applyBorder="true" applyAlignment="true" applyProtection="true">
      <alignment horizontal="center" vertical="center" textRotation="0" wrapText="false" indent="0" shrinkToFit="false"/>
      <protection locked="true" hidden="false"/>
    </xf>
    <xf numFmtId="168" fontId="4" fillId="0" borderId="19" xfId="15" applyFont="true" applyBorder="true" applyAlignment="true" applyProtection="true">
      <alignment horizontal="center" vertical="center" textRotation="0" wrapText="false" indent="0" shrinkToFit="false"/>
      <protection locked="true" hidden="false"/>
    </xf>
    <xf numFmtId="168" fontId="8" fillId="11" borderId="17" xfId="15" applyFont="true" applyBorder="true" applyAlignment="true" applyProtection="true">
      <alignment horizontal="center" vertical="center" textRotation="0" wrapText="false" indent="0" shrinkToFit="false"/>
      <protection locked="true" hidden="false"/>
    </xf>
    <xf numFmtId="168" fontId="8" fillId="11" borderId="4" xfId="15" applyFont="true" applyBorder="true" applyAlignment="true" applyProtection="true">
      <alignment horizontal="center" vertical="center" textRotation="0" wrapText="false" indent="0" shrinkToFit="false"/>
      <protection locked="true" hidden="false"/>
    </xf>
    <xf numFmtId="168" fontId="8" fillId="11" borderId="19" xfId="15" applyFont="true" applyBorder="true" applyAlignment="true" applyProtection="true">
      <alignment horizontal="center" vertical="center" textRotation="0" wrapText="false" indent="0" shrinkToFit="false"/>
      <protection locked="true" hidden="false"/>
    </xf>
    <xf numFmtId="165" fontId="8" fillId="0" borderId="66" xfId="0" applyFont="true" applyBorder="true" applyAlignment="true" applyProtection="false">
      <alignment horizontal="center" vertical="center" textRotation="0" wrapText="true" indent="0" shrinkToFit="false"/>
      <protection locked="true" hidden="false"/>
    </xf>
    <xf numFmtId="165" fontId="4" fillId="0" borderId="66" xfId="0" applyFont="true" applyBorder="true" applyAlignment="true" applyProtection="false">
      <alignment horizontal="general" vertical="center" textRotation="0" wrapText="true" indent="0" shrinkToFit="false"/>
      <protection locked="true" hidden="false"/>
    </xf>
    <xf numFmtId="166" fontId="4" fillId="0" borderId="66" xfId="0" applyFont="true" applyBorder="true" applyAlignment="true" applyProtection="false">
      <alignment horizontal="center" vertical="center" textRotation="0" wrapText="false" indent="0" shrinkToFit="false"/>
      <protection locked="true" hidden="false"/>
    </xf>
    <xf numFmtId="166" fontId="4" fillId="0" borderId="67" xfId="0" applyFont="true" applyBorder="true" applyAlignment="true" applyProtection="false">
      <alignment horizontal="center" vertical="center" textRotation="0" wrapText="false" indent="0" shrinkToFit="false"/>
      <protection locked="true" hidden="false"/>
    </xf>
    <xf numFmtId="170" fontId="4" fillId="0" borderId="66" xfId="0" applyFont="true" applyBorder="true" applyAlignment="true" applyProtection="false">
      <alignment horizontal="center" vertical="center" textRotation="0" wrapText="false" indent="0" shrinkToFit="false"/>
      <protection locked="true" hidden="false"/>
    </xf>
    <xf numFmtId="170" fontId="4" fillId="0" borderId="40" xfId="0" applyFont="true" applyBorder="true" applyAlignment="true" applyProtection="false">
      <alignment horizontal="center" vertical="center" textRotation="0" wrapText="false" indent="0" shrinkToFit="false"/>
      <protection locked="true" hidden="false"/>
    </xf>
    <xf numFmtId="170" fontId="4" fillId="0" borderId="48" xfId="0" applyFont="true" applyBorder="true" applyAlignment="true" applyProtection="false">
      <alignment horizontal="center" vertical="center" textRotation="0" wrapText="false" indent="0" shrinkToFit="false"/>
      <protection locked="true" hidden="false"/>
    </xf>
    <xf numFmtId="168" fontId="8" fillId="0" borderId="43" xfId="15" applyFont="true" applyBorder="true" applyAlignment="true" applyProtection="true">
      <alignment horizontal="center" vertical="center" textRotation="0" wrapText="false" indent="0" shrinkToFit="false"/>
      <protection locked="true" hidden="false"/>
    </xf>
    <xf numFmtId="168" fontId="8" fillId="0" borderId="50" xfId="15" applyFont="true" applyBorder="true" applyAlignment="true" applyProtection="true">
      <alignment horizontal="center" vertical="center" textRotation="0" wrapText="false" indent="0" shrinkToFit="false"/>
      <protection locked="true" hidden="false"/>
    </xf>
    <xf numFmtId="170" fontId="4" fillId="0" borderId="51" xfId="0" applyFont="true" applyBorder="true" applyAlignment="true" applyProtection="false">
      <alignment horizontal="center" vertical="center" textRotation="0" wrapText="false" indent="0" shrinkToFit="false"/>
      <protection locked="true" hidden="false"/>
    </xf>
    <xf numFmtId="168" fontId="8" fillId="0" borderId="63" xfId="15" applyFont="true" applyBorder="true" applyAlignment="true" applyProtection="true">
      <alignment horizontal="center" vertical="center" textRotation="0" wrapText="false" indent="0" shrinkToFit="false"/>
      <protection locked="true" hidden="false"/>
    </xf>
    <xf numFmtId="168" fontId="4" fillId="0" borderId="48" xfId="15" applyFont="true" applyBorder="true" applyAlignment="true" applyProtection="true">
      <alignment horizontal="center" vertical="center" textRotation="0" wrapText="false" indent="0" shrinkToFit="false"/>
      <protection locked="true" hidden="false"/>
    </xf>
    <xf numFmtId="168" fontId="4" fillId="0" borderId="43" xfId="15" applyFont="true" applyBorder="true" applyAlignment="true" applyProtection="true">
      <alignment horizontal="center" vertical="center" textRotation="0" wrapText="false" indent="0" shrinkToFit="false"/>
      <protection locked="true" hidden="false"/>
    </xf>
    <xf numFmtId="168" fontId="8" fillId="0" borderId="52" xfId="15" applyFont="true" applyBorder="true" applyAlignment="true" applyProtection="true">
      <alignment horizontal="center" vertical="center" textRotation="0" wrapText="false" indent="0" shrinkToFit="false"/>
      <protection locked="true" hidden="false"/>
    </xf>
    <xf numFmtId="168" fontId="8" fillId="11" borderId="48" xfId="15" applyFont="true" applyBorder="true" applyAlignment="true" applyProtection="true">
      <alignment horizontal="center" vertical="center" textRotation="0" wrapText="false" indent="0" shrinkToFit="false"/>
      <protection locked="true" hidden="false"/>
    </xf>
    <xf numFmtId="168" fontId="8" fillId="11" borderId="43" xfId="15" applyFont="true" applyBorder="true" applyAlignment="true" applyProtection="true">
      <alignment horizontal="center" vertical="center" textRotation="0" wrapText="false" indent="0" shrinkToFit="false"/>
      <protection locked="true" hidden="false"/>
    </xf>
    <xf numFmtId="168" fontId="8" fillId="11" borderId="50" xfId="15" applyFont="true" applyBorder="true" applyAlignment="true" applyProtection="true">
      <alignment horizontal="center" vertical="center" textRotation="0" wrapText="false" indent="0" shrinkToFit="false"/>
      <protection locked="true" hidden="false"/>
    </xf>
    <xf numFmtId="169" fontId="4" fillId="0" borderId="45" xfId="17" applyFont="true" applyBorder="true" applyAlignment="true" applyProtection="true">
      <alignment horizontal="right" vertical="center" textRotation="0" wrapText="false" indent="0" shrinkToFit="false"/>
      <protection locked="true" hidden="false"/>
    </xf>
    <xf numFmtId="164" fontId="21" fillId="11" borderId="9" xfId="0" applyFont="true" applyBorder="true" applyAlignment="true" applyProtection="false">
      <alignment horizontal="center" vertical="center" textRotation="0" wrapText="true" indent="0" shrinkToFit="false"/>
      <protection locked="true" hidden="false"/>
    </xf>
    <xf numFmtId="166" fontId="21" fillId="11" borderId="5" xfId="0" applyFont="true" applyBorder="true" applyAlignment="true" applyProtection="false">
      <alignment horizontal="center" vertical="center" textRotation="0" wrapText="false" indent="0" shrinkToFit="false"/>
      <protection locked="true" hidden="false"/>
    </xf>
    <xf numFmtId="170" fontId="21" fillId="11" borderId="7" xfId="0" applyFont="true" applyBorder="true" applyAlignment="true" applyProtection="false">
      <alignment horizontal="center" vertical="center" textRotation="0" wrapText="false" indent="0" shrinkToFit="false"/>
      <protection locked="true" hidden="false"/>
    </xf>
    <xf numFmtId="170" fontId="21" fillId="11" borderId="6" xfId="0" applyFont="true" applyBorder="true" applyAlignment="true" applyProtection="false">
      <alignment horizontal="center" vertical="center" textRotation="0" wrapText="false" indent="0" shrinkToFit="false"/>
      <protection locked="true" hidden="false"/>
    </xf>
    <xf numFmtId="170" fontId="21" fillId="11" borderId="5" xfId="0" applyFont="true" applyBorder="true" applyAlignment="true" applyProtection="false">
      <alignment horizontal="center" vertical="center" textRotation="0" wrapText="false" indent="0" shrinkToFit="false"/>
      <protection locked="true" hidden="false"/>
    </xf>
    <xf numFmtId="170" fontId="21" fillId="11" borderId="8" xfId="0" applyFont="true" applyBorder="true" applyAlignment="true" applyProtection="false">
      <alignment horizontal="center" vertical="center" textRotation="0" wrapText="false" indent="0" shrinkToFit="false"/>
      <protection locked="true" hidden="false"/>
    </xf>
    <xf numFmtId="168" fontId="21" fillId="11" borderId="10" xfId="15" applyFont="true" applyBorder="true" applyAlignment="true" applyProtection="true">
      <alignment horizontal="center" vertical="center" textRotation="0" wrapText="false" indent="0" shrinkToFit="false"/>
      <protection locked="true" hidden="false"/>
    </xf>
    <xf numFmtId="170" fontId="21" fillId="11" borderId="10" xfId="0" applyFont="true" applyBorder="true" applyAlignment="true" applyProtection="false">
      <alignment horizontal="center" vertical="center" textRotation="0" wrapText="false" indent="0" shrinkToFit="false"/>
      <protection locked="true" hidden="false"/>
    </xf>
    <xf numFmtId="168" fontId="21" fillId="11" borderId="58" xfId="15" applyFont="true" applyBorder="true" applyAlignment="true" applyProtection="true">
      <alignment horizontal="center" vertical="center" textRotation="0" wrapText="false" indent="0" shrinkToFit="false"/>
      <protection locked="true" hidden="false"/>
    </xf>
    <xf numFmtId="168" fontId="21" fillId="11" borderId="5" xfId="15" applyFont="true" applyBorder="true" applyAlignment="true" applyProtection="true">
      <alignment horizontal="center" vertical="center" textRotation="0" wrapText="false" indent="0" shrinkToFit="false"/>
      <protection locked="true" hidden="false"/>
    </xf>
    <xf numFmtId="169" fontId="21" fillId="19" borderId="60" xfId="17" applyFont="true" applyBorder="true" applyAlignment="true" applyProtection="tru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21" fillId="11" borderId="9" xfId="0" applyFont="true" applyBorder="true" applyAlignment="true" applyProtection="false">
      <alignment horizontal="left" vertical="center" textRotation="0" wrapText="false" indent="0" shrinkToFit="false"/>
      <protection locked="true" hidden="false"/>
    </xf>
    <xf numFmtId="169" fontId="9" fillId="11" borderId="49" xfId="17" applyFont="true" applyBorder="true" applyAlignment="true" applyProtection="true">
      <alignment horizontal="general" vertical="center" textRotation="0" wrapText="false" indent="0" shrinkToFit="false"/>
      <protection locked="true" hidden="false"/>
    </xf>
    <xf numFmtId="169" fontId="21" fillId="11" borderId="9" xfId="17" applyFont="true" applyBorder="true" applyAlignment="true" applyProtection="true">
      <alignment horizontal="general" vertical="center" textRotation="0" wrapText="false" indent="0" shrinkToFit="false"/>
      <protection locked="true" hidden="false"/>
    </xf>
    <xf numFmtId="164" fontId="16" fillId="0" borderId="46" xfId="0" applyFont="true" applyBorder="true" applyAlignment="true" applyProtection="false">
      <alignment horizontal="left" vertical="bottom" textRotation="0" wrapText="false" indent="0" shrinkToFit="false"/>
      <protection locked="true" hidden="false"/>
    </xf>
    <xf numFmtId="165" fontId="12" fillId="0" borderId="46" xfId="0" applyFont="true" applyBorder="true" applyAlignment="true" applyProtection="false">
      <alignment horizontal="left" vertical="center" textRotation="0" wrapText="true" indent="0" shrinkToFit="false"/>
      <protection locked="true" hidden="false"/>
    </xf>
    <xf numFmtId="164" fontId="12" fillId="0" borderId="49" xfId="0" applyFont="true" applyBorder="true" applyAlignment="true" applyProtection="false">
      <alignment horizontal="left" vertical="top" textRotation="0" wrapText="true" indent="0" shrinkToFit="false"/>
      <protection locked="true" hidden="false"/>
    </xf>
    <xf numFmtId="164" fontId="12" fillId="0" borderId="0" xfId="0" applyFont="true" applyBorder="false" applyAlignment="true" applyProtection="false">
      <alignment horizontal="general" vertical="top" textRotation="0" wrapText="false" indent="0" shrinkToFit="false"/>
      <protection locked="true" hidden="false"/>
    </xf>
    <xf numFmtId="164" fontId="4" fillId="0" borderId="3" xfId="0" applyFont="true" applyBorder="true" applyAlignment="true" applyProtection="false">
      <alignment horizontal="left" vertical="center" textRotation="0" wrapText="true" indent="0" shrinkToFit="false"/>
      <protection locked="true" hidden="false"/>
    </xf>
    <xf numFmtId="170" fontId="12" fillId="0" borderId="0" xfId="0" applyFont="true" applyBorder="fals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general" vertical="center" textRotation="0" wrapText="false" indent="0" shrinkToFit="false"/>
      <protection locked="true" hidden="false"/>
    </xf>
    <xf numFmtId="164" fontId="12" fillId="0" borderId="2" xfId="0" applyFont="true" applyBorder="true" applyAlignment="true" applyProtection="false">
      <alignment horizontal="general" vertical="center" textRotation="0" wrapText="false" indent="0" shrinkToFit="false"/>
      <protection locked="true" hidden="false"/>
    </xf>
    <xf numFmtId="170" fontId="12" fillId="0" borderId="2" xfId="0" applyFont="true" applyBorder="true" applyAlignment="true" applyProtection="false">
      <alignment horizontal="center" vertical="center" textRotation="0" wrapText="false" indent="0" shrinkToFit="false"/>
      <protection locked="true" hidden="false"/>
    </xf>
    <xf numFmtId="170" fontId="12" fillId="0" borderId="2" xfId="0" applyFont="true" applyBorder="true" applyAlignment="true" applyProtection="false">
      <alignment horizontal="center" vertical="bottom" textRotation="0" wrapText="false" indent="0" shrinkToFit="false"/>
      <protection locked="true" hidden="false"/>
    </xf>
    <xf numFmtId="170" fontId="12" fillId="0" borderId="44"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true" applyProtection="false">
      <alignment horizontal="general" vertical="center" textRotation="0" wrapText="false" indent="0" shrinkToFit="false"/>
      <protection locked="true" hidden="false"/>
    </xf>
    <xf numFmtId="170" fontId="12" fillId="0" borderId="0" xfId="0" applyFont="true" applyBorder="false" applyAlignment="true" applyProtection="false">
      <alignment horizontal="center" vertical="center" textRotation="0" wrapText="false" indent="0" shrinkToFit="false"/>
      <protection locked="true" hidden="false"/>
    </xf>
    <xf numFmtId="170" fontId="12" fillId="0" borderId="45" xfId="0" applyFont="true" applyBorder="true" applyAlignment="true" applyProtection="false">
      <alignment horizontal="center" vertical="bottom" textRotation="0" wrapText="false" indent="0" shrinkToFit="false"/>
      <protection locked="true" hidden="false"/>
    </xf>
    <xf numFmtId="165" fontId="13" fillId="0" borderId="0" xfId="0" applyFont="true" applyBorder="false" applyAlignment="false" applyProtection="false">
      <alignment horizontal="general" vertical="bottom" textRotation="0" wrapText="false" indent="0" shrinkToFit="false"/>
      <protection locked="true" hidden="false"/>
    </xf>
    <xf numFmtId="164" fontId="21" fillId="11" borderId="46" xfId="0" applyFont="true" applyBorder="true" applyAlignment="true" applyProtection="false">
      <alignment horizontal="center" vertical="center" textRotation="0" wrapText="false" indent="0" shrinkToFit="false"/>
      <protection locked="true" hidden="false"/>
    </xf>
    <xf numFmtId="165" fontId="5" fillId="0" borderId="49" xfId="0" applyFont="true" applyBorder="true" applyAlignment="true" applyProtection="false">
      <alignment horizontal="left" vertical="center" textRotation="0" wrapText="true" indent="0" shrinkToFit="false"/>
      <protection locked="true" hidden="false"/>
    </xf>
    <xf numFmtId="165" fontId="10" fillId="0" borderId="35" xfId="0" applyFont="true" applyBorder="true" applyAlignment="true" applyProtection="false">
      <alignment horizontal="left" vertical="center" textRotation="0" wrapText="true" indent="0" shrinkToFit="false"/>
      <protection locked="true" hidden="false"/>
    </xf>
    <xf numFmtId="170" fontId="29" fillId="11" borderId="9" xfId="0" applyFont="true" applyBorder="true" applyAlignment="true" applyProtection="false">
      <alignment horizontal="center" vertical="center" textRotation="0" wrapText="true" indent="0" shrinkToFit="false"/>
      <protection locked="true" hidden="false"/>
    </xf>
    <xf numFmtId="164" fontId="10" fillId="11" borderId="68" xfId="0" applyFont="true" applyBorder="true" applyAlignment="true" applyProtection="false">
      <alignment horizontal="left" vertical="center" textRotation="0" wrapText="true" indent="0" shrinkToFit="false"/>
      <protection locked="true" hidden="false"/>
    </xf>
    <xf numFmtId="164" fontId="12" fillId="11" borderId="56" xfId="0" applyFont="true" applyBorder="true" applyAlignment="true" applyProtection="false">
      <alignment horizontal="general" vertical="center" textRotation="0" wrapText="true" indent="0" shrinkToFit="false"/>
      <protection locked="true" hidden="false"/>
    </xf>
    <xf numFmtId="164" fontId="10" fillId="11" borderId="35" xfId="0" applyFont="true" applyBorder="true" applyAlignment="true" applyProtection="false">
      <alignment horizontal="center" vertical="center" textRotation="0" wrapText="false" indent="0" shrinkToFit="false"/>
      <protection locked="true" hidden="false"/>
    </xf>
    <xf numFmtId="164" fontId="13" fillId="0" borderId="4" xfId="0" applyFont="true" applyBorder="true" applyAlignment="true" applyProtection="false">
      <alignment horizontal="center" vertical="center" textRotation="0" wrapText="false" indent="0" shrinkToFit="false"/>
      <protection locked="true" hidden="false"/>
    </xf>
    <xf numFmtId="164" fontId="13" fillId="0" borderId="4" xfId="0" applyFont="true" applyBorder="true" applyAlignment="true" applyProtection="false">
      <alignment horizontal="center" vertical="center" textRotation="0" wrapText="true" indent="0" shrinkToFit="false"/>
      <protection locked="true" hidden="false"/>
    </xf>
    <xf numFmtId="164" fontId="13" fillId="0" borderId="63" xfId="0" applyFont="true" applyBorder="true" applyAlignment="true" applyProtection="false">
      <alignment horizontal="center" vertical="center" textRotation="0" wrapText="false" indent="0" shrinkToFit="false"/>
      <protection locked="true" hidden="false"/>
    </xf>
    <xf numFmtId="170" fontId="13" fillId="0" borderId="19" xfId="0" applyFont="true" applyBorder="true" applyAlignment="true" applyProtection="false">
      <alignment horizontal="center" vertical="center" textRotation="0" wrapText="true" indent="0" shrinkToFit="false"/>
      <protection locked="true" hidden="false"/>
    </xf>
    <xf numFmtId="164" fontId="12" fillId="0" borderId="48" xfId="0" applyFont="true" applyBorder="true" applyAlignment="true" applyProtection="false">
      <alignment horizontal="center" vertical="center" textRotation="0" wrapText="false" indent="0" shrinkToFit="false"/>
      <protection locked="true" hidden="false"/>
    </xf>
    <xf numFmtId="165" fontId="12" fillId="0" borderId="4" xfId="0" applyFont="true" applyBorder="true" applyAlignment="true" applyProtection="false">
      <alignment horizontal="left" vertical="center" textRotation="0" wrapText="true" indent="0" shrinkToFit="false"/>
      <protection locked="true" hidden="false"/>
    </xf>
    <xf numFmtId="170" fontId="12" fillId="11" borderId="4" xfId="0" applyFont="true" applyBorder="true" applyAlignment="true" applyProtection="false">
      <alignment horizontal="center" vertical="center" textRotation="0" wrapText="false" indent="0" shrinkToFit="false"/>
      <protection locked="true" hidden="false"/>
    </xf>
    <xf numFmtId="170" fontId="12" fillId="0" borderId="4" xfId="0" applyFont="true" applyBorder="true" applyAlignment="true" applyProtection="false">
      <alignment horizontal="center" vertical="center" textRotation="0" wrapText="false" indent="0" shrinkToFit="false"/>
      <protection locked="true" hidden="false"/>
    </xf>
    <xf numFmtId="170" fontId="12" fillId="0" borderId="19" xfId="0" applyFont="true" applyBorder="true" applyAlignment="true" applyProtection="false">
      <alignment horizontal="center" vertical="center" textRotation="0" wrapText="false" indent="0" shrinkToFit="false"/>
      <protection locked="true" hidden="false"/>
    </xf>
    <xf numFmtId="172" fontId="12" fillId="0" borderId="4" xfId="0" applyFont="true" applyBorder="true" applyAlignment="true" applyProtection="false">
      <alignment horizontal="center" vertical="center" textRotation="0" wrapText="false" indent="0" shrinkToFit="false"/>
      <protection locked="true" hidden="false"/>
    </xf>
    <xf numFmtId="164" fontId="12" fillId="0" borderId="43" xfId="0" applyFont="true" applyBorder="true" applyAlignment="true" applyProtection="false">
      <alignment horizontal="general" vertical="center" textRotation="0" wrapText="true" indent="0" shrinkToFit="false"/>
      <protection locked="true" hidden="false"/>
    </xf>
    <xf numFmtId="172" fontId="12" fillId="0" borderId="43" xfId="0" applyFont="true" applyBorder="true" applyAlignment="true" applyProtection="false">
      <alignment horizontal="center" vertical="center" textRotation="0" wrapText="true" indent="0" shrinkToFit="false"/>
      <protection locked="true" hidden="false"/>
    </xf>
    <xf numFmtId="170" fontId="12" fillId="11" borderId="43" xfId="0" applyFont="true" applyBorder="true" applyAlignment="true" applyProtection="false">
      <alignment horizontal="center" vertical="center" textRotation="0" wrapText="false" indent="0" shrinkToFit="false"/>
      <protection locked="true" hidden="false"/>
    </xf>
    <xf numFmtId="170" fontId="12" fillId="0" borderId="43" xfId="0" applyFont="true" applyBorder="true" applyAlignment="true" applyProtection="false">
      <alignment horizontal="center" vertical="center" textRotation="0" wrapText="false" indent="0" shrinkToFit="false"/>
      <protection locked="true" hidden="false"/>
    </xf>
    <xf numFmtId="170" fontId="12" fillId="0" borderId="50" xfId="0" applyFont="true" applyBorder="true" applyAlignment="true" applyProtection="false">
      <alignment horizontal="center" vertical="center" textRotation="0" wrapText="false" indent="0" shrinkToFit="false"/>
      <protection locked="true" hidden="false"/>
    </xf>
    <xf numFmtId="164" fontId="10" fillId="11" borderId="4" xfId="0" applyFont="true" applyBorder="true" applyAlignment="true" applyProtection="false">
      <alignment horizontal="left" vertical="center" textRotation="0" wrapText="false" indent="0" shrinkToFit="false"/>
      <protection locked="true" hidden="false"/>
    </xf>
    <xf numFmtId="170" fontId="10" fillId="11" borderId="4" xfId="0" applyFont="true" applyBorder="true" applyAlignment="true" applyProtection="false">
      <alignment horizontal="center" vertical="center" textRotation="0" wrapText="false" indent="0" shrinkToFit="false"/>
      <protection locked="true" hidden="false"/>
    </xf>
    <xf numFmtId="170" fontId="10" fillId="11" borderId="19" xfId="0" applyFont="true" applyBorder="true" applyAlignment="true" applyProtection="false">
      <alignment horizontal="center" vertical="center" textRotation="0" wrapText="false" indent="0" shrinkToFit="false"/>
      <protection locked="true" hidden="false"/>
    </xf>
    <xf numFmtId="164" fontId="12" fillId="0" borderId="66" xfId="0" applyFont="true" applyBorder="true" applyAlignment="true" applyProtection="false">
      <alignment horizontal="left" vertical="center" textRotation="0" wrapText="false" indent="0" shrinkToFit="false"/>
      <protection locked="true" hidden="false"/>
    </xf>
    <xf numFmtId="172" fontId="12" fillId="0" borderId="12" xfId="0" applyFont="true" applyBorder="true" applyAlignment="true" applyProtection="false">
      <alignment horizontal="center" vertical="center" textRotation="0" wrapText="false" indent="0" shrinkToFit="false"/>
      <protection locked="true" hidden="false"/>
    </xf>
    <xf numFmtId="164" fontId="10" fillId="11" borderId="58" xfId="0" applyFont="true" applyBorder="true" applyAlignment="true" applyProtection="false">
      <alignment horizontal="left" vertical="center" textRotation="0" wrapText="false" indent="0" shrinkToFit="false"/>
      <protection locked="true" hidden="false"/>
    </xf>
    <xf numFmtId="170" fontId="10" fillId="11" borderId="7" xfId="0" applyFont="true" applyBorder="true" applyAlignment="true" applyProtection="false">
      <alignment horizontal="center" vertical="center" textRotation="0" wrapText="false" indent="0" shrinkToFit="false"/>
      <protection locked="true" hidden="false"/>
    </xf>
    <xf numFmtId="170" fontId="10" fillId="11" borderId="8" xfId="0" applyFont="true" applyBorder="true" applyAlignment="true" applyProtection="false">
      <alignment horizontal="center" vertical="center" textRotation="0" wrapText="false" indent="0" shrinkToFit="false"/>
      <protection locked="true" hidden="false"/>
    </xf>
    <xf numFmtId="164" fontId="10" fillId="11" borderId="15" xfId="0" applyFont="true" applyBorder="true" applyAlignment="true" applyProtection="false">
      <alignment horizontal="center" vertical="center" textRotation="0" wrapText="false" indent="0" shrinkToFit="false"/>
      <protection locked="true" hidden="false"/>
    </xf>
    <xf numFmtId="164" fontId="12" fillId="0" borderId="17"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false" indent="0" shrinkToFit="false"/>
      <protection locked="true" hidden="false"/>
    </xf>
    <xf numFmtId="164" fontId="12" fillId="0" borderId="17" xfId="0" applyFont="true" applyBorder="true" applyAlignment="true" applyProtection="false">
      <alignment horizontal="left" vertical="center" textRotation="0" wrapText="false" indent="0" shrinkToFit="false"/>
      <protection locked="true" hidden="false"/>
    </xf>
    <xf numFmtId="167" fontId="12" fillId="0" borderId="4" xfId="0" applyFont="true" applyBorder="true" applyAlignment="true" applyProtection="false">
      <alignment horizontal="center" vertical="center" textRotation="0" wrapText="false" indent="0" shrinkToFit="false"/>
      <protection locked="true" hidden="false"/>
    </xf>
    <xf numFmtId="164" fontId="12" fillId="0" borderId="17" xfId="0" applyFont="true" applyBorder="true" applyAlignment="true" applyProtection="false">
      <alignment horizontal="left" vertical="center" textRotation="0" wrapText="true" indent="0" shrinkToFit="false"/>
      <protection locked="true" hidden="false"/>
    </xf>
    <xf numFmtId="167" fontId="12" fillId="0" borderId="4" xfId="15" applyFont="true" applyBorder="true" applyAlignment="true" applyProtection="true">
      <alignment horizontal="center" vertical="center" textRotation="0" wrapText="false" indent="0" shrinkToFit="false"/>
      <protection locked="true" hidden="false"/>
    </xf>
    <xf numFmtId="172" fontId="12" fillId="0" borderId="4" xfId="19" applyFont="true" applyBorder="true" applyAlignment="true" applyProtection="true">
      <alignment horizontal="center" vertical="center" textRotation="0" wrapText="false" indent="0" shrinkToFit="false"/>
      <protection locked="true" hidden="false"/>
    </xf>
    <xf numFmtId="164" fontId="12" fillId="0" borderId="4" xfId="0" applyFont="true" applyBorder="true" applyAlignment="true" applyProtection="false">
      <alignment horizontal="left" vertical="center" textRotation="0" wrapText="false" indent="0" shrinkToFit="false"/>
      <protection locked="true" hidden="false"/>
    </xf>
    <xf numFmtId="164" fontId="12" fillId="0" borderId="48" xfId="0" applyFont="true" applyBorder="true" applyAlignment="true" applyProtection="false">
      <alignment horizontal="left" vertical="center" textRotation="0" wrapText="false" indent="0" shrinkToFit="false"/>
      <protection locked="true" hidden="false"/>
    </xf>
    <xf numFmtId="167" fontId="12" fillId="0" borderId="43" xfId="15" applyFont="true" applyBorder="true" applyAlignment="true" applyProtection="true">
      <alignment horizontal="center" vertical="center" textRotation="0" wrapText="false" indent="0" shrinkToFit="false"/>
      <protection locked="true" hidden="false"/>
    </xf>
    <xf numFmtId="167" fontId="12" fillId="0" borderId="43" xfId="0" applyFont="true" applyBorder="true" applyAlignment="true" applyProtection="false">
      <alignment horizontal="center" vertical="center" textRotation="0" wrapText="false" indent="0" shrinkToFit="false"/>
      <protection locked="true" hidden="false"/>
    </xf>
    <xf numFmtId="164" fontId="10" fillId="11" borderId="5" xfId="0" applyFont="true" applyBorder="true" applyAlignment="true" applyProtection="false">
      <alignment horizontal="left" vertical="center" textRotation="0" wrapText="false" indent="0" shrinkToFit="false"/>
      <protection locked="true" hidden="false"/>
    </xf>
    <xf numFmtId="164" fontId="12" fillId="0" borderId="18" xfId="0" applyFont="true" applyBorder="true" applyAlignment="true" applyProtection="false">
      <alignment horizontal="center" vertical="center" textRotation="0" wrapText="true" indent="0" shrinkToFit="false"/>
      <protection locked="true" hidden="false"/>
    </xf>
    <xf numFmtId="170" fontId="12" fillId="0" borderId="47" xfId="0" applyFont="true" applyBorder="true" applyAlignment="true" applyProtection="false">
      <alignment horizontal="center" vertical="center" textRotation="0" wrapText="true" indent="0" shrinkToFit="false"/>
      <protection locked="true" hidden="false"/>
    </xf>
    <xf numFmtId="164" fontId="12" fillId="0" borderId="37" xfId="0" applyFont="true" applyBorder="true" applyAlignment="true" applyProtection="false">
      <alignment horizontal="general" vertical="center" textRotation="0" wrapText="false" indent="0" shrinkToFit="false"/>
      <protection locked="true" hidden="false"/>
    </xf>
    <xf numFmtId="164" fontId="12" fillId="0" borderId="54" xfId="0" applyFont="true" applyBorder="true" applyAlignment="true" applyProtection="false">
      <alignment horizontal="general" vertical="center" textRotation="0" wrapText="false" indent="0" shrinkToFit="false"/>
      <protection locked="true" hidden="false"/>
    </xf>
    <xf numFmtId="170" fontId="12" fillId="0" borderId="54" xfId="0" applyFont="true" applyBorder="true" applyAlignment="true" applyProtection="false">
      <alignment horizontal="general" vertical="center" textRotation="0" wrapText="false" indent="0" shrinkToFit="false"/>
      <protection locked="true" hidden="false"/>
    </xf>
    <xf numFmtId="164" fontId="12" fillId="0" borderId="17" xfId="0" applyFont="true" applyBorder="true" applyAlignment="true" applyProtection="false">
      <alignment horizontal="general" vertical="center" textRotation="0" wrapText="false" indent="0" shrinkToFit="false"/>
      <protection locked="true" hidden="false"/>
    </xf>
    <xf numFmtId="164" fontId="12" fillId="0" borderId="52" xfId="0" applyFont="true" applyBorder="true" applyAlignment="true" applyProtection="false">
      <alignment horizontal="general" vertical="center" textRotation="0" wrapText="false" indent="0" shrinkToFit="false"/>
      <protection locked="true" hidden="false"/>
    </xf>
    <xf numFmtId="164" fontId="12" fillId="0" borderId="31" xfId="0" applyFont="true" applyBorder="true" applyAlignment="true" applyProtection="false">
      <alignment horizontal="general" vertical="center" textRotation="0" wrapText="false" indent="0" shrinkToFit="false"/>
      <protection locked="true" hidden="false"/>
    </xf>
    <xf numFmtId="172" fontId="12" fillId="0" borderId="43" xfId="0" applyFont="true" applyBorder="true" applyAlignment="true" applyProtection="false">
      <alignment horizontal="center" vertical="center" textRotation="0" wrapText="false" indent="0" shrinkToFit="false"/>
      <protection locked="true" hidden="false"/>
    </xf>
    <xf numFmtId="170" fontId="12" fillId="0" borderId="31" xfId="0" applyFont="true" applyBorder="true" applyAlignment="true" applyProtection="false">
      <alignment horizontal="general" vertical="center" textRotation="0" wrapText="false" indent="0" shrinkToFit="false"/>
      <protection locked="true" hidden="false"/>
    </xf>
    <xf numFmtId="164" fontId="10" fillId="11" borderId="58" xfId="0" applyFont="true" applyBorder="true" applyAlignment="true" applyProtection="false">
      <alignment horizontal="general" vertical="center" textRotation="0" wrapText="false" indent="0" shrinkToFit="false"/>
      <protection locked="true" hidden="false"/>
    </xf>
    <xf numFmtId="164" fontId="10" fillId="11" borderId="59" xfId="0" applyFont="true" applyBorder="true" applyAlignment="true" applyProtection="false">
      <alignment horizontal="general" vertical="center" textRotation="0" wrapText="false" indent="0" shrinkToFit="false"/>
      <protection locked="true" hidden="false"/>
    </xf>
    <xf numFmtId="172" fontId="10" fillId="11" borderId="7" xfId="0" applyFont="true" applyBorder="true" applyAlignment="true" applyProtection="false">
      <alignment horizontal="center" vertical="center" textRotation="0" wrapText="false" indent="0" shrinkToFit="false"/>
      <protection locked="true" hidden="false"/>
    </xf>
    <xf numFmtId="170" fontId="10" fillId="11" borderId="7" xfId="0" applyFont="true" applyBorder="true" applyAlignment="true" applyProtection="false">
      <alignment horizontal="general" vertical="center" textRotation="0" wrapText="false" indent="0" shrinkToFit="false"/>
      <protection locked="true" hidden="false"/>
    </xf>
    <xf numFmtId="164" fontId="10" fillId="11" borderId="55" xfId="0" applyFont="true" applyBorder="true" applyAlignment="true" applyProtection="false">
      <alignment horizontal="left" vertical="center" textRotation="0" wrapText="false" indent="0" shrinkToFit="false"/>
      <protection locked="true" hidden="false"/>
    </xf>
    <xf numFmtId="170" fontId="10" fillId="11" borderId="69" xfId="0" applyFont="true" applyBorder="true" applyAlignment="true" applyProtection="false">
      <alignment horizontal="center" vertical="center" textRotation="0" wrapText="false" indent="0" shrinkToFit="false"/>
      <protection locked="true" hidden="false"/>
    </xf>
    <xf numFmtId="170" fontId="10" fillId="11" borderId="29" xfId="0" applyFont="true" applyBorder="true" applyAlignment="true" applyProtection="false">
      <alignment horizontal="center" vertical="center" textRotation="0" wrapText="false" indent="0" shrinkToFit="false"/>
      <protection locked="true" hidden="false"/>
    </xf>
    <xf numFmtId="164" fontId="10" fillId="11" borderId="36" xfId="0" applyFont="true" applyBorder="true" applyAlignment="true" applyProtection="false">
      <alignment horizontal="center" vertical="center" textRotation="0" wrapText="false" indent="0" shrinkToFit="false"/>
      <protection locked="true" hidden="false"/>
    </xf>
    <xf numFmtId="164" fontId="10" fillId="11" borderId="48" xfId="0" applyFont="true" applyBorder="true" applyAlignment="true" applyProtection="false">
      <alignment horizontal="center" vertical="center" textRotation="0" wrapText="false" indent="0" shrinkToFit="false"/>
      <protection locked="true" hidden="false"/>
    </xf>
    <xf numFmtId="172" fontId="10" fillId="11" borderId="43" xfId="0" applyFont="true" applyBorder="true" applyAlignment="true" applyProtection="false">
      <alignment horizontal="center" vertical="center" textRotation="0" wrapText="false" indent="0" shrinkToFit="false"/>
      <protection locked="true" hidden="false"/>
    </xf>
    <xf numFmtId="170" fontId="10" fillId="11" borderId="43" xfId="0" applyFont="true" applyBorder="true" applyAlignment="true" applyProtection="false">
      <alignment horizontal="center" vertical="center" textRotation="0" wrapText="false" indent="0" shrinkToFit="false"/>
      <protection locked="true" hidden="false"/>
    </xf>
    <xf numFmtId="170" fontId="10" fillId="11" borderId="66" xfId="0" applyFont="true" applyBorder="true" applyAlignment="true" applyProtection="false">
      <alignment horizontal="center" vertical="center" textRotation="0" wrapText="false" indent="0" shrinkToFit="false"/>
      <protection locked="true" hidden="false"/>
    </xf>
    <xf numFmtId="170" fontId="10" fillId="11" borderId="70" xfId="0" applyFont="true" applyBorder="true" applyAlignment="true" applyProtection="false">
      <alignment horizontal="center" vertical="center" textRotation="0" wrapText="false" indent="0" shrinkToFit="false"/>
      <protection locked="true" hidden="false"/>
    </xf>
    <xf numFmtId="165" fontId="10" fillId="11" borderId="17" xfId="0" applyFont="true" applyBorder="true" applyAlignment="true" applyProtection="false">
      <alignment horizontal="general" vertical="center" textRotation="0" wrapText="false" indent="0" shrinkToFit="false"/>
      <protection locked="true" hidden="false"/>
    </xf>
    <xf numFmtId="170" fontId="21" fillId="11" borderId="4" xfId="0" applyFont="true" applyBorder="true" applyAlignment="true" applyProtection="false">
      <alignment horizontal="center" vertical="center" textRotation="0" wrapText="false" indent="0" shrinkToFit="false"/>
      <protection locked="true" hidden="false"/>
    </xf>
    <xf numFmtId="170" fontId="21" fillId="11" borderId="19" xfId="0" applyFont="true" applyBorder="true" applyAlignment="true" applyProtection="false">
      <alignment horizontal="center" vertical="center" textRotation="0" wrapText="false" indent="0" shrinkToFit="false"/>
      <protection locked="true" hidden="false"/>
    </xf>
    <xf numFmtId="165" fontId="10" fillId="11" borderId="17" xfId="0" applyFont="true" applyBorder="true" applyAlignment="true" applyProtection="false">
      <alignment horizontal="general" vertical="center" textRotation="0" wrapText="true" indent="0" shrinkToFit="false"/>
      <protection locked="true" hidden="false"/>
    </xf>
    <xf numFmtId="168" fontId="12" fillId="0" borderId="0" xfId="0" applyFont="true" applyBorder="false" applyAlignment="false" applyProtection="false">
      <alignment horizontal="general" vertical="bottom" textRotation="0" wrapText="false" indent="0" shrinkToFit="false"/>
      <protection locked="true" hidden="false"/>
    </xf>
    <xf numFmtId="164" fontId="10" fillId="11" borderId="22" xfId="0" applyFont="true" applyBorder="true" applyAlignment="true" applyProtection="false">
      <alignment horizontal="general" vertical="center" textRotation="0" wrapText="false" indent="0" shrinkToFit="false"/>
      <protection locked="true" hidden="false"/>
    </xf>
    <xf numFmtId="167" fontId="21" fillId="11" borderId="23" xfId="0" applyFont="true" applyBorder="true" applyAlignment="true" applyProtection="false">
      <alignment horizontal="center" vertical="center" textRotation="0" wrapText="false" indent="0" shrinkToFit="false"/>
      <protection locked="true" hidden="false"/>
    </xf>
    <xf numFmtId="170" fontId="10" fillId="13" borderId="23" xfId="0" applyFont="true" applyBorder="true" applyAlignment="true" applyProtection="false">
      <alignment horizontal="center" vertical="center" textRotation="0" wrapText="true" indent="0" shrinkToFit="false"/>
      <protection locked="true" hidden="false"/>
    </xf>
    <xf numFmtId="169" fontId="10" fillId="13" borderId="25" xfId="17" applyFont="true" applyBorder="true" applyAlignment="true" applyProtection="true">
      <alignment horizontal="center" vertical="center" textRotation="0" wrapText="false" indent="0" shrinkToFit="false"/>
      <protection locked="true" hidden="false"/>
    </xf>
    <xf numFmtId="168" fontId="12" fillId="0" borderId="4" xfId="0" applyFont="true" applyBorder="true" applyAlignment="true" applyProtection="false">
      <alignment horizontal="center" vertical="center" textRotation="0" wrapText="false" indent="0" shrinkToFit="false"/>
      <protection locked="true" hidden="false"/>
    </xf>
    <xf numFmtId="170" fontId="12" fillId="0" borderId="4" xfId="0" applyFont="true" applyBorder="true" applyAlignment="true" applyProtection="false">
      <alignment horizontal="center" vertical="bottom" textRotation="0" wrapText="false" indent="0" shrinkToFit="false"/>
      <protection locked="true" hidden="false"/>
    </xf>
    <xf numFmtId="164" fontId="13" fillId="0" borderId="45" xfId="0" applyFont="true" applyBorder="true" applyAlignment="false" applyProtection="false">
      <alignment horizontal="general" vertical="bottom" textRotation="0" wrapText="false" indent="0" shrinkToFit="false"/>
      <protection locked="true" hidden="false"/>
    </xf>
    <xf numFmtId="164" fontId="43" fillId="11" borderId="49" xfId="0" applyFont="true" applyBorder="true" applyAlignment="true" applyProtection="false">
      <alignment horizontal="center" vertical="center" textRotation="0" wrapText="true" indent="0" shrinkToFit="false"/>
      <protection locked="true" hidden="false"/>
    </xf>
    <xf numFmtId="164" fontId="43" fillId="0" borderId="0" xfId="0" applyFont="true" applyBorder="false" applyAlignment="true" applyProtection="false">
      <alignment horizontal="general" vertical="center" textRotation="0" wrapText="true" indent="0" shrinkToFit="false"/>
      <protection locked="true" hidden="false"/>
    </xf>
    <xf numFmtId="164" fontId="29" fillId="8" borderId="9" xfId="0" applyFont="true" applyBorder="true" applyAlignment="true" applyProtection="false">
      <alignment horizontal="center" vertical="center" textRotation="0" wrapText="false" indent="0" shrinkToFit="false"/>
      <protection locked="true" hidden="false"/>
    </xf>
    <xf numFmtId="172" fontId="30" fillId="8" borderId="36" xfId="0" applyFont="true" applyBorder="true" applyAlignment="true" applyProtection="false">
      <alignment horizontal="center" vertical="center" textRotation="0" wrapText="false" indent="0" shrinkToFit="false"/>
      <protection locked="true" hidden="false"/>
    </xf>
    <xf numFmtId="178" fontId="44" fillId="8" borderId="10" xfId="0" applyFont="true" applyBorder="true" applyAlignment="true" applyProtection="false">
      <alignment horizontal="center" vertical="center" textRotation="0" wrapText="true" indent="0" shrinkToFit="false"/>
      <protection locked="true" hidden="false"/>
    </xf>
    <xf numFmtId="178" fontId="29" fillId="0" borderId="7" xfId="0" applyFont="true" applyBorder="true" applyAlignment="true" applyProtection="false">
      <alignment horizontal="center" vertical="center" textRotation="0" wrapText="true" indent="0" shrinkToFit="false"/>
      <protection locked="true" hidden="false"/>
    </xf>
    <xf numFmtId="178" fontId="29" fillId="0" borderId="8" xfId="0" applyFont="true" applyBorder="true" applyAlignment="true" applyProtection="false">
      <alignment horizontal="center" vertical="center" textRotation="0" wrapText="true" indent="0" shrinkToFit="false"/>
      <protection locked="true" hidden="false"/>
    </xf>
    <xf numFmtId="164" fontId="29" fillId="0" borderId="0" xfId="0" applyFont="true" applyBorder="false" applyAlignment="true" applyProtection="false">
      <alignment horizontal="general" vertical="center" textRotation="0" wrapText="false" indent="0" shrinkToFit="false"/>
      <protection locked="true" hidden="false"/>
    </xf>
    <xf numFmtId="164" fontId="30" fillId="8" borderId="3" xfId="0" applyFont="true" applyBorder="true" applyAlignment="true" applyProtection="false">
      <alignment horizontal="center" vertical="center" textRotation="0" wrapText="false" indent="0" shrinkToFit="false"/>
      <protection locked="true" hidden="false"/>
    </xf>
    <xf numFmtId="164" fontId="30" fillId="8" borderId="36" xfId="0" applyFont="true" applyBorder="true" applyAlignment="true" applyProtection="false">
      <alignment horizontal="left" vertical="center" textRotation="0" wrapText="true" indent="0" shrinkToFit="false"/>
      <protection locked="true" hidden="false"/>
    </xf>
    <xf numFmtId="164" fontId="44" fillId="8" borderId="36" xfId="0" applyFont="true" applyBorder="true" applyAlignment="true" applyProtection="false">
      <alignment horizontal="center" vertical="center" textRotation="0" wrapText="false" indent="0" shrinkToFit="false"/>
      <protection locked="true" hidden="false"/>
    </xf>
    <xf numFmtId="164" fontId="45" fillId="20" borderId="5" xfId="0" applyFont="true" applyBorder="true" applyAlignment="true" applyProtection="false">
      <alignment horizontal="center" vertical="center" textRotation="0" wrapText="false" indent="0" shrinkToFit="false"/>
      <protection locked="true" hidden="false"/>
    </xf>
    <xf numFmtId="164" fontId="45" fillId="20" borderId="7" xfId="0" applyFont="true" applyBorder="true" applyAlignment="true" applyProtection="false">
      <alignment horizontal="left" vertical="center" textRotation="0" wrapText="false" indent="0" shrinkToFit="false"/>
      <protection locked="true" hidden="false"/>
    </xf>
    <xf numFmtId="170" fontId="45" fillId="20" borderId="7" xfId="0" applyFont="true" applyBorder="true" applyAlignment="true" applyProtection="false">
      <alignment horizontal="general" vertical="center" textRotation="0" wrapText="false" indent="0" shrinkToFit="false"/>
      <protection locked="true" hidden="false"/>
    </xf>
    <xf numFmtId="170" fontId="45" fillId="20" borderId="8" xfId="0" applyFont="true" applyBorder="true" applyAlignment="true" applyProtection="false">
      <alignment horizontal="general" vertical="center" textRotation="0" wrapText="false" indent="0" shrinkToFit="false"/>
      <protection locked="true" hidden="false"/>
    </xf>
    <xf numFmtId="164" fontId="12" fillId="0" borderId="11" xfId="0" applyFont="true" applyBorder="true" applyAlignment="true" applyProtection="false">
      <alignment horizontal="center" vertical="center" textRotation="0" wrapText="false" indent="0" shrinkToFit="false"/>
      <protection locked="true" hidden="false"/>
    </xf>
    <xf numFmtId="164" fontId="12" fillId="0" borderId="12" xfId="0" applyFont="true" applyBorder="true" applyAlignment="true" applyProtection="false">
      <alignment horizontal="left" vertical="center" textRotation="0" wrapText="false" indent="0" shrinkToFit="false"/>
      <protection locked="true" hidden="false"/>
    </xf>
    <xf numFmtId="170" fontId="12" fillId="8" borderId="12" xfId="20" applyFont="true" applyBorder="true" applyAlignment="true" applyProtection="true">
      <alignment horizontal="general" vertical="center" textRotation="0" wrapText="false" indent="0" shrinkToFit="false"/>
      <protection locked="true" hidden="false"/>
    </xf>
    <xf numFmtId="170" fontId="12" fillId="8" borderId="14" xfId="20" applyFont="true" applyBorder="true" applyAlignment="true" applyProtection="true">
      <alignment horizontal="general" vertical="center" textRotation="0" wrapText="false" indent="0" shrinkToFit="false"/>
      <protection locked="true" hidden="false"/>
    </xf>
    <xf numFmtId="172" fontId="19" fillId="0" borderId="4" xfId="0" applyFont="true" applyBorder="true" applyAlignment="true" applyProtection="false">
      <alignment horizontal="center" vertical="center" textRotation="0" wrapText="false" indent="0" shrinkToFit="false"/>
      <protection locked="true" hidden="false"/>
    </xf>
    <xf numFmtId="170" fontId="12" fillId="8" borderId="4" xfId="20" applyFont="true" applyBorder="true" applyAlignment="true" applyProtection="true">
      <alignment horizontal="general" vertical="center" textRotation="0" wrapText="false" indent="0" shrinkToFit="false"/>
      <protection locked="true" hidden="false"/>
    </xf>
    <xf numFmtId="170" fontId="12" fillId="8" borderId="19" xfId="20" applyFont="true" applyBorder="true" applyAlignment="true" applyProtection="true">
      <alignment horizontal="general" vertical="center" textRotation="0" wrapText="false" indent="0" shrinkToFit="false"/>
      <protection locked="true" hidden="false"/>
    </xf>
    <xf numFmtId="164" fontId="30" fillId="0" borderId="17" xfId="0" applyFont="true" applyBorder="true" applyAlignment="true" applyProtection="false">
      <alignment horizontal="left" vertical="center" textRotation="0" wrapText="true" indent="0" shrinkToFit="false"/>
      <protection locked="true" hidden="false"/>
    </xf>
    <xf numFmtId="172" fontId="30" fillId="0" borderId="4" xfId="0" applyFont="true" applyBorder="true" applyAlignment="true" applyProtection="false">
      <alignment horizontal="center" vertical="center" textRotation="0" wrapText="false" indent="0" shrinkToFit="false"/>
      <protection locked="true" hidden="false"/>
    </xf>
    <xf numFmtId="170" fontId="10" fillId="8" borderId="4" xfId="20" applyFont="true" applyBorder="true" applyAlignment="true" applyProtection="true">
      <alignment horizontal="right" vertical="center" textRotation="0" wrapText="false" indent="0" shrinkToFit="false"/>
      <protection locked="true" hidden="false"/>
    </xf>
    <xf numFmtId="170" fontId="10" fillId="8" borderId="19" xfId="20" applyFont="true" applyBorder="true" applyAlignment="true" applyProtection="true">
      <alignment horizontal="right" vertical="center" textRotation="0" wrapText="false" indent="0" shrinkToFit="false"/>
      <protection locked="true" hidden="false"/>
    </xf>
    <xf numFmtId="164" fontId="30" fillId="11" borderId="17" xfId="0" applyFont="true" applyBorder="true" applyAlignment="true" applyProtection="false">
      <alignment horizontal="center" vertical="center" textRotation="0" wrapText="false" indent="0" shrinkToFit="false"/>
      <protection locked="true" hidden="false"/>
    </xf>
    <xf numFmtId="164" fontId="30" fillId="11" borderId="4" xfId="0" applyFont="true" applyBorder="true" applyAlignment="true" applyProtection="false">
      <alignment horizontal="general" vertical="center" textRotation="0" wrapText="false" indent="0" shrinkToFit="false"/>
      <protection locked="true" hidden="false"/>
    </xf>
    <xf numFmtId="164" fontId="30" fillId="11" borderId="19"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general" vertical="center" textRotation="0" wrapText="false" indent="0" shrinkToFit="false"/>
      <protection locked="true" hidden="false"/>
    </xf>
    <xf numFmtId="170" fontId="12" fillId="0" borderId="4" xfId="0" applyFont="true" applyBorder="true" applyAlignment="true" applyProtection="false">
      <alignment horizontal="general" vertical="center" textRotation="0" wrapText="false" indent="0" shrinkToFit="false"/>
      <protection locked="true" hidden="false"/>
    </xf>
    <xf numFmtId="170" fontId="12" fillId="0" borderId="19" xfId="0" applyFont="true" applyBorder="true" applyAlignment="true" applyProtection="false">
      <alignment horizontal="general" vertical="center" textRotation="0" wrapText="false" indent="0" shrinkToFit="false"/>
      <protection locked="true" hidden="false"/>
    </xf>
    <xf numFmtId="164" fontId="30" fillId="0" borderId="17" xfId="0" applyFont="true" applyBorder="true" applyAlignment="true" applyProtection="false">
      <alignment horizontal="left" vertical="center" textRotation="0" wrapText="false" indent="0" shrinkToFit="false"/>
      <protection locked="true" hidden="false"/>
    </xf>
    <xf numFmtId="170" fontId="30" fillId="0" borderId="4" xfId="0" applyFont="true" applyBorder="true" applyAlignment="true" applyProtection="false">
      <alignment horizontal="general" vertical="center" textRotation="0" wrapText="false" indent="0" shrinkToFit="false"/>
      <protection locked="true" hidden="false"/>
    </xf>
    <xf numFmtId="170" fontId="30" fillId="0" borderId="19" xfId="0" applyFont="true" applyBorder="true" applyAlignment="true" applyProtection="false">
      <alignment horizontal="general" vertical="center" textRotation="0" wrapText="false" indent="0" shrinkToFit="false"/>
      <protection locked="true" hidden="false"/>
    </xf>
    <xf numFmtId="164" fontId="30" fillId="11" borderId="4" xfId="0" applyFont="true" applyBorder="true" applyAlignment="true" applyProtection="false">
      <alignment horizontal="left" vertical="center" textRotation="0" wrapText="true" indent="0" shrinkToFit="false"/>
      <protection locked="true" hidden="false"/>
    </xf>
    <xf numFmtId="172" fontId="30" fillId="11" borderId="4"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left" vertical="center" textRotation="0" wrapText="true" indent="0" shrinkToFit="false"/>
      <protection locked="true" hidden="false"/>
    </xf>
    <xf numFmtId="172" fontId="12" fillId="0" borderId="4" xfId="0" applyFont="true" applyBorder="true" applyAlignment="true" applyProtection="false">
      <alignment horizontal="general" vertical="center" textRotation="0" wrapText="true" indent="0" shrinkToFit="false"/>
      <protection locked="true" hidden="false"/>
    </xf>
    <xf numFmtId="170" fontId="12" fillId="8" borderId="4" xfId="0" applyFont="true" applyBorder="true" applyAlignment="true" applyProtection="false">
      <alignment horizontal="right" vertical="center" textRotation="0" wrapText="false" indent="0" shrinkToFit="false"/>
      <protection locked="true" hidden="false"/>
    </xf>
    <xf numFmtId="170" fontId="12" fillId="8" borderId="19" xfId="0" applyFont="true" applyBorder="true" applyAlignment="true" applyProtection="false">
      <alignment horizontal="right" vertical="center" textRotation="0" wrapText="false" indent="0" shrinkToFit="false"/>
      <protection locked="true" hidden="false"/>
    </xf>
    <xf numFmtId="164" fontId="30" fillId="0" borderId="17" xfId="0" applyFont="true" applyBorder="true" applyAlignment="true" applyProtection="false">
      <alignment horizontal="center" vertical="center" textRotation="0" wrapText="false" indent="0" shrinkToFit="false"/>
      <protection locked="true" hidden="false"/>
    </xf>
    <xf numFmtId="164" fontId="10" fillId="0" borderId="4" xfId="0" applyFont="true" applyBorder="true" applyAlignment="true" applyProtection="false">
      <alignment horizontal="left" vertical="center" textRotation="0" wrapText="true" indent="0" shrinkToFit="false"/>
      <protection locked="true" hidden="false"/>
    </xf>
    <xf numFmtId="172" fontId="30" fillId="0" borderId="4" xfId="0" applyFont="true" applyBorder="true" applyAlignment="true" applyProtection="false">
      <alignment horizontal="general" vertical="center" textRotation="0" wrapText="true" indent="0" shrinkToFit="false"/>
      <protection locked="true" hidden="false"/>
    </xf>
    <xf numFmtId="170" fontId="30" fillId="8" borderId="4" xfId="0" applyFont="true" applyBorder="true" applyAlignment="true" applyProtection="false">
      <alignment horizontal="right" vertical="center" textRotation="0" wrapText="false" indent="0" shrinkToFit="false"/>
      <protection locked="true" hidden="false"/>
    </xf>
    <xf numFmtId="170" fontId="30" fillId="8" borderId="19" xfId="0" applyFont="true" applyBorder="true" applyAlignment="true" applyProtection="false">
      <alignment horizontal="right" vertical="center" textRotation="0" wrapText="false" indent="0" shrinkToFit="false"/>
      <protection locked="true" hidden="false"/>
    </xf>
    <xf numFmtId="164" fontId="12" fillId="8" borderId="17" xfId="0" applyFont="true" applyBorder="true" applyAlignment="true" applyProtection="false">
      <alignment horizontal="center" vertical="center" textRotation="0" wrapText="false" indent="0" shrinkToFit="false"/>
      <protection locked="true" hidden="false"/>
    </xf>
    <xf numFmtId="164" fontId="30" fillId="0" borderId="48" xfId="0" applyFont="true" applyBorder="true" applyAlignment="true" applyProtection="false">
      <alignment horizontal="general" vertical="center" textRotation="0" wrapText="false" indent="0" shrinkToFit="false"/>
      <protection locked="true" hidden="false"/>
    </xf>
    <xf numFmtId="170" fontId="30" fillId="0" borderId="43" xfId="0" applyFont="true" applyBorder="true" applyAlignment="true" applyProtection="false">
      <alignment horizontal="right" vertical="center" textRotation="0" wrapText="false" indent="0" shrinkToFit="false"/>
      <protection locked="true" hidden="false"/>
    </xf>
    <xf numFmtId="170" fontId="30" fillId="0" borderId="50" xfId="0" applyFont="true" applyBorder="true" applyAlignment="true" applyProtection="false">
      <alignment horizontal="right" vertical="center" textRotation="0" wrapText="false" indent="0" shrinkToFit="false"/>
      <protection locked="true" hidden="false"/>
    </xf>
    <xf numFmtId="164" fontId="30" fillId="11" borderId="9" xfId="0" applyFont="true" applyBorder="true" applyAlignment="true" applyProtection="false">
      <alignment horizontal="center" vertical="center" textRotation="0" wrapText="false" indent="0" shrinkToFit="false"/>
      <protection locked="true" hidden="false"/>
    </xf>
    <xf numFmtId="164" fontId="30" fillId="8" borderId="9" xfId="0" applyFont="true" applyBorder="true" applyAlignment="true" applyProtection="false">
      <alignment horizontal="center" vertical="center" textRotation="0" wrapText="false" indent="0" shrinkToFit="false"/>
      <protection locked="true" hidden="false"/>
    </xf>
    <xf numFmtId="164" fontId="30" fillId="11" borderId="11" xfId="0" applyFont="true" applyBorder="true" applyAlignment="true" applyProtection="false">
      <alignment horizontal="general" vertical="center" textRotation="0" wrapText="false" indent="0" shrinkToFit="false"/>
      <protection locked="true" hidden="false"/>
    </xf>
    <xf numFmtId="164" fontId="30" fillId="11" borderId="12" xfId="0" applyFont="true" applyBorder="true" applyAlignment="true" applyProtection="false">
      <alignment horizontal="general" vertical="center" textRotation="0" wrapText="false" indent="0" shrinkToFit="false"/>
      <protection locked="true" hidden="false"/>
    </xf>
    <xf numFmtId="164" fontId="30" fillId="11" borderId="14" xfId="0" applyFont="true" applyBorder="true" applyAlignment="true" applyProtection="false">
      <alignment horizontal="center" vertical="center" textRotation="0" wrapText="false" indent="0" shrinkToFit="false"/>
      <protection locked="true" hidden="false"/>
    </xf>
    <xf numFmtId="170" fontId="19" fillId="8" borderId="4" xfId="0" applyFont="true" applyBorder="true" applyAlignment="true" applyProtection="false">
      <alignment horizontal="general" vertical="center" textRotation="0" wrapText="false" indent="0" shrinkToFit="false"/>
      <protection locked="true" hidden="false"/>
    </xf>
    <xf numFmtId="170" fontId="19" fillId="8" borderId="19" xfId="0" applyFont="true" applyBorder="true" applyAlignment="true" applyProtection="false">
      <alignment horizontal="general" vertical="center" textRotation="0" wrapText="false" indent="0" shrinkToFit="false"/>
      <protection locked="true" hidden="false"/>
    </xf>
    <xf numFmtId="164" fontId="30" fillId="0" borderId="4" xfId="0" applyFont="true" applyBorder="true" applyAlignment="true" applyProtection="false">
      <alignment horizontal="general" vertical="center" textRotation="0" wrapText="false" indent="0" shrinkToFit="false"/>
      <protection locked="true" hidden="false"/>
    </xf>
    <xf numFmtId="170" fontId="30" fillId="8" borderId="4" xfId="0" applyFont="true" applyBorder="true" applyAlignment="true" applyProtection="false">
      <alignment horizontal="general" vertical="center" textRotation="0" wrapText="false" indent="0" shrinkToFit="false"/>
      <protection locked="true" hidden="false"/>
    </xf>
    <xf numFmtId="170" fontId="30" fillId="8" borderId="19" xfId="0" applyFont="true" applyBorder="true" applyAlignment="true" applyProtection="false">
      <alignment horizontal="general" vertical="center" textRotation="0" wrapText="false" indent="0" shrinkToFit="false"/>
      <protection locked="true" hidden="false"/>
    </xf>
    <xf numFmtId="164" fontId="12" fillId="0" borderId="43" xfId="0" applyFont="true" applyBorder="true" applyAlignment="true" applyProtection="false">
      <alignment horizontal="general" vertical="center" textRotation="0" wrapText="false" indent="0" shrinkToFit="false"/>
      <protection locked="true" hidden="false"/>
    </xf>
    <xf numFmtId="170" fontId="19" fillId="8" borderId="43" xfId="0" applyFont="true" applyBorder="true" applyAlignment="true" applyProtection="false">
      <alignment horizontal="general" vertical="center" textRotation="0" wrapText="false" indent="0" shrinkToFit="false"/>
      <protection locked="true" hidden="false"/>
    </xf>
    <xf numFmtId="170" fontId="19" fillId="8" borderId="50" xfId="0" applyFont="true" applyBorder="true" applyAlignment="true" applyProtection="false">
      <alignment horizontal="general" vertical="center" textRotation="0" wrapText="false" indent="0" shrinkToFit="false"/>
      <protection locked="true" hidden="false"/>
    </xf>
    <xf numFmtId="164" fontId="30" fillId="11" borderId="5" xfId="0" applyFont="true" applyBorder="true" applyAlignment="true" applyProtection="false">
      <alignment horizontal="general" vertical="center" textRotation="0" wrapText="false" indent="0" shrinkToFit="false"/>
      <protection locked="true" hidden="false"/>
    </xf>
    <xf numFmtId="164" fontId="30" fillId="11" borderId="7" xfId="0" applyFont="true" applyBorder="true" applyAlignment="true" applyProtection="false">
      <alignment horizontal="general" vertical="center" textRotation="0" wrapText="false" indent="0" shrinkToFit="false"/>
      <protection locked="true" hidden="false"/>
    </xf>
    <xf numFmtId="170" fontId="30" fillId="11" borderId="7" xfId="0" applyFont="true" applyBorder="true" applyAlignment="true" applyProtection="false">
      <alignment horizontal="general" vertical="center" textRotation="0" wrapText="false" indent="0" shrinkToFit="false"/>
      <protection locked="true" hidden="false"/>
    </xf>
    <xf numFmtId="170" fontId="30" fillId="11" borderId="8" xfId="0" applyFont="true" applyBorder="true" applyAlignment="true" applyProtection="false">
      <alignment horizontal="general" vertical="center" textRotation="0" wrapText="false" indent="0" shrinkToFit="false"/>
      <protection locked="true" hidden="false"/>
    </xf>
    <xf numFmtId="164" fontId="21" fillId="16" borderId="4" xfId="0" applyFont="true" applyBorder="true" applyAlignment="true" applyProtection="false">
      <alignment horizontal="center" vertical="center" textRotation="0" wrapText="true" indent="0" shrinkToFit="false"/>
      <protection locked="true" hidden="false"/>
    </xf>
    <xf numFmtId="164" fontId="29" fillId="0" borderId="18" xfId="0" applyFont="true" applyBorder="true" applyAlignment="true" applyProtection="false">
      <alignment horizontal="right" vertical="center" textRotation="0" wrapText="false" indent="0" shrinkToFit="false"/>
      <protection locked="true" hidden="false"/>
    </xf>
    <xf numFmtId="164" fontId="29" fillId="0" borderId="21" xfId="0" applyFont="true" applyBorder="true" applyAlignment="true" applyProtection="false">
      <alignment horizontal="left" vertical="center" textRotation="0" wrapText="false" indent="0" shrinkToFit="false"/>
      <protection locked="true" hidden="false"/>
    </xf>
    <xf numFmtId="164" fontId="31" fillId="16" borderId="4" xfId="0" applyFont="true" applyBorder="true" applyAlignment="true" applyProtection="false">
      <alignment horizontal="center" vertical="center" textRotation="0" wrapText="false" indent="0" shrinkToFit="false"/>
      <protection locked="true" hidden="false"/>
    </xf>
    <xf numFmtId="164" fontId="8" fillId="16" borderId="4" xfId="0" applyFont="true" applyBorder="true" applyAlignment="true" applyProtection="false">
      <alignment horizontal="center" vertical="center" textRotation="0" wrapText="false" indent="0" shrinkToFit="false"/>
      <protection locked="true" hidden="false"/>
    </xf>
    <xf numFmtId="164" fontId="20" fillId="0" borderId="4" xfId="0" applyFont="true" applyBorder="true" applyAlignment="true" applyProtection="false">
      <alignment horizontal="center" vertical="center" textRotation="0" wrapText="false" indent="0" shrinkToFit="false"/>
      <protection locked="true" hidden="false"/>
    </xf>
    <xf numFmtId="172" fontId="31" fillId="0" borderId="4" xfId="0" applyFont="true" applyBorder="true" applyAlignment="true" applyProtection="false">
      <alignment horizontal="center" vertical="center" textRotation="0" wrapText="false" indent="0" shrinkToFit="false"/>
      <protection locked="true" hidden="false"/>
    </xf>
    <xf numFmtId="164" fontId="31" fillId="0" borderId="4" xfId="0" applyFont="true" applyBorder="true" applyAlignment="true" applyProtection="false">
      <alignment horizontal="center" vertical="center" textRotation="0" wrapText="false" indent="0" shrinkToFit="false"/>
      <protection locked="true" hidden="false"/>
    </xf>
    <xf numFmtId="170" fontId="4" fillId="0" borderId="4" xfId="0" applyFont="true" applyBorder="true" applyAlignment="true" applyProtection="false">
      <alignment horizontal="center" vertical="bottom" textRotation="0" wrapText="false" indent="0" shrinkToFit="false"/>
      <protection locked="true" hidden="false"/>
    </xf>
    <xf numFmtId="164" fontId="20" fillId="0" borderId="12" xfId="0" applyFont="true" applyBorder="true" applyAlignment="true" applyProtection="false">
      <alignment horizontal="center" vertical="center" textRotation="0" wrapText="false" indent="0" shrinkToFit="false"/>
      <protection locked="true" hidden="false"/>
    </xf>
    <xf numFmtId="172" fontId="31" fillId="0" borderId="12" xfId="0" applyFont="true" applyBorder="true" applyAlignment="true" applyProtection="false">
      <alignment horizontal="center" vertical="center" textRotation="0" wrapText="false" indent="0" shrinkToFit="false"/>
      <protection locked="true" hidden="false"/>
    </xf>
    <xf numFmtId="164" fontId="31" fillId="0" borderId="12" xfId="0" applyFont="true" applyBorder="true" applyAlignment="true" applyProtection="false">
      <alignment horizontal="center" vertical="center" textRotation="0" wrapText="false" indent="0" shrinkToFit="false"/>
      <protection locked="true" hidden="false"/>
    </xf>
    <xf numFmtId="172" fontId="47" fillId="8" borderId="4" xfId="0" applyFont="true" applyBorder="true" applyAlignment="true" applyProtection="false">
      <alignment horizontal="center"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Explanatory Text" xfId="20"/>
  </cellStyles>
  <dxfs count="2">
    <dxf>
      <font>
        <color rgb="FF006100"/>
      </font>
      <fill>
        <patternFill>
          <bgColor rgb="FFC6EFCE"/>
        </patternFill>
      </fill>
    </dxf>
    <dxf>
      <font>
        <color rgb="FF9C0006"/>
      </font>
      <fill>
        <patternFill>
          <bgColor rgb="FFFFC7CE"/>
        </patternFill>
      </fill>
    </dxf>
  </dxfs>
  <colors>
    <indexedColors>
      <rgbColor rgb="FF000000"/>
      <rgbColor rgb="FFFFFFFF"/>
      <rgbColor rgb="FFFF0000"/>
      <rgbColor rgb="FF00FF00"/>
      <rgbColor rgb="FF0000FF"/>
      <rgbColor rgb="FFFFF2CC"/>
      <rgbColor rgb="FFFF00FF"/>
      <rgbColor rgb="FF00FFFF"/>
      <rgbColor rgb="FF9C0006"/>
      <rgbColor rgb="FF006100"/>
      <rgbColor rgb="FF000080"/>
      <rgbColor rgb="FF808000"/>
      <rgbColor rgb="FF800080"/>
      <rgbColor rgb="FF008080"/>
      <rgbColor rgb="FFC0C0C0"/>
      <rgbColor rgb="FF808080"/>
      <rgbColor rgb="FFD9D9D9"/>
      <rgbColor rgb="FF993366"/>
      <rgbColor rgb="FFFFFFCC"/>
      <rgbColor rgb="FFDEEBF7"/>
      <rgbColor rgb="FF660066"/>
      <rgbColor rgb="FFFF8080"/>
      <rgbColor rgb="FF0066CC"/>
      <rgbColor rgb="FFBDD7EE"/>
      <rgbColor rgb="FF000080"/>
      <rgbColor rgb="FFFF00FF"/>
      <rgbColor rgb="FFF2F2F2"/>
      <rgbColor rgb="FF00FFFF"/>
      <rgbColor rgb="FF800080"/>
      <rgbColor rgb="FFC00000"/>
      <rgbColor rgb="FF008080"/>
      <rgbColor rgb="FF0000FF"/>
      <rgbColor rgb="FF00B0F0"/>
      <rgbColor rgb="FFC6EFCE"/>
      <rgbColor rgb="FFCCFFCC"/>
      <rgbColor rgb="FFFFFF99"/>
      <rgbColor rgb="FFADB9CA"/>
      <rgbColor rgb="FFFFC7CE"/>
      <rgbColor rgb="FFBFBFBF"/>
      <rgbColor rgb="FFF8CBAD"/>
      <rgbColor rgb="FF3366CC"/>
      <rgbColor rgb="FF33CCCC"/>
      <rgbColor rgb="FF99CC00"/>
      <rgbColor rgb="FFF2DCDB"/>
      <rgbColor rgb="FFFF9900"/>
      <rgbColor rgb="FFFF6600"/>
      <rgbColor rgb="FF606060"/>
      <rgbColor rgb="FFDCE6F2"/>
      <rgbColor rgb="FF10243E"/>
      <rgbColor rgb="FF339966"/>
      <rgbColor rgb="FF003300"/>
      <rgbColor rgb="FF333300"/>
      <rgbColor rgb="FF993300"/>
      <rgbColor rgb="FF993366"/>
      <rgbColor rgb="FF59595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10.xml.rels><?xml version="1.0" encoding="UTF-8"?>
<Relationships xmlns="http://schemas.openxmlformats.org/package/2006/relationships"><Relationship Id="rId1" Type="http://schemas.openxmlformats.org/officeDocument/2006/relationships/image" Target="../media/image1.png"/>
</Relationships>
</file>

<file path=xl/drawings/_rels/drawing11.xml.rels><?xml version="1.0" encoding="UTF-8"?>
<Relationships xmlns="http://schemas.openxmlformats.org/package/2006/relationships"><Relationship Id="rId1" Type="http://schemas.openxmlformats.org/officeDocument/2006/relationships/image" Target="../media/image1.png"/>
</Relationships>
</file>

<file path=xl/drawings/_rels/drawing12.xml.rels><?xml version="1.0" encoding="UTF-8"?>
<Relationships xmlns="http://schemas.openxmlformats.org/package/2006/relationships"><Relationship Id="rId1" Type="http://schemas.openxmlformats.org/officeDocument/2006/relationships/image" Target="../media/image1.png"/>
</Relationships>
</file>

<file path=xl/drawings/_rels/drawing13.xml.rels><?xml version="1.0" encoding="UTF-8"?>
<Relationships xmlns="http://schemas.openxmlformats.org/package/2006/relationships"><Relationship Id="rId1" Type="http://schemas.openxmlformats.org/officeDocument/2006/relationships/image" Target="../media/image1.png"/>
</Relationships>
</file>

<file path=xl/drawings/_rels/drawing14.xml.rels><?xml version="1.0" encoding="UTF-8"?>
<Relationships xmlns="http://schemas.openxmlformats.org/package/2006/relationships"><Relationship Id="rId1" Type="http://schemas.openxmlformats.org/officeDocument/2006/relationships/image" Target="../media/image1.png"/>
</Relationships>
</file>

<file path=xl/drawings/_rels/drawing15.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image" Target="../media/image1.png"/>
</Relationships>
</file>

<file path=xl/drawings/_rels/drawing4.xml.rels><?xml version="1.0" encoding="UTF-8"?>
<Relationships xmlns="http://schemas.openxmlformats.org/package/2006/relationships"><Relationship Id="rId1" Type="http://schemas.openxmlformats.org/officeDocument/2006/relationships/image" Target="../media/image1.png"/>
</Relationships>
</file>

<file path=xl/drawings/_rels/drawing5.xml.rels><?xml version="1.0" encoding="UTF-8"?>
<Relationships xmlns="http://schemas.openxmlformats.org/package/2006/relationships"><Relationship Id="rId1" Type="http://schemas.openxmlformats.org/officeDocument/2006/relationships/image" Target="../media/image1.png"/>
</Relationships>
</file>

<file path=xl/drawings/_rels/drawing6.xml.rels><?xml version="1.0" encoding="UTF-8"?>
<Relationships xmlns="http://schemas.openxmlformats.org/package/2006/relationships"><Relationship Id="rId1" Type="http://schemas.openxmlformats.org/officeDocument/2006/relationships/image" Target="../media/image1.png"/>
</Relationships>
</file>

<file path=xl/drawings/_rels/drawing7.xml.rels><?xml version="1.0" encoding="UTF-8"?>
<Relationships xmlns="http://schemas.openxmlformats.org/package/2006/relationships"><Relationship Id="rId1" Type="http://schemas.openxmlformats.org/officeDocument/2006/relationships/image" Target="../media/image1.png"/>
</Relationships>
</file>

<file path=xl/drawings/_rels/drawing8.xml.rels><?xml version="1.0" encoding="UTF-8"?>
<Relationships xmlns="http://schemas.openxmlformats.org/package/2006/relationships"><Relationship Id="rId1" Type="http://schemas.openxmlformats.org/officeDocument/2006/relationships/image" Target="../media/image1.png"/>
</Relationships>
</file>

<file path=xl/drawings/_rels/drawing9.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38160</xdr:colOff>
      <xdr:row>0</xdr:row>
      <xdr:rowOff>76320</xdr:rowOff>
    </xdr:from>
    <xdr:to>
      <xdr:col>1</xdr:col>
      <xdr:colOff>1080</xdr:colOff>
      <xdr:row>1</xdr:row>
      <xdr:rowOff>198360</xdr:rowOff>
    </xdr:to>
    <xdr:pic>
      <xdr:nvPicPr>
        <xdr:cNvPr id="0" name="Picture 1" descr=""/>
        <xdr:cNvPicPr/>
      </xdr:nvPicPr>
      <xdr:blipFill>
        <a:blip r:embed="rId1"/>
        <a:stretch/>
      </xdr:blipFill>
      <xdr:spPr>
        <a:xfrm>
          <a:off x="38160" y="76320"/>
          <a:ext cx="409320" cy="46512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171360</xdr:colOff>
      <xdr:row>0</xdr:row>
      <xdr:rowOff>38160</xdr:rowOff>
    </xdr:from>
    <xdr:to>
      <xdr:col>0</xdr:col>
      <xdr:colOff>578160</xdr:colOff>
      <xdr:row>2</xdr:row>
      <xdr:rowOff>130680</xdr:rowOff>
    </xdr:to>
    <xdr:pic>
      <xdr:nvPicPr>
        <xdr:cNvPr id="9" name="Picture 1" descr=""/>
        <xdr:cNvPicPr/>
      </xdr:nvPicPr>
      <xdr:blipFill>
        <a:blip r:embed="rId1"/>
        <a:stretch/>
      </xdr:blipFill>
      <xdr:spPr>
        <a:xfrm>
          <a:off x="171360" y="38160"/>
          <a:ext cx="406800" cy="45432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171360</xdr:colOff>
      <xdr:row>0</xdr:row>
      <xdr:rowOff>38160</xdr:rowOff>
    </xdr:from>
    <xdr:to>
      <xdr:col>0</xdr:col>
      <xdr:colOff>578160</xdr:colOff>
      <xdr:row>2</xdr:row>
      <xdr:rowOff>130680</xdr:rowOff>
    </xdr:to>
    <xdr:pic>
      <xdr:nvPicPr>
        <xdr:cNvPr id="10" name="Picture 1" descr=""/>
        <xdr:cNvPicPr/>
      </xdr:nvPicPr>
      <xdr:blipFill>
        <a:blip r:embed="rId1"/>
        <a:stretch/>
      </xdr:blipFill>
      <xdr:spPr>
        <a:xfrm>
          <a:off x="171360" y="38160"/>
          <a:ext cx="406800" cy="45432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171360</xdr:colOff>
      <xdr:row>0</xdr:row>
      <xdr:rowOff>38160</xdr:rowOff>
    </xdr:from>
    <xdr:to>
      <xdr:col>0</xdr:col>
      <xdr:colOff>578160</xdr:colOff>
      <xdr:row>2</xdr:row>
      <xdr:rowOff>130680</xdr:rowOff>
    </xdr:to>
    <xdr:pic>
      <xdr:nvPicPr>
        <xdr:cNvPr id="11" name="Picture 1" descr=""/>
        <xdr:cNvPicPr/>
      </xdr:nvPicPr>
      <xdr:blipFill>
        <a:blip r:embed="rId1"/>
        <a:stretch/>
      </xdr:blipFill>
      <xdr:spPr>
        <a:xfrm>
          <a:off x="171360" y="38160"/>
          <a:ext cx="406800" cy="45432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171360</xdr:colOff>
      <xdr:row>0</xdr:row>
      <xdr:rowOff>38160</xdr:rowOff>
    </xdr:from>
    <xdr:to>
      <xdr:col>0</xdr:col>
      <xdr:colOff>578160</xdr:colOff>
      <xdr:row>2</xdr:row>
      <xdr:rowOff>130680</xdr:rowOff>
    </xdr:to>
    <xdr:pic>
      <xdr:nvPicPr>
        <xdr:cNvPr id="12" name="Picture 1" descr=""/>
        <xdr:cNvPicPr/>
      </xdr:nvPicPr>
      <xdr:blipFill>
        <a:blip r:embed="rId1"/>
        <a:stretch/>
      </xdr:blipFill>
      <xdr:spPr>
        <a:xfrm>
          <a:off x="171360" y="38160"/>
          <a:ext cx="406800" cy="45432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95400</xdr:colOff>
      <xdr:row>0</xdr:row>
      <xdr:rowOff>57240</xdr:rowOff>
    </xdr:from>
    <xdr:to>
      <xdr:col>0</xdr:col>
      <xdr:colOff>397440</xdr:colOff>
      <xdr:row>2</xdr:row>
      <xdr:rowOff>25920</xdr:rowOff>
    </xdr:to>
    <xdr:pic>
      <xdr:nvPicPr>
        <xdr:cNvPr id="13" name="Picture 1" descr=""/>
        <xdr:cNvPicPr/>
      </xdr:nvPicPr>
      <xdr:blipFill>
        <a:blip r:embed="rId1"/>
        <a:stretch/>
      </xdr:blipFill>
      <xdr:spPr>
        <a:xfrm>
          <a:off x="95400" y="57240"/>
          <a:ext cx="302040" cy="33048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142920</xdr:colOff>
      <xdr:row>0</xdr:row>
      <xdr:rowOff>38160</xdr:rowOff>
    </xdr:from>
    <xdr:to>
      <xdr:col>0</xdr:col>
      <xdr:colOff>454320</xdr:colOff>
      <xdr:row>2</xdr:row>
      <xdr:rowOff>130680</xdr:rowOff>
    </xdr:to>
    <xdr:pic>
      <xdr:nvPicPr>
        <xdr:cNvPr id="14" name="Picture 1" descr=""/>
        <xdr:cNvPicPr/>
      </xdr:nvPicPr>
      <xdr:blipFill>
        <a:blip r:embed="rId1"/>
        <a:stretch/>
      </xdr:blipFill>
      <xdr:spPr>
        <a:xfrm>
          <a:off x="142920" y="38160"/>
          <a:ext cx="311400" cy="4543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95400</xdr:colOff>
      <xdr:row>0</xdr:row>
      <xdr:rowOff>57240</xdr:rowOff>
    </xdr:from>
    <xdr:to>
      <xdr:col>0</xdr:col>
      <xdr:colOff>400320</xdr:colOff>
      <xdr:row>2</xdr:row>
      <xdr:rowOff>25920</xdr:rowOff>
    </xdr:to>
    <xdr:pic>
      <xdr:nvPicPr>
        <xdr:cNvPr id="1" name="Picture 1" descr=""/>
        <xdr:cNvPicPr/>
      </xdr:nvPicPr>
      <xdr:blipFill>
        <a:blip r:embed="rId1"/>
        <a:stretch/>
      </xdr:blipFill>
      <xdr:spPr>
        <a:xfrm>
          <a:off x="95400" y="57240"/>
          <a:ext cx="304920" cy="33048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112680</xdr:colOff>
      <xdr:row>0</xdr:row>
      <xdr:rowOff>56160</xdr:rowOff>
    </xdr:from>
    <xdr:to>
      <xdr:col>0</xdr:col>
      <xdr:colOff>568800</xdr:colOff>
      <xdr:row>2</xdr:row>
      <xdr:rowOff>205920</xdr:rowOff>
    </xdr:to>
    <xdr:pic>
      <xdr:nvPicPr>
        <xdr:cNvPr id="2" name="Picture 1" descr=""/>
        <xdr:cNvPicPr/>
      </xdr:nvPicPr>
      <xdr:blipFill>
        <a:blip r:embed="rId1"/>
        <a:stretch/>
      </xdr:blipFill>
      <xdr:spPr>
        <a:xfrm>
          <a:off x="112680" y="56160"/>
          <a:ext cx="456120" cy="51156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47520</xdr:colOff>
      <xdr:row>0</xdr:row>
      <xdr:rowOff>0</xdr:rowOff>
    </xdr:from>
    <xdr:to>
      <xdr:col>0</xdr:col>
      <xdr:colOff>454320</xdr:colOff>
      <xdr:row>2</xdr:row>
      <xdr:rowOff>92520</xdr:rowOff>
    </xdr:to>
    <xdr:pic>
      <xdr:nvPicPr>
        <xdr:cNvPr id="3" name="Picture 1" descr=""/>
        <xdr:cNvPicPr/>
      </xdr:nvPicPr>
      <xdr:blipFill>
        <a:blip r:embed="rId1"/>
        <a:stretch/>
      </xdr:blipFill>
      <xdr:spPr>
        <a:xfrm>
          <a:off x="47520" y="0"/>
          <a:ext cx="406800" cy="45432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67320</xdr:colOff>
      <xdr:row>0</xdr:row>
      <xdr:rowOff>111960</xdr:rowOff>
    </xdr:from>
    <xdr:to>
      <xdr:col>1</xdr:col>
      <xdr:colOff>21960</xdr:colOff>
      <xdr:row>2</xdr:row>
      <xdr:rowOff>110520</xdr:rowOff>
    </xdr:to>
    <xdr:pic>
      <xdr:nvPicPr>
        <xdr:cNvPr id="4" name="Picture 1" descr=""/>
        <xdr:cNvPicPr/>
      </xdr:nvPicPr>
      <xdr:blipFill>
        <a:blip r:embed="rId1"/>
        <a:stretch/>
      </xdr:blipFill>
      <xdr:spPr>
        <a:xfrm>
          <a:off x="67320" y="111960"/>
          <a:ext cx="307080" cy="34164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38160</xdr:colOff>
      <xdr:row>0</xdr:row>
      <xdr:rowOff>85680</xdr:rowOff>
    </xdr:from>
    <xdr:to>
      <xdr:col>0</xdr:col>
      <xdr:colOff>359280</xdr:colOff>
      <xdr:row>2</xdr:row>
      <xdr:rowOff>94320</xdr:rowOff>
    </xdr:to>
    <xdr:pic>
      <xdr:nvPicPr>
        <xdr:cNvPr id="5" name="Picture 1" descr=""/>
        <xdr:cNvPicPr/>
      </xdr:nvPicPr>
      <xdr:blipFill>
        <a:blip r:embed="rId1"/>
        <a:stretch/>
      </xdr:blipFill>
      <xdr:spPr>
        <a:xfrm>
          <a:off x="38160" y="85680"/>
          <a:ext cx="321120" cy="29448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38160</xdr:colOff>
      <xdr:row>0</xdr:row>
      <xdr:rowOff>85680</xdr:rowOff>
    </xdr:from>
    <xdr:to>
      <xdr:col>0</xdr:col>
      <xdr:colOff>359280</xdr:colOff>
      <xdr:row>2</xdr:row>
      <xdr:rowOff>94320</xdr:rowOff>
    </xdr:to>
    <xdr:pic>
      <xdr:nvPicPr>
        <xdr:cNvPr id="6" name="Picture 1" descr=""/>
        <xdr:cNvPicPr/>
      </xdr:nvPicPr>
      <xdr:blipFill>
        <a:blip r:embed="rId1"/>
        <a:stretch/>
      </xdr:blipFill>
      <xdr:spPr>
        <a:xfrm>
          <a:off x="38160" y="85680"/>
          <a:ext cx="321120" cy="29448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264600</xdr:colOff>
      <xdr:row>0</xdr:row>
      <xdr:rowOff>52200</xdr:rowOff>
    </xdr:from>
    <xdr:to>
      <xdr:col>0</xdr:col>
      <xdr:colOff>636120</xdr:colOff>
      <xdr:row>2</xdr:row>
      <xdr:rowOff>79920</xdr:rowOff>
    </xdr:to>
    <xdr:pic>
      <xdr:nvPicPr>
        <xdr:cNvPr id="7" name="Picture 1" descr=""/>
        <xdr:cNvPicPr/>
      </xdr:nvPicPr>
      <xdr:blipFill>
        <a:blip r:embed="rId1"/>
        <a:stretch/>
      </xdr:blipFill>
      <xdr:spPr>
        <a:xfrm>
          <a:off x="264600" y="52200"/>
          <a:ext cx="371520" cy="35172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257040</xdr:colOff>
      <xdr:row>0</xdr:row>
      <xdr:rowOff>66600</xdr:rowOff>
    </xdr:from>
    <xdr:to>
      <xdr:col>0</xdr:col>
      <xdr:colOff>663840</xdr:colOff>
      <xdr:row>2</xdr:row>
      <xdr:rowOff>101880</xdr:rowOff>
    </xdr:to>
    <xdr:pic>
      <xdr:nvPicPr>
        <xdr:cNvPr id="8" name="Picture 1" descr=""/>
        <xdr:cNvPicPr/>
      </xdr:nvPicPr>
      <xdr:blipFill>
        <a:blip r:embed="rId1"/>
        <a:stretch/>
      </xdr:blipFill>
      <xdr:spPr>
        <a:xfrm>
          <a:off x="257040" y="66600"/>
          <a:ext cx="406800" cy="39708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10.xml"/>
</Relationships>
</file>

<file path=xl/worksheets/_rels/sheet11.xml.rels><?xml version="1.0" encoding="UTF-8"?>
<Relationships xmlns="http://schemas.openxmlformats.org/package/2006/relationships"><Relationship Id="rId1" Type="http://schemas.openxmlformats.org/officeDocument/2006/relationships/drawing" Target="../drawings/drawing11.xml"/>
</Relationships>
</file>

<file path=xl/worksheets/_rels/sheet12.xml.rels><?xml version="1.0" encoding="UTF-8"?>
<Relationships xmlns="http://schemas.openxmlformats.org/package/2006/relationships"><Relationship Id="rId1" Type="http://schemas.openxmlformats.org/officeDocument/2006/relationships/drawing" Target="../drawings/drawing12.xml"/>
</Relationships>
</file>

<file path=xl/worksheets/_rels/sheet13.xml.rels><?xml version="1.0" encoding="UTF-8"?>
<Relationships xmlns="http://schemas.openxmlformats.org/package/2006/relationships"><Relationship Id="rId1" Type="http://schemas.openxmlformats.org/officeDocument/2006/relationships/drawing" Target="../drawings/drawing13.xml"/>
</Relationships>
</file>

<file path=xl/worksheets/_rels/sheet14.xml.rels><?xml version="1.0" encoding="UTF-8"?>
<Relationships xmlns="http://schemas.openxmlformats.org/package/2006/relationships"><Relationship Id="rId1" Type="http://schemas.openxmlformats.org/officeDocument/2006/relationships/drawing" Target="../drawings/drawing14.xml"/>
</Relationships>
</file>

<file path=xl/worksheets/_rels/sheet15.xml.rels><?xml version="1.0" encoding="UTF-8"?>
<Relationships xmlns="http://schemas.openxmlformats.org/package/2006/relationships"><Relationship Id="rId1" Type="http://schemas.openxmlformats.org/officeDocument/2006/relationships/drawing" Target="../drawings/drawing15.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7.xml"/>
</Relationships>
</file>

<file path=xl/worksheets/_rels/sheet8.xml.rels><?xml version="1.0" encoding="UTF-8"?>
<Relationships xmlns="http://schemas.openxmlformats.org/package/2006/relationships"><Relationship Id="rId1" Type="http://schemas.openxmlformats.org/officeDocument/2006/relationships/drawing" Target="../drawings/drawing8.xml"/>
</Relationships>
</file>

<file path=xl/worksheets/_rels/sheet9.xml.rels><?xml version="1.0" encoding="UTF-8"?>
<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U124"/>
  <sheetViews>
    <sheetView showFormulas="false" showGridLines="false" showRowColHeaders="true" showZeros="true" rightToLeft="false" tabSelected="false" showOutlineSymbols="true" defaultGridColor="true" view="pageBreakPreview" topLeftCell="A1" colorId="64" zoomScale="140" zoomScaleNormal="115" zoomScalePageLayoutView="140" workbookViewId="0">
      <selection pane="topLeft" activeCell="A77" activeCellId="0" sqref="A77"/>
    </sheetView>
  </sheetViews>
  <sheetFormatPr defaultColWidth="8.66796875" defaultRowHeight="27" zeroHeight="false" outlineLevelRow="0" outlineLevelCol="0"/>
  <cols>
    <col collapsed="false" customWidth="true" hidden="false" outlineLevel="0" max="1" min="1" style="1" width="6.33"/>
    <col collapsed="false" customWidth="true" hidden="false" outlineLevel="0" max="2" min="2" style="1" width="41.44"/>
    <col collapsed="false" customWidth="true" hidden="false" outlineLevel="0" max="3" min="3" style="1" width="7.88"/>
    <col collapsed="false" customWidth="true" hidden="false" outlineLevel="0" max="4" min="4" style="1" width="16.33"/>
    <col collapsed="false" customWidth="true" hidden="false" outlineLevel="0" max="5" min="5" style="1" width="12.88"/>
    <col collapsed="false" customWidth="true" hidden="false" outlineLevel="0" max="6" min="6" style="1" width="16.33"/>
    <col collapsed="false" customWidth="true" hidden="false" outlineLevel="0" max="7" min="7" style="1" width="17.67"/>
    <col collapsed="false" customWidth="true" hidden="false" outlineLevel="0" max="8" min="8" style="2" width="20"/>
    <col collapsed="false" customWidth="true" hidden="false" outlineLevel="0" max="10" min="9" style="1" width="16.33"/>
    <col collapsed="false" customWidth="true" hidden="false" outlineLevel="0" max="12" min="11" style="2" width="13.88"/>
    <col collapsed="false" customWidth="true" hidden="false" outlineLevel="0" max="13" min="13" style="2" width="14.33"/>
    <col collapsed="false" customWidth="true" hidden="false" outlineLevel="0" max="14" min="14" style="1" width="15.44"/>
    <col collapsed="false" customWidth="true" hidden="false" outlineLevel="0" max="15" min="15" style="1" width="12.88"/>
    <col collapsed="false" customWidth="true" hidden="false" outlineLevel="0" max="16" min="16" style="1" width="16.44"/>
    <col collapsed="false" customWidth="true" hidden="false" outlineLevel="0" max="17" min="17" style="1" width="12"/>
    <col collapsed="false" customWidth="true" hidden="false" outlineLevel="0" max="18" min="18" style="3" width="10.11"/>
    <col collapsed="false" customWidth="true" hidden="false" outlineLevel="0" max="19" min="19" style="3" width="13.34"/>
    <col collapsed="false" customWidth="true" hidden="false" outlineLevel="0" max="20" min="20" style="3" width="13.88"/>
    <col collapsed="false" customWidth="true" hidden="false" outlineLevel="0" max="21" min="21" style="3" width="13.67"/>
    <col collapsed="false" customWidth="true" hidden="false" outlineLevel="0" max="254" min="22" style="1" width="9.11"/>
    <col collapsed="false" customWidth="true" hidden="false" outlineLevel="0" max="255" min="255" style="1" width="6.33"/>
    <col collapsed="false" customWidth="true" hidden="false" outlineLevel="0" max="256" min="256" style="1" width="41.44"/>
    <col collapsed="false" customWidth="true" hidden="false" outlineLevel="0" max="257" min="257" style="1" width="7.88"/>
    <col collapsed="false" customWidth="true" hidden="false" outlineLevel="0" max="258" min="258" style="1" width="16.33"/>
    <col collapsed="false" customWidth="true" hidden="false" outlineLevel="0" max="259" min="259" style="1" width="12.88"/>
    <col collapsed="false" customWidth="true" hidden="false" outlineLevel="0" max="261" min="260" style="1" width="16.33"/>
    <col collapsed="false" customWidth="true" hidden="false" outlineLevel="0" max="262" min="262" style="1" width="13.34"/>
    <col collapsed="false" customWidth="true" hidden="false" outlineLevel="0" max="264" min="263" style="1" width="16.33"/>
    <col collapsed="false" customWidth="true" hidden="false" outlineLevel="0" max="266" min="265" style="1" width="13.88"/>
    <col collapsed="false" customWidth="true" hidden="false" outlineLevel="0" max="267" min="267" style="1" width="13"/>
    <col collapsed="false" customWidth="true" hidden="false" outlineLevel="0" max="268" min="268" style="1" width="13.56"/>
    <col collapsed="false" customWidth="true" hidden="false" outlineLevel="0" max="269" min="269" style="1" width="12.88"/>
    <col collapsed="false" customWidth="true" hidden="false" outlineLevel="0" max="270" min="270" style="1" width="14.11"/>
    <col collapsed="false" customWidth="true" hidden="false" outlineLevel="0" max="271" min="271" style="1" width="12"/>
    <col collapsed="false" customWidth="true" hidden="false" outlineLevel="0" max="272" min="272" style="1" width="13"/>
    <col collapsed="false" customWidth="true" hidden="false" outlineLevel="0" max="273" min="273" style="1" width="11.89"/>
    <col collapsed="false" customWidth="true" hidden="false" outlineLevel="0" max="274" min="274" style="1" width="13.34"/>
    <col collapsed="false" customWidth="true" hidden="false" outlineLevel="0" max="275" min="275" style="1" width="12.33"/>
    <col collapsed="false" customWidth="true" hidden="false" outlineLevel="0" max="276" min="276" style="1" width="12.44"/>
    <col collapsed="false" customWidth="true" hidden="false" outlineLevel="0" max="277" min="277" style="1" width="10.56"/>
    <col collapsed="false" customWidth="true" hidden="false" outlineLevel="0" max="510" min="278" style="1" width="9.11"/>
    <col collapsed="false" customWidth="true" hidden="false" outlineLevel="0" max="511" min="511" style="1" width="6.33"/>
    <col collapsed="false" customWidth="true" hidden="false" outlineLevel="0" max="512" min="512" style="1" width="41.44"/>
    <col collapsed="false" customWidth="true" hidden="false" outlineLevel="0" max="513" min="513" style="1" width="7.88"/>
    <col collapsed="false" customWidth="true" hidden="false" outlineLevel="0" max="514" min="514" style="1" width="16.33"/>
    <col collapsed="false" customWidth="true" hidden="false" outlineLevel="0" max="515" min="515" style="1" width="12.88"/>
    <col collapsed="false" customWidth="true" hidden="false" outlineLevel="0" max="517" min="516" style="1" width="16.33"/>
    <col collapsed="false" customWidth="true" hidden="false" outlineLevel="0" max="518" min="518" style="1" width="13.34"/>
    <col collapsed="false" customWidth="true" hidden="false" outlineLevel="0" max="520" min="519" style="1" width="16.33"/>
    <col collapsed="false" customWidth="true" hidden="false" outlineLevel="0" max="522" min="521" style="1" width="13.88"/>
    <col collapsed="false" customWidth="true" hidden="false" outlineLevel="0" max="523" min="523" style="1" width="13"/>
    <col collapsed="false" customWidth="true" hidden="false" outlineLevel="0" max="524" min="524" style="1" width="13.56"/>
    <col collapsed="false" customWidth="true" hidden="false" outlineLevel="0" max="525" min="525" style="1" width="12.88"/>
    <col collapsed="false" customWidth="true" hidden="false" outlineLevel="0" max="526" min="526" style="1" width="14.11"/>
    <col collapsed="false" customWidth="true" hidden="false" outlineLevel="0" max="527" min="527" style="1" width="12"/>
    <col collapsed="false" customWidth="true" hidden="false" outlineLevel="0" max="528" min="528" style="1" width="13"/>
    <col collapsed="false" customWidth="true" hidden="false" outlineLevel="0" max="529" min="529" style="1" width="11.89"/>
    <col collapsed="false" customWidth="true" hidden="false" outlineLevel="0" max="530" min="530" style="1" width="13.34"/>
    <col collapsed="false" customWidth="true" hidden="false" outlineLevel="0" max="531" min="531" style="1" width="12.33"/>
    <col collapsed="false" customWidth="true" hidden="false" outlineLevel="0" max="532" min="532" style="1" width="12.44"/>
    <col collapsed="false" customWidth="true" hidden="false" outlineLevel="0" max="533" min="533" style="1" width="10.56"/>
    <col collapsed="false" customWidth="true" hidden="false" outlineLevel="0" max="766" min="534" style="1" width="9.11"/>
    <col collapsed="false" customWidth="true" hidden="false" outlineLevel="0" max="767" min="767" style="1" width="6.33"/>
    <col collapsed="false" customWidth="true" hidden="false" outlineLevel="0" max="768" min="768" style="1" width="41.44"/>
    <col collapsed="false" customWidth="true" hidden="false" outlineLevel="0" max="769" min="769" style="1" width="7.88"/>
    <col collapsed="false" customWidth="true" hidden="false" outlineLevel="0" max="770" min="770" style="1" width="16.33"/>
    <col collapsed="false" customWidth="true" hidden="false" outlineLevel="0" max="771" min="771" style="1" width="12.88"/>
    <col collapsed="false" customWidth="true" hidden="false" outlineLevel="0" max="773" min="772" style="1" width="16.33"/>
    <col collapsed="false" customWidth="true" hidden="false" outlineLevel="0" max="774" min="774" style="1" width="13.34"/>
    <col collapsed="false" customWidth="true" hidden="false" outlineLevel="0" max="776" min="775" style="1" width="16.33"/>
    <col collapsed="false" customWidth="true" hidden="false" outlineLevel="0" max="778" min="777" style="1" width="13.88"/>
    <col collapsed="false" customWidth="true" hidden="false" outlineLevel="0" max="779" min="779" style="1" width="13"/>
    <col collapsed="false" customWidth="true" hidden="false" outlineLevel="0" max="780" min="780" style="1" width="13.56"/>
    <col collapsed="false" customWidth="true" hidden="false" outlineLevel="0" max="781" min="781" style="1" width="12.88"/>
    <col collapsed="false" customWidth="true" hidden="false" outlineLevel="0" max="782" min="782" style="1" width="14.11"/>
    <col collapsed="false" customWidth="true" hidden="false" outlineLevel="0" max="783" min="783" style="1" width="12"/>
    <col collapsed="false" customWidth="true" hidden="false" outlineLevel="0" max="784" min="784" style="1" width="13"/>
    <col collapsed="false" customWidth="true" hidden="false" outlineLevel="0" max="785" min="785" style="1" width="11.89"/>
    <col collapsed="false" customWidth="true" hidden="false" outlineLevel="0" max="786" min="786" style="1" width="13.34"/>
    <col collapsed="false" customWidth="true" hidden="false" outlineLevel="0" max="787" min="787" style="1" width="12.33"/>
    <col collapsed="false" customWidth="true" hidden="false" outlineLevel="0" max="788" min="788" style="1" width="12.44"/>
    <col collapsed="false" customWidth="true" hidden="false" outlineLevel="0" max="789" min="789" style="1" width="10.56"/>
    <col collapsed="false" customWidth="true" hidden="false" outlineLevel="0" max="1023" min="790" style="1" width="9.11"/>
  </cols>
  <sheetData>
    <row r="1" customFormat="false" ht="27" hidden="false" customHeight="true" outlineLevel="0" collapsed="false">
      <c r="A1" s="4"/>
      <c r="B1" s="5" t="str">
        <f aca="false">INSTRUÇÕES!B1</f>
        <v>Tribunal Regional Federal da 6ª Região</v>
      </c>
      <c r="S1" s="6"/>
      <c r="T1" s="6"/>
      <c r="U1" s="6"/>
    </row>
    <row r="2" s="11" customFormat="true" ht="27" hidden="false" customHeight="true" outlineLevel="0" collapsed="false">
      <c r="A2" s="7"/>
      <c r="B2" s="8" t="str">
        <f aca="false">INSTRUÇÕES!B2</f>
        <v>Seção Judiciária de Minas Gerais</v>
      </c>
      <c r="C2" s="9" t="s">
        <v>0</v>
      </c>
      <c r="D2" s="9"/>
      <c r="E2" s="9"/>
      <c r="F2" s="9"/>
      <c r="G2" s="9"/>
      <c r="H2" s="9"/>
      <c r="I2" s="9"/>
      <c r="J2" s="9"/>
      <c r="K2" s="9"/>
      <c r="L2" s="9"/>
      <c r="M2" s="9"/>
      <c r="N2" s="9"/>
      <c r="O2" s="9"/>
      <c r="P2" s="9"/>
      <c r="Q2" s="9"/>
      <c r="R2" s="9"/>
      <c r="S2" s="10"/>
      <c r="T2" s="10"/>
      <c r="U2" s="10"/>
    </row>
    <row r="3" s="11" customFormat="true" ht="27" hidden="false" customHeight="true" outlineLevel="0" collapsed="false">
      <c r="A3" s="7"/>
      <c r="B3" s="12" t="str">
        <f aca="false">INSTRUÇÕES!B3</f>
        <v>Subseção Judiciária de Poços de Caldas</v>
      </c>
      <c r="C3" s="9" t="s">
        <v>1</v>
      </c>
      <c r="D3" s="9"/>
      <c r="E3" s="9"/>
      <c r="F3" s="9"/>
      <c r="G3" s="9"/>
      <c r="H3" s="9"/>
      <c r="I3" s="9"/>
      <c r="J3" s="9"/>
      <c r="K3" s="9"/>
      <c r="L3" s="9"/>
      <c r="M3" s="9"/>
      <c r="N3" s="9"/>
      <c r="O3" s="9"/>
      <c r="P3" s="9"/>
      <c r="Q3" s="9"/>
      <c r="R3" s="9"/>
    </row>
    <row r="4" s="11" customFormat="true" ht="27" hidden="false" customHeight="true" outlineLevel="0" collapsed="false">
      <c r="B4" s="12"/>
      <c r="C4" s="13"/>
      <c r="D4" s="13"/>
      <c r="E4" s="13"/>
      <c r="F4" s="13"/>
      <c r="G4" s="13"/>
      <c r="H4" s="13"/>
      <c r="I4" s="13"/>
      <c r="J4" s="13"/>
      <c r="K4" s="13"/>
      <c r="L4" s="13"/>
      <c r="M4" s="13"/>
      <c r="N4" s="13"/>
      <c r="O4" s="13"/>
      <c r="P4" s="13"/>
      <c r="Q4" s="13"/>
      <c r="R4" s="13"/>
    </row>
    <row r="5" s="20" customFormat="true" ht="27" hidden="false" customHeight="true" outlineLevel="0" collapsed="false">
      <c r="A5" s="14" t="s">
        <v>2</v>
      </c>
      <c r="B5" s="14"/>
      <c r="C5" s="14"/>
      <c r="D5" s="15" t="s">
        <v>3</v>
      </c>
      <c r="E5" s="16" t="n">
        <f aca="false">VLOOKUP(D5,B107:C110,2,FALSE())</f>
        <v>30</v>
      </c>
      <c r="F5" s="17" t="str">
        <f aca="false">VLOOKUP(D5,B108:D110,3,FALSE())</f>
        <v>Obs: Desconto atualmente aplicado (30 dias corridos).</v>
      </c>
      <c r="G5" s="17"/>
      <c r="H5" s="3"/>
      <c r="I5" s="17"/>
      <c r="J5" s="18"/>
      <c r="K5" s="18"/>
      <c r="L5" s="18"/>
      <c r="M5" s="18"/>
      <c r="N5" s="18"/>
      <c r="O5" s="19"/>
      <c r="R5" s="21"/>
      <c r="S5" s="21"/>
      <c r="T5" s="21"/>
      <c r="U5" s="21"/>
    </row>
    <row r="6" s="20" customFormat="true" ht="27" hidden="false" customHeight="true" outlineLevel="0" collapsed="false">
      <c r="A6" s="18"/>
      <c r="B6" s="18"/>
      <c r="C6" s="18"/>
      <c r="D6" s="18"/>
      <c r="E6" s="18"/>
      <c r="F6" s="18"/>
      <c r="G6" s="18"/>
      <c r="H6" s="18"/>
      <c r="I6" s="18"/>
      <c r="J6" s="18"/>
      <c r="K6" s="18"/>
      <c r="L6" s="18"/>
      <c r="M6" s="18"/>
      <c r="N6" s="18"/>
      <c r="O6" s="19"/>
      <c r="R6" s="21"/>
      <c r="S6" s="21"/>
      <c r="T6" s="21"/>
      <c r="U6" s="21"/>
    </row>
    <row r="7" s="20" customFormat="true" ht="27" hidden="false" customHeight="true" outlineLevel="0" collapsed="false">
      <c r="A7" s="22" t="s">
        <v>4</v>
      </c>
      <c r="B7" s="22"/>
      <c r="C7" s="22"/>
      <c r="D7" s="23" t="s">
        <v>5</v>
      </c>
      <c r="E7" s="24" t="s">
        <v>6</v>
      </c>
      <c r="F7" s="25" t="s">
        <v>7</v>
      </c>
      <c r="G7" s="25" t="s">
        <v>8</v>
      </c>
      <c r="H7" s="23" t="s">
        <v>9</v>
      </c>
      <c r="I7" s="24" t="s">
        <v>10</v>
      </c>
      <c r="J7" s="25" t="s">
        <v>11</v>
      </c>
      <c r="K7" s="26" t="s">
        <v>12</v>
      </c>
      <c r="L7" s="27" t="s">
        <v>13</v>
      </c>
      <c r="M7" s="27" t="s">
        <v>14</v>
      </c>
      <c r="N7" s="28" t="s">
        <v>15</v>
      </c>
      <c r="O7" s="29" t="s">
        <v>16</v>
      </c>
      <c r="P7" s="25" t="s">
        <v>17</v>
      </c>
      <c r="Q7" s="25" t="s">
        <v>18</v>
      </c>
      <c r="R7" s="24" t="s">
        <v>19</v>
      </c>
      <c r="S7" s="30" t="s">
        <v>20</v>
      </c>
      <c r="T7" s="30"/>
      <c r="U7" s="30"/>
    </row>
    <row r="8" s="20" customFormat="true" ht="27" hidden="false" customHeight="true" outlineLevel="0" collapsed="false">
      <c r="A8" s="22"/>
      <c r="B8" s="22"/>
      <c r="C8" s="22"/>
      <c r="D8" s="23"/>
      <c r="E8" s="24"/>
      <c r="F8" s="25"/>
      <c r="G8" s="25"/>
      <c r="H8" s="23"/>
      <c r="I8" s="24"/>
      <c r="J8" s="25"/>
      <c r="K8" s="26"/>
      <c r="L8" s="27"/>
      <c r="M8" s="27"/>
      <c r="N8" s="28"/>
      <c r="O8" s="29"/>
      <c r="P8" s="25"/>
      <c r="Q8" s="25"/>
      <c r="R8" s="24"/>
      <c r="S8" s="30"/>
      <c r="T8" s="30"/>
      <c r="U8" s="30"/>
    </row>
    <row r="9" s="20" customFormat="true" ht="36.75" hidden="false" customHeight="true" outlineLevel="0" collapsed="false">
      <c r="A9" s="22"/>
      <c r="B9" s="22"/>
      <c r="C9" s="22"/>
      <c r="D9" s="23"/>
      <c r="E9" s="24"/>
      <c r="F9" s="25"/>
      <c r="G9" s="25"/>
      <c r="H9" s="23"/>
      <c r="I9" s="24"/>
      <c r="J9" s="25"/>
      <c r="K9" s="26"/>
      <c r="L9" s="27"/>
      <c r="M9" s="27"/>
      <c r="N9" s="28"/>
      <c r="O9" s="29"/>
      <c r="P9" s="25"/>
      <c r="Q9" s="25"/>
      <c r="R9" s="24"/>
      <c r="S9" s="30"/>
      <c r="T9" s="30"/>
      <c r="U9" s="30"/>
    </row>
    <row r="10" s="20" customFormat="true" ht="54.75" hidden="false" customHeight="false" outlineLevel="0" collapsed="false">
      <c r="A10" s="31" t="s">
        <v>21</v>
      </c>
      <c r="B10" s="32" t="s">
        <v>22</v>
      </c>
      <c r="C10" s="32" t="s">
        <v>23</v>
      </c>
      <c r="D10" s="33" t="s">
        <v>24</v>
      </c>
      <c r="E10" s="31" t="s">
        <v>25</v>
      </c>
      <c r="F10" s="32" t="s">
        <v>26</v>
      </c>
      <c r="G10" s="32" t="s">
        <v>27</v>
      </c>
      <c r="H10" s="33" t="s">
        <v>28</v>
      </c>
      <c r="I10" s="31" t="s">
        <v>29</v>
      </c>
      <c r="J10" s="32" t="s">
        <v>30</v>
      </c>
      <c r="K10" s="34" t="s">
        <v>30</v>
      </c>
      <c r="L10" s="35" t="s">
        <v>31</v>
      </c>
      <c r="M10" s="35" t="s">
        <v>32</v>
      </c>
      <c r="N10" s="35" t="s">
        <v>33</v>
      </c>
      <c r="O10" s="36" t="s">
        <v>34</v>
      </c>
      <c r="P10" s="32" t="s">
        <v>35</v>
      </c>
      <c r="Q10" s="32" t="s">
        <v>36</v>
      </c>
      <c r="R10" s="31" t="s">
        <v>37</v>
      </c>
      <c r="S10" s="32" t="s">
        <v>38</v>
      </c>
      <c r="T10" s="32" t="s">
        <v>39</v>
      </c>
      <c r="U10" s="32" t="s">
        <v>40</v>
      </c>
    </row>
    <row r="11" s="20" customFormat="true" ht="27" hidden="false" customHeight="true" outlineLevel="0" collapsed="false">
      <c r="A11" s="37" t="n">
        <f aca="false">Dados!B7</f>
        <v>1</v>
      </c>
      <c r="B11" s="38" t="str">
        <f aca="false">Dados!C7</f>
        <v>Servente de Limpeza 40% Insalubridade</v>
      </c>
      <c r="C11" s="39" t="n">
        <f aca="false">Dados!D7</f>
        <v>220</v>
      </c>
      <c r="D11" s="40" t="n">
        <v>0</v>
      </c>
      <c r="E11" s="37" t="s">
        <v>41</v>
      </c>
      <c r="F11" s="39" t="n">
        <f aca="false">IF(E11="NÃO",0,D11*Dados!$G$34)</f>
        <v>0</v>
      </c>
      <c r="G11" s="41" t="n">
        <v>0</v>
      </c>
      <c r="H11" s="40" t="n">
        <v>0</v>
      </c>
      <c r="I11" s="42" t="n">
        <v>0</v>
      </c>
      <c r="J11" s="41" t="n">
        <v>0</v>
      </c>
      <c r="K11" s="43" t="n">
        <f aca="false">I11+J11</f>
        <v>0</v>
      </c>
      <c r="L11" s="44" t="n">
        <v>0</v>
      </c>
      <c r="M11" s="44" t="n">
        <v>0</v>
      </c>
      <c r="N11" s="45"/>
      <c r="O11" s="46" t="n">
        <f aca="false">Resumo!S12</f>
        <v>0</v>
      </c>
      <c r="P11" s="47" t="n">
        <f aca="false">Resumo!V12</f>
        <v>0</v>
      </c>
      <c r="Q11" s="48" t="n">
        <f aca="false">Resumo!W12</f>
        <v>7210.61</v>
      </c>
      <c r="R11" s="37" t="n">
        <f aca="false">Dados!S7</f>
        <v>2</v>
      </c>
      <c r="S11" s="49" t="n">
        <f aca="false">ROUND((Dados!M7*Encargos!$H$59*A11),2)</f>
        <v>742.63</v>
      </c>
      <c r="T11" s="49" t="s">
        <v>42</v>
      </c>
      <c r="U11" s="50" t="n">
        <f aca="false">SUMIF($R$11:$R$14,1,$Q$11:$Q$14)</f>
        <v>6946.1</v>
      </c>
    </row>
    <row r="12" s="20" customFormat="true" ht="27" hidden="false" customHeight="true" outlineLevel="0" collapsed="false">
      <c r="A12" s="37" t="n">
        <f aca="false">Dados!B8</f>
        <v>1</v>
      </c>
      <c r="B12" s="38" t="str">
        <f aca="false">Dados!C8</f>
        <v>Servente de Limpeza  com acúmulo Copeira</v>
      </c>
      <c r="C12" s="39" t="n">
        <f aca="false">Dados!D8</f>
        <v>220</v>
      </c>
      <c r="D12" s="40" t="n">
        <v>0</v>
      </c>
      <c r="E12" s="37" t="s">
        <v>41</v>
      </c>
      <c r="F12" s="39" t="n">
        <f aca="false">IF(E12="NÃO",0,D12*Dados!$G$34)</f>
        <v>0</v>
      </c>
      <c r="G12" s="41" t="n">
        <v>0</v>
      </c>
      <c r="H12" s="40" t="n">
        <v>0</v>
      </c>
      <c r="I12" s="42" t="n">
        <v>0</v>
      </c>
      <c r="J12" s="41" t="n">
        <v>0</v>
      </c>
      <c r="K12" s="43" t="n">
        <f aca="false">I12+J12</f>
        <v>0</v>
      </c>
      <c r="L12" s="44" t="n">
        <v>0</v>
      </c>
      <c r="M12" s="44" t="n">
        <v>0</v>
      </c>
      <c r="N12" s="44" t="n">
        <v>0</v>
      </c>
      <c r="O12" s="46" t="n">
        <f aca="false">Resumo!S13</f>
        <v>0</v>
      </c>
      <c r="P12" s="49" t="n">
        <f aca="false">Resumo!V13</f>
        <v>0</v>
      </c>
      <c r="Q12" s="48" t="n">
        <f aca="false">Resumo!W13</f>
        <v>6400.39</v>
      </c>
      <c r="R12" s="37" t="n">
        <f aca="false">Dados!S8</f>
        <v>2</v>
      </c>
      <c r="S12" s="49" t="n">
        <f aca="false">ROUND((Dados!M8*Encargos!$H$59*A12),2)</f>
        <v>557.64</v>
      </c>
      <c r="T12" s="49" t="s">
        <v>42</v>
      </c>
      <c r="U12" s="50" t="n">
        <f aca="false">SUMIF($R$11:$R$14,2,$Q$11:$Q$14)</f>
        <v>20113.43</v>
      </c>
    </row>
    <row r="13" s="20" customFormat="true" ht="27" hidden="false" customHeight="true" outlineLevel="0" collapsed="false">
      <c r="A13" s="37" t="n">
        <f aca="false">Dados!B9</f>
        <v>1</v>
      </c>
      <c r="B13" s="38" t="str">
        <f aca="false">Dados!C9</f>
        <v>Zelador</v>
      </c>
      <c r="C13" s="39" t="n">
        <f aca="false">Dados!D9</f>
        <v>220</v>
      </c>
      <c r="D13" s="40" t="n">
        <v>0</v>
      </c>
      <c r="E13" s="37" t="s">
        <v>41</v>
      </c>
      <c r="F13" s="39" t="n">
        <f aca="false">IF(E13="NÃO",0,D13*Dados!$G$34)</f>
        <v>0</v>
      </c>
      <c r="G13" s="41" t="n">
        <v>0</v>
      </c>
      <c r="H13" s="40" t="n">
        <v>0</v>
      </c>
      <c r="I13" s="42" t="n">
        <v>0</v>
      </c>
      <c r="J13" s="41" t="n">
        <v>0</v>
      </c>
      <c r="K13" s="43" t="n">
        <f aca="false">I13+J13</f>
        <v>0</v>
      </c>
      <c r="L13" s="44" t="n">
        <v>0</v>
      </c>
      <c r="M13" s="44" t="n">
        <v>0</v>
      </c>
      <c r="N13" s="45"/>
      <c r="O13" s="51" t="n">
        <f aca="false">Resumo!S14</f>
        <v>0</v>
      </c>
      <c r="P13" s="47" t="n">
        <f aca="false">Resumo!V14</f>
        <v>0</v>
      </c>
      <c r="Q13" s="49" t="n">
        <f aca="false">Resumo!W14</f>
        <v>6502.43</v>
      </c>
      <c r="R13" s="37" t="n">
        <f aca="false">Dados!S9</f>
        <v>2</v>
      </c>
      <c r="S13" s="49" t="n">
        <f aca="false">ROUND((Dados!M9*Encargos!$H$59*A13),2)</f>
        <v>808.98</v>
      </c>
      <c r="T13" s="49" t="s">
        <v>42</v>
      </c>
      <c r="U13" s="50" t="n">
        <f aca="false">SUMIF($R$11:$R$14,4,$Q$11:$Q$14)</f>
        <v>0</v>
      </c>
    </row>
    <row r="14" s="20" customFormat="true" ht="27" hidden="false" customHeight="true" outlineLevel="0" collapsed="false">
      <c r="A14" s="37" t="n">
        <f aca="false">Dados!B10</f>
        <v>2</v>
      </c>
      <c r="B14" s="38" t="str">
        <f aca="false">Dados!C10</f>
        <v>Auxiliar Administrativo</v>
      </c>
      <c r="C14" s="39" t="n">
        <f aca="false">Dados!D10</f>
        <v>150</v>
      </c>
      <c r="D14" s="40" t="n">
        <v>0</v>
      </c>
      <c r="E14" s="52" t="s">
        <v>41</v>
      </c>
      <c r="F14" s="53" t="n">
        <f aca="false">IF(E14="NÃO",0,D14*Dados!$G$34)</f>
        <v>0</v>
      </c>
      <c r="G14" s="54" t="n">
        <v>0</v>
      </c>
      <c r="H14" s="55" t="n">
        <v>0</v>
      </c>
      <c r="I14" s="56" t="n">
        <v>0</v>
      </c>
      <c r="J14" s="54" t="n">
        <v>0</v>
      </c>
      <c r="K14" s="57" t="n">
        <f aca="false">I14+J14</f>
        <v>0</v>
      </c>
      <c r="L14" s="58" t="n">
        <v>0</v>
      </c>
      <c r="M14" s="58" t="n">
        <v>0</v>
      </c>
      <c r="N14" s="45"/>
      <c r="O14" s="51" t="n">
        <f aca="false">Resumo!S15</f>
        <v>0</v>
      </c>
      <c r="P14" s="47" t="n">
        <f aca="false">Resumo!V15</f>
        <v>0</v>
      </c>
      <c r="Q14" s="49" t="n">
        <f aca="false">Resumo!W15</f>
        <v>6946.1</v>
      </c>
      <c r="R14" s="37" t="n">
        <f aca="false">Dados!S10</f>
        <v>1</v>
      </c>
      <c r="S14" s="49" t="n">
        <f aca="false">ROUND((Dados!M10*Encargos!$H$59*A14),2)</f>
        <v>925.51</v>
      </c>
      <c r="T14" s="49" t="s">
        <v>43</v>
      </c>
      <c r="U14" s="50" t="n">
        <f aca="false">SUMIF($R$11:$R$14,5,$Q$11:$Q$14)</f>
        <v>0</v>
      </c>
    </row>
    <row r="15" s="68" customFormat="true" ht="27" hidden="false" customHeight="true" outlineLevel="0" collapsed="false">
      <c r="A15" s="59" t="s">
        <v>44</v>
      </c>
      <c r="B15" s="59"/>
      <c r="C15" s="59"/>
      <c r="D15" s="59"/>
      <c r="E15" s="59"/>
      <c r="F15" s="59"/>
      <c r="G15" s="59"/>
      <c r="H15" s="60" t="n">
        <f aca="false">Resumo!I16</f>
        <v>0</v>
      </c>
      <c r="I15" s="61"/>
      <c r="J15" s="61"/>
      <c r="K15" s="62" t="n">
        <f aca="false">Resumo!L16</f>
        <v>0</v>
      </c>
      <c r="L15" s="63" t="n">
        <f aca="false">Resumo!O16</f>
        <v>0</v>
      </c>
      <c r="M15" s="63" t="n">
        <f aca="false">Resumo!R16</f>
        <v>0</v>
      </c>
      <c r="N15" s="64" t="n">
        <f aca="false">Resumo!V16</f>
        <v>0</v>
      </c>
      <c r="O15" s="65" t="n">
        <f aca="false">(H15+K15+L15+M15)</f>
        <v>0</v>
      </c>
      <c r="P15" s="66" t="n">
        <f aca="false">Resumo!V16</f>
        <v>0</v>
      </c>
      <c r="Q15" s="66" t="n">
        <f aca="false">SUM(Q11:Q14)</f>
        <v>27059.53</v>
      </c>
      <c r="R15" s="67"/>
      <c r="S15" s="66" t="n">
        <f aca="false">SUM(S11:S14)</f>
        <v>3034.76</v>
      </c>
      <c r="T15" s="66"/>
      <c r="U15" s="66" t="n">
        <f aca="false">SUM(U11:U14)</f>
        <v>27059.53</v>
      </c>
    </row>
    <row r="16" customFormat="false" ht="27" hidden="false" customHeight="true" outlineLevel="0" collapsed="false">
      <c r="A16" s="69" t="s">
        <v>45</v>
      </c>
      <c r="B16" s="70"/>
      <c r="C16" s="70"/>
      <c r="D16" s="70"/>
      <c r="E16" s="70"/>
      <c r="F16" s="70"/>
      <c r="G16" s="70"/>
      <c r="H16" s="71"/>
      <c r="I16" s="70"/>
      <c r="J16" s="70"/>
    </row>
    <row r="17" customFormat="false" ht="27" hidden="false" customHeight="true" outlineLevel="0" collapsed="false">
      <c r="A17" s="72" t="s">
        <v>46</v>
      </c>
      <c r="B17" s="73"/>
      <c r="C17" s="73"/>
      <c r="D17" s="73"/>
      <c r="E17" s="73"/>
      <c r="F17" s="73"/>
      <c r="G17" s="73"/>
      <c r="H17" s="74"/>
      <c r="I17" s="73"/>
      <c r="J17" s="73"/>
    </row>
    <row r="18" s="68" customFormat="true" ht="27" hidden="false" customHeight="true" outlineLevel="0" collapsed="false">
      <c r="A18" s="75" t="s">
        <v>47</v>
      </c>
      <c r="B18" s="75"/>
      <c r="C18" s="75" t="s">
        <v>48</v>
      </c>
      <c r="D18" s="75" t="s">
        <v>49</v>
      </c>
      <c r="E18" s="75" t="s">
        <v>50</v>
      </c>
      <c r="F18" s="75" t="s">
        <v>51</v>
      </c>
      <c r="H18" s="76"/>
      <c r="I18" s="76"/>
      <c r="J18" s="72"/>
      <c r="K18" s="76"/>
      <c r="L18" s="76"/>
      <c r="M18" s="76"/>
      <c r="R18" s="76"/>
      <c r="S18" s="76"/>
      <c r="T18" s="76"/>
      <c r="U18" s="76"/>
    </row>
    <row r="19" s="68" customFormat="true" ht="27" hidden="false" customHeight="true" outlineLevel="0" collapsed="false">
      <c r="A19" s="75"/>
      <c r="B19" s="75"/>
      <c r="C19" s="77" t="n">
        <v>220</v>
      </c>
      <c r="D19" s="77" t="n">
        <v>10</v>
      </c>
      <c r="E19" s="77" t="n">
        <v>25</v>
      </c>
      <c r="F19" s="78" t="n">
        <f aca="false">ROUND((D19/VLOOKUP(C19,$B$113:$C$119,2,FALSE())+E19/60/VLOOKUP(C19,$B$113:$C$119,2,FALSE())),2)</f>
        <v>1.18</v>
      </c>
      <c r="H19" s="76"/>
      <c r="I19" s="76"/>
      <c r="J19" s="72"/>
      <c r="K19" s="76"/>
      <c r="L19" s="76"/>
      <c r="M19" s="76"/>
      <c r="R19" s="76"/>
      <c r="S19" s="76"/>
      <c r="T19" s="76"/>
      <c r="U19" s="76"/>
    </row>
    <row r="20" s="68" customFormat="true" ht="27" hidden="false" customHeight="true" outlineLevel="0" collapsed="false">
      <c r="A20" s="79" t="s">
        <v>52</v>
      </c>
      <c r="B20" s="79"/>
      <c r="C20" s="79"/>
      <c r="D20" s="79"/>
      <c r="E20" s="79"/>
      <c r="F20" s="79"/>
      <c r="G20" s="17"/>
      <c r="H20" s="3"/>
      <c r="I20" s="17"/>
      <c r="J20" s="72"/>
      <c r="K20" s="76"/>
      <c r="L20" s="76"/>
      <c r="M20" s="76"/>
      <c r="R20" s="76"/>
      <c r="S20" s="76"/>
      <c r="T20" s="76"/>
      <c r="U20" s="76"/>
    </row>
    <row r="21" s="68" customFormat="true" ht="27" hidden="false" customHeight="true" outlineLevel="0" collapsed="false">
      <c r="A21" s="79"/>
      <c r="B21" s="79"/>
      <c r="C21" s="79"/>
      <c r="D21" s="79"/>
      <c r="E21" s="79"/>
      <c r="F21" s="79"/>
      <c r="G21" s="17"/>
      <c r="H21" s="80"/>
      <c r="I21" s="17"/>
      <c r="J21" s="72"/>
      <c r="K21" s="76"/>
      <c r="L21" s="76"/>
      <c r="M21" s="76"/>
      <c r="R21" s="76"/>
      <c r="S21" s="76"/>
      <c r="T21" s="76"/>
      <c r="U21" s="76"/>
    </row>
    <row r="22" customFormat="false" ht="27" hidden="false" customHeight="true" outlineLevel="0" collapsed="false">
      <c r="A22" s="72" t="s">
        <v>53</v>
      </c>
      <c r="B22" s="70"/>
      <c r="C22" s="70"/>
      <c r="D22" s="70"/>
      <c r="E22" s="70"/>
      <c r="F22" s="70"/>
      <c r="G22" s="70"/>
      <c r="H22" s="71"/>
      <c r="I22" s="70"/>
      <c r="J22" s="70"/>
    </row>
    <row r="23" customFormat="false" ht="27" hidden="false" customHeight="true" outlineLevel="0" collapsed="false">
      <c r="A23" s="70"/>
      <c r="B23" s="70"/>
      <c r="C23" s="70"/>
      <c r="D23" s="70"/>
      <c r="E23" s="70"/>
      <c r="F23" s="70"/>
      <c r="G23" s="70"/>
      <c r="H23" s="71"/>
      <c r="I23" s="70"/>
      <c r="J23" s="70"/>
      <c r="N23" s="81"/>
      <c r="O23" s="82"/>
      <c r="P23" s="82"/>
    </row>
    <row r="24" customFormat="false" ht="27" hidden="false" customHeight="true" outlineLevel="0" collapsed="false">
      <c r="A24" s="83" t="s">
        <v>54</v>
      </c>
      <c r="B24" s="84" t="s">
        <v>55</v>
      </c>
      <c r="C24" s="84"/>
      <c r="D24" s="84"/>
      <c r="E24" s="84"/>
      <c r="F24" s="85" t="s">
        <v>56</v>
      </c>
      <c r="G24" s="85"/>
      <c r="H24" s="85"/>
      <c r="I24" s="86" t="s">
        <v>57</v>
      </c>
      <c r="J24" s="86"/>
      <c r="K24" s="86"/>
      <c r="L24" s="87" t="s">
        <v>58</v>
      </c>
      <c r="M24" s="87"/>
      <c r="N24" s="87"/>
      <c r="O24" s="87"/>
      <c r="U24" s="1"/>
    </row>
    <row r="25" customFormat="false" ht="39" hidden="false" customHeight="true" outlineLevel="0" collapsed="false">
      <c r="A25" s="83"/>
      <c r="B25" s="75" t="s">
        <v>59</v>
      </c>
      <c r="C25" s="75"/>
      <c r="D25" s="75"/>
      <c r="E25" s="75" t="s">
        <v>60</v>
      </c>
      <c r="F25" s="75" t="s">
        <v>61</v>
      </c>
      <c r="G25" s="75" t="s">
        <v>62</v>
      </c>
      <c r="H25" s="88" t="s">
        <v>63</v>
      </c>
      <c r="I25" s="86"/>
      <c r="J25" s="86"/>
      <c r="K25" s="86"/>
      <c r="L25" s="83" t="s">
        <v>64</v>
      </c>
      <c r="M25" s="84" t="s">
        <v>65</v>
      </c>
      <c r="N25" s="84" t="s">
        <v>66</v>
      </c>
      <c r="O25" s="85" t="s">
        <v>67</v>
      </c>
      <c r="U25" s="17"/>
    </row>
    <row r="26" customFormat="false" ht="27" hidden="false" customHeight="true" outlineLevel="0" collapsed="false">
      <c r="A26" s="89" t="n">
        <v>1</v>
      </c>
      <c r="B26" s="90" t="str">
        <f aca="false">Insumos!B8</f>
        <v>Ácido muriático, para limpeza pesada ácida desincrustante. Composição: ativo, tensoativo, não iônico e veiculo. Embalagem de 1 lt.</v>
      </c>
      <c r="C26" s="90"/>
      <c r="D26" s="90"/>
      <c r="E26" s="91" t="str">
        <f aca="false">Insumos!C8</f>
        <v>unid.</v>
      </c>
      <c r="F26" s="92" t="str">
        <f aca="false">Insumos!D8</f>
        <v>Start</v>
      </c>
      <c r="G26" s="93" t="n">
        <f aca="false">L26</f>
        <v>6</v>
      </c>
      <c r="H26" s="94" t="n">
        <f aca="false">G26*Insumos!G8</f>
        <v>39.3</v>
      </c>
      <c r="I26" s="95" t="str">
        <f aca="false">IF(G26&lt;L26,"Fornecimento inferior ao estimado mensalmente",IF(G26=L26,"Fornecimento igual ao estimado mensalmente",IF(G26&gt;L26,"Fornecimento superior ao estimado mensalmente",)))</f>
        <v>Fornecimento igual ao estimado mensalmente</v>
      </c>
      <c r="J26" s="95"/>
      <c r="K26" s="95"/>
      <c r="L26" s="96" t="n">
        <f aca="false">M26/O26</f>
        <v>6</v>
      </c>
      <c r="M26" s="97" t="n">
        <f aca="false">Insumos!E8</f>
        <v>6</v>
      </c>
      <c r="N26" s="98" t="str">
        <f aca="false">Insumos!F8</f>
        <v>mensal</v>
      </c>
      <c r="O26" s="99" t="n">
        <f aca="false">IF(N26="MENSAL",1,IF(N26="BIMESTRAL",2,IF(N26="TRIMESTRAL",3,IF(N26="QUADRIMESTRAL",4,IF(N26="SEMESTRAL",6,IF(N26="ANUAL",12,IF(N26="BIENAL",24,"")))))))</f>
        <v>1</v>
      </c>
    </row>
    <row r="27" customFormat="false" ht="27" hidden="false" customHeight="true" outlineLevel="0" collapsed="false">
      <c r="A27" s="100" t="n">
        <v>2</v>
      </c>
      <c r="B27" s="101" t="str">
        <f aca="false">Insumos!B9</f>
        <v>Água sanitária galão de 5 litros, composição do produto: hipoclorito de sódio 2,5%, hidróxido de sódio e veículo, teor de cloro ativo entre 2,0 e 2,5% p/p.</v>
      </c>
      <c r="C27" s="101"/>
      <c r="D27" s="101"/>
      <c r="E27" s="91" t="str">
        <f aca="false">Insumos!C9</f>
        <v>Galão</v>
      </c>
      <c r="F27" s="92" t="str">
        <f aca="false">Insumos!D9</f>
        <v>Santa Clara</v>
      </c>
      <c r="G27" s="93" t="n">
        <f aca="false">L27</f>
        <v>0.333333333333333</v>
      </c>
      <c r="H27" s="94" t="n">
        <f aca="false">G27*Insumos!G9</f>
        <v>5.07666666666667</v>
      </c>
      <c r="I27" s="95" t="str">
        <f aca="false">IF(G27&lt;L27,"Fornecimento inferior ao estimado mensalmente",IF(G27=L27,"Fornecimento igual ao estimado mensalmente",IF(G27&gt;L27,"Fornecimento superior ao estimado mensalmente",)))</f>
        <v>Fornecimento igual ao estimado mensalmente</v>
      </c>
      <c r="J27" s="95"/>
      <c r="K27" s="95"/>
      <c r="L27" s="96" t="n">
        <f aca="false">M27/O27</f>
        <v>0.333333333333333</v>
      </c>
      <c r="M27" s="97" t="n">
        <f aca="false">Insumos!E9</f>
        <v>1</v>
      </c>
      <c r="N27" s="98" t="str">
        <f aca="false">Insumos!F9</f>
        <v>trimestral</v>
      </c>
      <c r="O27" s="99" t="n">
        <f aca="false">IF(N27="MENSAL",1,IF(N27="BIMESTRAL",2,IF(N27="TRIMESTRAL",3,IF(N27="QUADRIMESTRAL",4,IF(N27="SEMESTRAL",6,IF(N27="ANUAL",12,IF(N27="BIENAL",24,"")))))))</f>
        <v>3</v>
      </c>
    </row>
    <row r="28" customFormat="false" ht="27" hidden="false" customHeight="true" outlineLevel="0" collapsed="false">
      <c r="A28" s="100" t="n">
        <v>3</v>
      </c>
      <c r="B28" s="101" t="str">
        <f aca="false">Insumos!B10</f>
        <v>Álcool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v>
      </c>
      <c r="C28" s="101"/>
      <c r="D28" s="101"/>
      <c r="E28" s="91" t="str">
        <f aca="false">Insumos!C10</f>
        <v>Galão</v>
      </c>
      <c r="F28" s="92" t="str">
        <f aca="false">Insumos!D10</f>
        <v>Asseptgel</v>
      </c>
      <c r="G28" s="93" t="n">
        <f aca="false">L28</f>
        <v>3</v>
      </c>
      <c r="H28" s="94" t="n">
        <f aca="false">G28*Insumos!G10</f>
        <v>172.17</v>
      </c>
      <c r="I28" s="95" t="str">
        <f aca="false">IF(G28&lt;L28,"Fornecimento inferior ao estimado mensalmente",IF(G28=L28,"Fornecimento igual ao estimado mensalmente",IF(G28&gt;L28,"Fornecimento superior ao estimado mensalmente",)))</f>
        <v>Fornecimento igual ao estimado mensalmente</v>
      </c>
      <c r="J28" s="95"/>
      <c r="K28" s="95"/>
      <c r="L28" s="96" t="n">
        <f aca="false">M28/O28</f>
        <v>3</v>
      </c>
      <c r="M28" s="97" t="n">
        <f aca="false">Insumos!E10</f>
        <v>3</v>
      </c>
      <c r="N28" s="98" t="str">
        <f aca="false">Insumos!F10</f>
        <v>mensal</v>
      </c>
      <c r="O28" s="99" t="n">
        <f aca="false">IF(N28="MENSAL",1,IF(N28="BIMESTRAL",2,IF(N28="TRIMESTRAL",3,IF(N28="QUADRIMESTRAL",4,IF(N28="SEMESTRAL",6,IF(N28="ANUAL",12,IF(N28="BIENAL",24,"")))))))</f>
        <v>1</v>
      </c>
    </row>
    <row r="29" customFormat="false" ht="27" hidden="false" customHeight="true" outlineLevel="0" collapsed="false">
      <c r="A29" s="89" t="n">
        <v>4</v>
      </c>
      <c r="B29" s="101" t="str">
        <f aca="false">Insumos!B11</f>
        <v>Balde plástico em polietileno de alta densidade, alta resistência a impacto, com paredes e fundo reforçados, com reforço no encaixe da alça de aço zincado constando no corpo a marcado fabricante, capacidade de 12 litros.</v>
      </c>
      <c r="C29" s="101"/>
      <c r="D29" s="101"/>
      <c r="E29" s="91" t="str">
        <f aca="false">Insumos!C11</f>
        <v>unid.</v>
      </c>
      <c r="F29" s="92" t="str">
        <f aca="false">Insumos!D11</f>
        <v>Arqplast</v>
      </c>
      <c r="G29" s="93" t="n">
        <f aca="false">L29</f>
        <v>0.333333333333333</v>
      </c>
      <c r="H29" s="94" t="n">
        <f aca="false">G29*Insumos!G11</f>
        <v>5.86666666666667</v>
      </c>
      <c r="I29" s="95" t="str">
        <f aca="false">IF(G29&lt;L29,"Fornecimento inferior ao estimado mensalmente",IF(G29=L29,"Fornecimento igual ao estimado mensalmente",IF(G29&gt;L29,"Fornecimento superior ao estimado mensalmente",)))</f>
        <v>Fornecimento igual ao estimado mensalmente</v>
      </c>
      <c r="J29" s="95"/>
      <c r="K29" s="95"/>
      <c r="L29" s="96" t="n">
        <f aca="false">M29/O29</f>
        <v>0.333333333333333</v>
      </c>
      <c r="M29" s="97" t="n">
        <f aca="false">Insumos!E11</f>
        <v>2</v>
      </c>
      <c r="N29" s="98" t="str">
        <f aca="false">Insumos!F11</f>
        <v>semestral</v>
      </c>
      <c r="O29" s="99" t="n">
        <f aca="false">IF(N29="MENSAL",1,IF(N29="BIMESTRAL",2,IF(N29="TRIMESTRAL",3,IF(N29="QUADRIMESTRAL",4,IF(N29="SEMESTRAL",6,IF(N29="ANUAL",12,IF(N29="BIENAL",24,"")))))))</f>
        <v>6</v>
      </c>
    </row>
    <row r="30" customFormat="false" ht="27" hidden="false" customHeight="true" outlineLevel="0" collapsed="false">
      <c r="A30" s="100" t="n">
        <v>5</v>
      </c>
      <c r="B30" s="101" t="str">
        <f aca="false">Insumos!B12</f>
        <v>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v>
      </c>
      <c r="C30" s="101"/>
      <c r="D30" s="101"/>
      <c r="E30" s="91" t="str">
        <f aca="false">Insumos!C12</f>
        <v>unid.</v>
      </c>
      <c r="F30" s="92" t="str">
        <f aca="false">Insumos!D12</f>
        <v>Azulim</v>
      </c>
      <c r="G30" s="93" t="n">
        <f aca="false">L30</f>
        <v>0.166666666666667</v>
      </c>
      <c r="H30" s="94" t="n">
        <f aca="false">G30*Insumos!G12</f>
        <v>0.91</v>
      </c>
      <c r="I30" s="95" t="str">
        <f aca="false">IF(G30&lt;L30,"Fornecimento inferior ao estimado mensalmente",IF(G30=L30,"Fornecimento igual ao estimado mensalmente",IF(G30&gt;L30,"Fornecimento superior ao estimado mensalmente",)))</f>
        <v>Fornecimento igual ao estimado mensalmente</v>
      </c>
      <c r="J30" s="95"/>
      <c r="K30" s="95"/>
      <c r="L30" s="96" t="n">
        <f aca="false">M30/O30</f>
        <v>0.166666666666667</v>
      </c>
      <c r="M30" s="97" t="n">
        <f aca="false">Insumos!E12</f>
        <v>1</v>
      </c>
      <c r="N30" s="98" t="str">
        <f aca="false">Insumos!F12</f>
        <v>semestral</v>
      </c>
      <c r="O30" s="99" t="n">
        <f aca="false">IF(N30="MENSAL",1,IF(N30="BIMESTRAL",2,IF(N30="TRIMESTRAL",3,IF(N30="QUADRIMESTRAL",4,IF(N30="SEMESTRAL",6,IF(N30="ANUAL",12,IF(N30="BIENAL",24,"")))))))</f>
        <v>6</v>
      </c>
    </row>
    <row r="31" customFormat="false" ht="27" hidden="false" customHeight="true" outlineLevel="0" collapsed="false">
      <c r="A31" s="100" t="n">
        <v>6</v>
      </c>
      <c r="B31" s="101" t="str">
        <f aca="false">Insumos!B13</f>
        <v>Cesto para lixo de 100 litros - tipo balde, com tampa e pedal - confeccionado em material de polipropileno ou poliestireno resistente, atóxico, com tampa sobreposta, duas alças laterais, cesto em formato redondo.</v>
      </c>
      <c r="C31" s="101"/>
      <c r="D31" s="101"/>
      <c r="E31" s="91" t="str">
        <f aca="false">Insumos!C13</f>
        <v>unid</v>
      </c>
      <c r="F31" s="92" t="n">
        <f aca="false">Insumos!D13</f>
        <v>0</v>
      </c>
      <c r="G31" s="93" t="n">
        <f aca="false">L31</f>
        <v>0.0833333333333333</v>
      </c>
      <c r="H31" s="94" t="n">
        <f aca="false">G31*Insumos!G13</f>
        <v>8.25</v>
      </c>
      <c r="I31" s="95" t="str">
        <f aca="false">IF(G31&lt;L31,"Fornecimento inferior ao estimado mensalmente",IF(G31=L31,"Fornecimento igual ao estimado mensalmente",IF(G31&gt;L31,"Fornecimento superior ao estimado mensalmente",)))</f>
        <v>Fornecimento igual ao estimado mensalmente</v>
      </c>
      <c r="J31" s="95"/>
      <c r="K31" s="95"/>
      <c r="L31" s="96" t="n">
        <f aca="false">M31/O31</f>
        <v>0.0833333333333333</v>
      </c>
      <c r="M31" s="97" t="n">
        <f aca="false">Insumos!E13</f>
        <v>1</v>
      </c>
      <c r="N31" s="98" t="str">
        <f aca="false">Insumos!F13</f>
        <v>anual</v>
      </c>
      <c r="O31" s="99" t="n">
        <f aca="false">IF(N31="MENSAL",1,IF(N31="BIMESTRAL",2,IF(N31="TRIMESTRAL",3,IF(N31="QUADRIMESTRAL",4,IF(N31="SEMESTRAL",6,IF(N31="ANUAL",12,IF(N31="BIENAL",24,"")))))))</f>
        <v>12</v>
      </c>
    </row>
    <row r="32" customFormat="false" ht="27" hidden="false" customHeight="true" outlineLevel="0" collapsed="false">
      <c r="A32" s="89" t="n">
        <v>7</v>
      </c>
      <c r="B32" s="101" t="str">
        <f aca="false">Insumos!B14</f>
        <v>Cloro liquido concentrado com teor ativo de no minimo 10 a 12% para limpeza pesada. Embalagem com 5 litros</v>
      </c>
      <c r="C32" s="101"/>
      <c r="D32" s="101"/>
      <c r="E32" s="91" t="str">
        <f aca="false">Insumos!C14</f>
        <v>Galão</v>
      </c>
      <c r="F32" s="92" t="n">
        <f aca="false">Insumos!D14</f>
        <v>0</v>
      </c>
      <c r="G32" s="93" t="n">
        <f aca="false">L32</f>
        <v>1</v>
      </c>
      <c r="H32" s="94" t="n">
        <f aca="false">G32*Insumos!G14</f>
        <v>12.43</v>
      </c>
      <c r="I32" s="95" t="str">
        <f aca="false">IF(G32&lt;L32,"Fornecimento inferior ao estimado mensalmente",IF(G32=L32,"Fornecimento igual ao estimado mensalmente",IF(G32&gt;L32,"Fornecimento superior ao estimado mensalmente",)))</f>
        <v>Fornecimento igual ao estimado mensalmente</v>
      </c>
      <c r="J32" s="95"/>
      <c r="K32" s="95"/>
      <c r="L32" s="96" t="n">
        <f aca="false">M32/O32</f>
        <v>1</v>
      </c>
      <c r="M32" s="97" t="n">
        <f aca="false">Insumos!E14</f>
        <v>2</v>
      </c>
      <c r="N32" s="98" t="str">
        <f aca="false">Insumos!F14</f>
        <v>bimestral</v>
      </c>
      <c r="O32" s="99" t="n">
        <f aca="false">IF(N32="MENSAL",1,IF(N32="BIMESTRAL",2,IF(N32="TRIMESTRAL",3,IF(N32="QUADRIMESTRAL",4,IF(N32="SEMESTRAL",6,IF(N32="ANUAL",12,IF(N32="BIENAL",24,"")))))))</f>
        <v>2</v>
      </c>
    </row>
    <row r="33" customFormat="false" ht="27" hidden="false" customHeight="true" outlineLevel="0" collapsed="false">
      <c r="A33" s="100" t="n">
        <v>8</v>
      </c>
      <c r="B33" s="101" t="str">
        <f aca="false">Insumos!B15</f>
        <v>Desentupidor Pia: Tipo: Sanfonado, Com Alto Poder De Sucção. Material: Borracha Flexível, Composto Por Polipropileno E Borracha Termoplástica. Plástico Resistente, Cabo Longo, mínimo 20 CM.</v>
      </c>
      <c r="C33" s="101"/>
      <c r="D33" s="101"/>
      <c r="E33" s="91" t="str">
        <f aca="false">Insumos!C15</f>
        <v>unid.</v>
      </c>
      <c r="F33" s="92" t="str">
        <f aca="false">Insumos!D15</f>
        <v>Oliveira e Azevedo</v>
      </c>
      <c r="G33" s="93" t="n">
        <f aca="false">L33</f>
        <v>0.166666666666667</v>
      </c>
      <c r="H33" s="94" t="n">
        <f aca="false">G33*Insumos!G15</f>
        <v>1.735</v>
      </c>
      <c r="I33" s="95" t="str">
        <f aca="false">IF(G33&lt;L33,"Fornecimento inferior ao estimado mensalmente",IF(G33=L33,"Fornecimento igual ao estimado mensalmente",IF(G33&gt;L33,"Fornecimento superior ao estimado mensalmente",)))</f>
        <v>Fornecimento igual ao estimado mensalmente</v>
      </c>
      <c r="J33" s="95"/>
      <c r="K33" s="95"/>
      <c r="L33" s="96" t="n">
        <f aca="false">M33/O33</f>
        <v>0.166666666666667</v>
      </c>
      <c r="M33" s="97" t="n">
        <f aca="false">Insumos!E15</f>
        <v>2</v>
      </c>
      <c r="N33" s="98" t="str">
        <f aca="false">Insumos!F15</f>
        <v>anual</v>
      </c>
      <c r="O33" s="99" t="n">
        <f aca="false">IF(N33="MENSAL",1,IF(N33="BIMESTRAL",2,IF(N33="TRIMESTRAL",3,IF(N33="QUADRIMESTRAL",4,IF(N33="SEMESTRAL",6,IF(N33="ANUAL",12,IF(N33="BIENAL",24,"")))))))</f>
        <v>12</v>
      </c>
    </row>
    <row r="34" customFormat="false" ht="27" hidden="false" customHeight="true" outlineLevel="0" collapsed="false">
      <c r="A34" s="100" t="n">
        <v>9</v>
      </c>
      <c r="B34" s="101" t="str">
        <f aca="false">Insumos!B16</f>
        <v>Desentupidor Vaso Sanitário Material: Borracha Flexível, Medidas aproximadas: Comprimento Cabo: 50 CM, Altura: 10 CM, Diâmetro: 16 CM, Material Cabo: Madeira</v>
      </c>
      <c r="C34" s="101"/>
      <c r="D34" s="101"/>
      <c r="E34" s="91" t="str">
        <f aca="false">Insumos!C16</f>
        <v>unid.</v>
      </c>
      <c r="F34" s="92" t="str">
        <f aca="false">Insumos!D16</f>
        <v>Canada</v>
      </c>
      <c r="G34" s="93" t="n">
        <f aca="false">L34</f>
        <v>0.0833333333333333</v>
      </c>
      <c r="H34" s="94" t="n">
        <f aca="false">G34*Insumos!G16</f>
        <v>0.923333333333333</v>
      </c>
      <c r="I34" s="95" t="str">
        <f aca="false">IF(G34&lt;L34,"Fornecimento inferior ao estimado mensalmente",IF(G34=L34,"Fornecimento igual ao estimado mensalmente",IF(G34&gt;L34,"Fornecimento superior ao estimado mensalmente",)))</f>
        <v>Fornecimento igual ao estimado mensalmente</v>
      </c>
      <c r="J34" s="95"/>
      <c r="K34" s="95"/>
      <c r="L34" s="96" t="n">
        <f aca="false">M34/O34</f>
        <v>0.0833333333333333</v>
      </c>
      <c r="M34" s="97" t="n">
        <f aca="false">Insumos!E16</f>
        <v>1</v>
      </c>
      <c r="N34" s="98" t="str">
        <f aca="false">Insumos!F16</f>
        <v>anual</v>
      </c>
      <c r="O34" s="99" t="n">
        <f aca="false">IF(N34="MENSAL",1,IF(N34="BIMESTRAL",2,IF(N34="TRIMESTRAL",3,IF(N34="QUADRIMESTRAL",4,IF(N34="SEMESTRAL",6,IF(N34="ANUAL",12,IF(N34="BIENAL",24,"")))))))</f>
        <v>12</v>
      </c>
    </row>
    <row r="35" customFormat="false" ht="27" hidden="false" customHeight="true" outlineLevel="0" collapsed="false">
      <c r="A35" s="89" t="n">
        <v>10</v>
      </c>
      <c r="B35" s="101" t="str">
        <f aca="false">Insumos!B17</f>
        <v>Desodorizador de ambiente com 360ml. Aromatizador de Ambientes Aerosol, conteúdo 360ml/240g sem Cfc. Essências suaves. Aplicação: aromatizador ambiental. Embalagemdeverá conter externamente os dados de identificação, procedência, número do lote, validade e número do registro no Ministério da Saúde. Marca igual ou superior a Bom Ar, Glade ou Ultra Fresh.</v>
      </c>
      <c r="C35" s="101"/>
      <c r="D35" s="101"/>
      <c r="E35" s="91" t="str">
        <f aca="false">Insumos!C17</f>
        <v>unid.</v>
      </c>
      <c r="F35" s="92" t="str">
        <f aca="false">Insumos!D17</f>
        <v>Glade</v>
      </c>
      <c r="G35" s="93" t="n">
        <f aca="false">L35</f>
        <v>0.333333333333333</v>
      </c>
      <c r="H35" s="94" t="n">
        <f aca="false">G35*Insumos!G17</f>
        <v>5.73</v>
      </c>
      <c r="I35" s="95" t="str">
        <f aca="false">IF(G35&lt;L35,"Fornecimento inferior ao estimado mensalmente",IF(G35=L35,"Fornecimento igual ao estimado mensalmente",IF(G35&gt;L35,"Fornecimento superior ao estimado mensalmente",)))</f>
        <v>Fornecimento igual ao estimado mensalmente</v>
      </c>
      <c r="J35" s="95"/>
      <c r="K35" s="95"/>
      <c r="L35" s="96" t="n">
        <f aca="false">M35/O35</f>
        <v>0.333333333333333</v>
      </c>
      <c r="M35" s="97" t="n">
        <f aca="false">Insumos!E17</f>
        <v>2</v>
      </c>
      <c r="N35" s="98" t="str">
        <f aca="false">Insumos!F17</f>
        <v>semestral</v>
      </c>
      <c r="O35" s="99" t="n">
        <f aca="false">IF(N35="MENSAL",1,IF(N35="BIMESTRAL",2,IF(N35="TRIMESTRAL",3,IF(N35="QUADRIMESTRAL",4,IF(N35="SEMESTRAL",6,IF(N35="ANUAL",12,IF(N35="BIENAL",24,"")))))))</f>
        <v>6</v>
      </c>
    </row>
    <row r="36" customFormat="false" ht="27" hidden="false" customHeight="true" outlineLevel="0" collapsed="false">
      <c r="A36" s="100" t="n">
        <v>11</v>
      </c>
      <c r="B36" s="101" t="str">
        <f aca="false">Insumos!B18</f>
        <v>Detergente clorado. Desenvolvido para desinfecção, limpeza e clareamento das superfícies em ambientes de fluxo alto, médio e baixo. Com excelente ação bactericida. Aprovação Anvisa. CHEFF Clorado diluído (1 x 10) (p/ vasos sanitários). Embalagem Galão com 5 litros.</v>
      </c>
      <c r="C36" s="101"/>
      <c r="D36" s="101"/>
      <c r="E36" s="91" t="str">
        <f aca="false">Insumos!C18</f>
        <v>Galão</v>
      </c>
      <c r="F36" s="92" t="str">
        <f aca="false">Insumos!D18</f>
        <v>Cheff, Audax Gold, Renko</v>
      </c>
      <c r="G36" s="93" t="n">
        <f aca="false">L36</f>
        <v>1</v>
      </c>
      <c r="H36" s="94" t="n">
        <f aca="false">G36*Insumos!G18</f>
        <v>45.9</v>
      </c>
      <c r="I36" s="95" t="str">
        <f aca="false">IF(G36&lt;L36,"Fornecimento inferior ao estimado mensalmente",IF(G36=L36,"Fornecimento igual ao estimado mensalmente",IF(G36&gt;L36,"Fornecimento superior ao estimado mensalmente",)))</f>
        <v>Fornecimento igual ao estimado mensalmente</v>
      </c>
      <c r="J36" s="95"/>
      <c r="K36" s="95"/>
      <c r="L36" s="96" t="n">
        <f aca="false">M36/O36</f>
        <v>1</v>
      </c>
      <c r="M36" s="97" t="n">
        <f aca="false">Insumos!E18</f>
        <v>2</v>
      </c>
      <c r="N36" s="98" t="str">
        <f aca="false">Insumos!F18</f>
        <v>bimestral</v>
      </c>
      <c r="O36" s="99" t="n">
        <f aca="false">IF(N36="MENSAL",1,IF(N36="BIMESTRAL",2,IF(N36="TRIMESTRAL",3,IF(N36="QUADRIMESTRAL",4,IF(N36="SEMESTRAL",6,IF(N36="ANUAL",12,IF(N36="BIENAL",24,"")))))))</f>
        <v>2</v>
      </c>
    </row>
    <row r="37" customFormat="false" ht="27" hidden="false" customHeight="true" outlineLevel="0" collapsed="false">
      <c r="A37" s="100" t="n">
        <v>12</v>
      </c>
      <c r="B37" s="101" t="str">
        <f aca="false">Insumos!B19</f>
        <v>Desinfetante concentrado líquido. Aroma floral. Embalagem com 5 litros. Desinfetante líquido a base de pinho, para uso geral, ação bactericida e germicida, com 5 litros. Acondicionado em embalagem plástica original do fabricante, com o nome do responsável técnico, o lote, data de fabricação, validade. </v>
      </c>
      <c r="C37" s="101"/>
      <c r="D37" s="101"/>
      <c r="E37" s="91" t="str">
        <f aca="false">Insumos!C19</f>
        <v>Galão</v>
      </c>
      <c r="F37" s="92" t="str">
        <f aca="false">Insumos!D19</f>
        <v>Mirax Floral Bouquet</v>
      </c>
      <c r="G37" s="93" t="n">
        <f aca="false">L37</f>
        <v>2</v>
      </c>
      <c r="H37" s="94" t="n">
        <f aca="false">G37*Insumos!G19</f>
        <v>89.58</v>
      </c>
      <c r="I37" s="95" t="str">
        <f aca="false">IF(G37&lt;L37,"Fornecimento inferior ao estimado mensalmente",IF(G37=L37,"Fornecimento igual ao estimado mensalmente",IF(G37&gt;L37,"Fornecimento superior ao estimado mensalmente",)))</f>
        <v>Fornecimento igual ao estimado mensalmente</v>
      </c>
      <c r="J37" s="95"/>
      <c r="K37" s="95"/>
      <c r="L37" s="96" t="n">
        <f aca="false">M37/O37</f>
        <v>2</v>
      </c>
      <c r="M37" s="97" t="n">
        <f aca="false">Insumos!E19</f>
        <v>2</v>
      </c>
      <c r="N37" s="98" t="str">
        <f aca="false">Insumos!F19</f>
        <v>mensal</v>
      </c>
      <c r="O37" s="99" t="n">
        <f aca="false">IF(N37="MENSAL",1,IF(N37="BIMESTRAL",2,IF(N37="TRIMESTRAL",3,IF(N37="QUADRIMESTRAL",4,IF(N37="SEMESTRAL",6,IF(N37="ANUAL",12,IF(N37="BIENAL",24,"")))))))</f>
        <v>1</v>
      </c>
    </row>
    <row r="38" customFormat="false" ht="27" hidden="false" customHeight="true" outlineLevel="0" collapsed="false">
      <c r="A38" s="89" t="n">
        <v>13</v>
      </c>
      <c r="B38" s="101" t="str">
        <f aca="false">Insumos!B20</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38" s="101"/>
      <c r="D38" s="101"/>
      <c r="E38" s="91" t="str">
        <f aca="false">Insumos!C20</f>
        <v>unid.</v>
      </c>
      <c r="F38" s="92" t="str">
        <f aca="false">Insumos!D20</f>
        <v>Limpol</v>
      </c>
      <c r="G38" s="93" t="n">
        <f aca="false">L38</f>
        <v>7</v>
      </c>
      <c r="H38" s="94" t="n">
        <f aca="false">G38*Insumos!G20</f>
        <v>20.93</v>
      </c>
      <c r="I38" s="95" t="str">
        <f aca="false">IF(G38&lt;L38,"Fornecimento inferior ao estimado mensalmente",IF(G38=L38,"Fornecimento igual ao estimado mensalmente",IF(G38&gt;L38,"Fornecimento superior ao estimado mensalmente",)))</f>
        <v>Fornecimento igual ao estimado mensalmente</v>
      </c>
      <c r="J38" s="95"/>
      <c r="K38" s="95"/>
      <c r="L38" s="96" t="n">
        <f aca="false">M38/O38</f>
        <v>7</v>
      </c>
      <c r="M38" s="97" t="n">
        <f aca="false">Insumos!E20</f>
        <v>7</v>
      </c>
      <c r="N38" s="98" t="str">
        <f aca="false">Insumos!F20</f>
        <v>mensal</v>
      </c>
      <c r="O38" s="99" t="n">
        <f aca="false">IF(N38="MENSAL",1,IF(N38="BIMESTRAL",2,IF(N38="TRIMESTRAL",3,IF(N38="QUADRIMESTRAL",4,IF(N38="SEMESTRAL",6,IF(N38="ANUAL",12,IF(N38="BIENAL",24,"")))))))</f>
        <v>1</v>
      </c>
    </row>
    <row r="39" customFormat="false" ht="27" hidden="false" customHeight="true" outlineLevel="0" collapsed="false">
      <c r="A39" s="100" t="n">
        <v>14</v>
      </c>
      <c r="B39" s="101" t="str">
        <f aca="false">Insumos!B21</f>
        <v>Escova para lavar multiuso, oval, base plástica e cerdas de escova para lavar multiuso, oval, base plástica e cerdas de nylon.</v>
      </c>
      <c r="C39" s="101"/>
      <c r="D39" s="101"/>
      <c r="E39" s="91" t="str">
        <f aca="false">Insumos!C21</f>
        <v>unid.</v>
      </c>
      <c r="F39" s="92" t="str">
        <f aca="false">Insumos!D21</f>
        <v>Condor</v>
      </c>
      <c r="G39" s="93" t="n">
        <f aca="false">L39</f>
        <v>0.166666666666667</v>
      </c>
      <c r="H39" s="94" t="n">
        <f aca="false">G39*Insumos!G21</f>
        <v>0.928333333333333</v>
      </c>
      <c r="I39" s="95" t="str">
        <f aca="false">IF(G39&lt;L39,"Fornecimento inferior ao estimado mensalmente",IF(G39=L39,"Fornecimento igual ao estimado mensalmente",IF(G39&gt;L39,"Fornecimento superior ao estimado mensalmente",)))</f>
        <v>Fornecimento igual ao estimado mensalmente</v>
      </c>
      <c r="J39" s="95"/>
      <c r="K39" s="95"/>
      <c r="L39" s="96" t="n">
        <f aca="false">M39/O39</f>
        <v>0.166666666666667</v>
      </c>
      <c r="M39" s="97" t="n">
        <f aca="false">Insumos!E21</f>
        <v>1</v>
      </c>
      <c r="N39" s="98" t="str">
        <f aca="false">Insumos!F21</f>
        <v>semestral</v>
      </c>
      <c r="O39" s="99" t="n">
        <f aca="false">IF(N39="MENSAL",1,IF(N39="BIMESTRAL",2,IF(N39="TRIMESTRAL",3,IF(N39="QUADRIMESTRAL",4,IF(N39="SEMESTRAL",6,IF(N39="ANUAL",12,IF(N39="BIENAL",24,"")))))))</f>
        <v>6</v>
      </c>
    </row>
    <row r="40" customFormat="false" ht="27" hidden="false" customHeight="true" outlineLevel="0" collapsed="false">
      <c r="A40" s="100" t="n">
        <v>15</v>
      </c>
      <c r="B40" s="101" t="str">
        <f aca="false">Insumos!B22</f>
        <v>Escova Sanitária Redonda em plástico Branco contendo 01 escova para vaso sanitário e 01 suporte redondo: Branco Tamanho aprox.: 14 x 42 cm</v>
      </c>
      <c r="C40" s="101"/>
      <c r="D40" s="101"/>
      <c r="E40" s="91" t="str">
        <f aca="false">Insumos!C22</f>
        <v>unid.</v>
      </c>
      <c r="F40" s="92" t="str">
        <f aca="false">Insumos!D22</f>
        <v>Limpamania</v>
      </c>
      <c r="G40" s="93" t="n">
        <f aca="false">L40</f>
        <v>0.333333333333333</v>
      </c>
      <c r="H40" s="94" t="n">
        <f aca="false">G40*Insumos!G22</f>
        <v>5.37</v>
      </c>
      <c r="I40" s="95" t="str">
        <f aca="false">IF(G40&lt;L40,"Fornecimento inferior ao estimado mensalmente",IF(G40=L40,"Fornecimento igual ao estimado mensalmente",IF(G40&gt;L40,"Fornecimento superior ao estimado mensalmente",)))</f>
        <v>Fornecimento igual ao estimado mensalmente</v>
      </c>
      <c r="J40" s="95"/>
      <c r="K40" s="95"/>
      <c r="L40" s="96" t="n">
        <f aca="false">M40/O40</f>
        <v>0.333333333333333</v>
      </c>
      <c r="M40" s="97" t="n">
        <f aca="false">Insumos!E22</f>
        <v>2</v>
      </c>
      <c r="N40" s="98" t="str">
        <f aca="false">Insumos!F22</f>
        <v>semestral</v>
      </c>
      <c r="O40" s="99" t="n">
        <f aca="false">IF(N40="MENSAL",1,IF(N40="BIMESTRAL",2,IF(N40="TRIMESTRAL",3,IF(N40="QUADRIMESTRAL",4,IF(N40="SEMESTRAL",6,IF(N40="ANUAL",12,IF(N40="BIENAL",24,"")))))))</f>
        <v>6</v>
      </c>
    </row>
    <row r="41" customFormat="false" ht="27" hidden="false" customHeight="true" outlineLevel="0" collapsed="false">
      <c r="A41" s="89" t="n">
        <v>16</v>
      </c>
      <c r="B41" s="101" t="str">
        <f aca="false">Insumos!B23</f>
        <v>Esponja Para Lavagem De Louças E Limpeza Em Geral, Dupla Face Sintética, Um Lado Em Espuma Poliuretano E Outro Em Fibra Sintética Abrasiva, Antibacteriana, Formato Retangular, Medindo Aproximadamente 110mm X 75mm X 20mm De Espessura. Pacote com 4 unidades.</v>
      </c>
      <c r="C41" s="101"/>
      <c r="D41" s="101"/>
      <c r="E41" s="91" t="str">
        <f aca="false">Insumos!C23</f>
        <v>pacote</v>
      </c>
      <c r="F41" s="92" t="str">
        <f aca="false">Insumos!D23</f>
        <v>Scotch-Brite</v>
      </c>
      <c r="G41" s="93" t="n">
        <f aca="false">L41</f>
        <v>2</v>
      </c>
      <c r="H41" s="94" t="n">
        <f aca="false">G41*Insumos!G23</f>
        <v>12.8</v>
      </c>
      <c r="I41" s="95" t="str">
        <f aca="false">IF(G41&lt;L41,"Fornecimento inferior ao estimado mensalmente",IF(G41=L41,"Fornecimento igual ao estimado mensalmente",IF(G41&gt;L41,"Fornecimento superior ao estimado mensalmente",)))</f>
        <v>Fornecimento igual ao estimado mensalmente</v>
      </c>
      <c r="J41" s="95"/>
      <c r="K41" s="95"/>
      <c r="L41" s="96" t="n">
        <f aca="false">M41/O41</f>
        <v>2</v>
      </c>
      <c r="M41" s="97" t="n">
        <f aca="false">Insumos!E23</f>
        <v>2</v>
      </c>
      <c r="N41" s="98" t="str">
        <f aca="false">Insumos!F23</f>
        <v>mensal</v>
      </c>
      <c r="O41" s="99" t="n">
        <f aca="false">IF(N41="MENSAL",1,IF(N41="BIMESTRAL",2,IF(N41="TRIMESTRAL",3,IF(N41="QUADRIMESTRAL",4,IF(N41="SEMESTRAL",6,IF(N41="ANUAL",12,IF(N41="BIENAL",24,"")))))))</f>
        <v>1</v>
      </c>
    </row>
    <row r="42" customFormat="false" ht="27" hidden="false" customHeight="true" outlineLevel="0" collapsed="false">
      <c r="A42" s="100" t="n">
        <v>17</v>
      </c>
      <c r="B42" s="101" t="str">
        <f aca="false">Insumos!B24</f>
        <v>Esponja de LÃ DE AÇO, composição básica: aço carbono abrasivo, p/ limpeza em geral, acondicionada em embalagem plástica original do fabricante, peso líquido aproximado de 60g, pacote c/ 08 unidades.</v>
      </c>
      <c r="C42" s="101"/>
      <c r="D42" s="101"/>
      <c r="E42" s="91" t="str">
        <f aca="false">Insumos!C24</f>
        <v>pacote</v>
      </c>
      <c r="F42" s="92" t="str">
        <f aca="false">Insumos!D24</f>
        <v>Bombril</v>
      </c>
      <c r="G42" s="93" t="n">
        <f aca="false">L42</f>
        <v>0.666666666666667</v>
      </c>
      <c r="H42" s="94" t="n">
        <f aca="false">G42*Insumos!G24</f>
        <v>1.96</v>
      </c>
      <c r="I42" s="95" t="str">
        <f aca="false">IF(G42&lt;L42,"Fornecimento inferior ao estimado mensalmente",IF(G42=L42,"Fornecimento igual ao estimado mensalmente",IF(G42&gt;L42,"Fornecimento superior ao estimado mensalmente",)))</f>
        <v>Fornecimento igual ao estimado mensalmente</v>
      </c>
      <c r="J42" s="95"/>
      <c r="K42" s="95"/>
      <c r="L42" s="96" t="n">
        <f aca="false">M42/O42</f>
        <v>0.666666666666667</v>
      </c>
      <c r="M42" s="97" t="n">
        <f aca="false">Insumos!E24</f>
        <v>2</v>
      </c>
      <c r="N42" s="98" t="str">
        <f aca="false">Insumos!F24</f>
        <v>trimestral</v>
      </c>
      <c r="O42" s="99" t="n">
        <f aca="false">IF(N42="MENSAL",1,IF(N42="BIMESTRAL",2,IF(N42="TRIMESTRAL",3,IF(N42="QUADRIMESTRAL",4,IF(N42="SEMESTRAL",6,IF(N42="ANUAL",12,IF(N42="BIENAL",24,"")))))))</f>
        <v>3</v>
      </c>
    </row>
    <row r="43" customFormat="false" ht="27" hidden="false" customHeight="true" outlineLevel="0" collapsed="false">
      <c r="A43" s="100" t="n">
        <v>18</v>
      </c>
      <c r="B43" s="101" t="str">
        <f aca="false">Insumos!B25</f>
        <v>Espanador de pó de penas nº 25. Medidas aproximadas: 25 cm de penas e 40 cm de cabo</v>
      </c>
      <c r="C43" s="101"/>
      <c r="D43" s="101"/>
      <c r="E43" s="91" t="str">
        <f aca="false">Insumos!C25</f>
        <v>unid.</v>
      </c>
      <c r="F43" s="92" t="str">
        <f aca="false">Insumos!D25</f>
        <v>Duster</v>
      </c>
      <c r="G43" s="93" t="n">
        <f aca="false">L43</f>
        <v>2</v>
      </c>
      <c r="H43" s="94" t="n">
        <f aca="false">G43*Insumos!G25</f>
        <v>33.98</v>
      </c>
      <c r="I43" s="95" t="str">
        <f aca="false">IF(G43&lt;L43,"Fornecimento inferior ao estimado mensalmente",IF(G43=L43,"Fornecimento igual ao estimado mensalmente",IF(G43&gt;L43,"Fornecimento superior ao estimado mensalmente",)))</f>
        <v>Fornecimento igual ao estimado mensalmente</v>
      </c>
      <c r="J43" s="95"/>
      <c r="K43" s="95"/>
      <c r="L43" s="96" t="n">
        <f aca="false">M43/O43</f>
        <v>2</v>
      </c>
      <c r="M43" s="97" t="n">
        <f aca="false">Insumos!E25</f>
        <v>6</v>
      </c>
      <c r="N43" s="98" t="str">
        <f aca="false">Insumos!F25</f>
        <v>trimestral</v>
      </c>
      <c r="O43" s="99" t="n">
        <f aca="false">IF(N43="MENSAL",1,IF(N43="BIMESTRAL",2,IF(N43="TRIMESTRAL",3,IF(N43="QUADRIMESTRAL",4,IF(N43="SEMESTRAL",6,IF(N43="ANUAL",12,IF(N43="BIENAL",24,"")))))))</f>
        <v>3</v>
      </c>
    </row>
    <row r="44" customFormat="false" ht="27" hidden="false" customHeight="true" outlineLevel="0" collapsed="false">
      <c r="A44" s="89" t="n">
        <v>19</v>
      </c>
      <c r="B44" s="101" t="str">
        <f aca="false">Insumos!B26</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44" s="101"/>
      <c r="D44" s="101"/>
      <c r="E44" s="91" t="str">
        <f aca="false">Insumos!C26</f>
        <v>unid.</v>
      </c>
      <c r="F44" s="92" t="str">
        <f aca="false">Insumos!D26</f>
        <v>Intextil</v>
      </c>
      <c r="G44" s="93" t="n">
        <f aca="false">L44</f>
        <v>5</v>
      </c>
      <c r="H44" s="94" t="n">
        <f aca="false">G44*Insumos!G26</f>
        <v>21.4</v>
      </c>
      <c r="I44" s="95" t="str">
        <f aca="false">IF(G44&lt;L44,"Fornecimento inferior ao estimado mensalmente",IF(G44=L44,"Fornecimento igual ao estimado mensalmente",IF(G44&gt;L44,"Fornecimento superior ao estimado mensalmente",)))</f>
        <v>Fornecimento igual ao estimado mensalmente</v>
      </c>
      <c r="J44" s="95"/>
      <c r="K44" s="95"/>
      <c r="L44" s="96" t="n">
        <f aca="false">M44/O44</f>
        <v>5</v>
      </c>
      <c r="M44" s="97" t="n">
        <f aca="false">Insumos!E26</f>
        <v>5</v>
      </c>
      <c r="N44" s="98" t="str">
        <f aca="false">Insumos!F26</f>
        <v>mensal</v>
      </c>
      <c r="O44" s="99" t="n">
        <f aca="false">IF(N44="MENSAL",1,IF(N44="BIMESTRAL",2,IF(N44="TRIMESTRAL",3,IF(N44="QUADRIMESTRAL",4,IF(N44="SEMESTRAL",6,IF(N44="ANUAL",12,IF(N44="BIENAL",24,"")))))))</f>
        <v>1</v>
      </c>
    </row>
    <row r="45" customFormat="false" ht="27" hidden="false" customHeight="true" outlineLevel="0" collapsed="false">
      <c r="A45" s="100" t="n">
        <v>20</v>
      </c>
      <c r="B45" s="101" t="str">
        <f aca="false">Insumos!B27</f>
        <v>Limpa Pedras Pisos, lajota removedor de encardido pedra e cerâmica - Ácido Sulfônico - 5 litro concentrado com baixo odor e pH ácido sinergicamente balanceado para uma ação rápida e eficaz. Limpeza pesada, sem danificar, de sujidades como terra, fuligem, ferrugem, incrustações e encardidos em geral.</v>
      </c>
      <c r="C45" s="101"/>
      <c r="D45" s="101"/>
      <c r="E45" s="91" t="str">
        <f aca="false">Insumos!C27</f>
        <v>Galão</v>
      </c>
      <c r="F45" s="92" t="str">
        <f aca="false">Insumos!D27</f>
        <v>Pedrex</v>
      </c>
      <c r="G45" s="93" t="n">
        <f aca="false">L45</f>
        <v>0.166666666666667</v>
      </c>
      <c r="H45" s="94" t="n">
        <f aca="false">G45*Insumos!G27</f>
        <v>9.725</v>
      </c>
      <c r="I45" s="95" t="str">
        <f aca="false">IF(G45&lt;L45,"Fornecimento inferior ao estimado mensalmente",IF(G45=L45,"Fornecimento igual ao estimado mensalmente",IF(G45&gt;L45,"Fornecimento superior ao estimado mensalmente",)))</f>
        <v>Fornecimento igual ao estimado mensalmente</v>
      </c>
      <c r="J45" s="95"/>
      <c r="K45" s="95"/>
      <c r="L45" s="96" t="n">
        <f aca="false">M45/O45</f>
        <v>0.166666666666667</v>
      </c>
      <c r="M45" s="97" t="n">
        <f aca="false">Insumos!E27</f>
        <v>1</v>
      </c>
      <c r="N45" s="98" t="str">
        <f aca="false">Insumos!F27</f>
        <v>semestral</v>
      </c>
      <c r="O45" s="99" t="n">
        <f aca="false">IF(N45="MENSAL",1,IF(N45="BIMESTRAL",2,IF(N45="TRIMESTRAL",3,IF(N45="QUADRIMESTRAL",4,IF(N45="SEMESTRAL",6,IF(N45="ANUAL",12,IF(N45="BIENAL",24,"")))))))</f>
        <v>6</v>
      </c>
    </row>
    <row r="46" customFormat="false" ht="27" hidden="false" customHeight="true" outlineLevel="0" collapsed="false">
      <c r="A46" s="100" t="n">
        <v>21</v>
      </c>
      <c r="B46" s="101" t="str">
        <f aca="false">Insumos!B28</f>
        <v>Lustra Móveis, Embalagem de 200 ml, Emulsão aquosa cremosa, perfumada, para aplicação em móveis e superfícies lisas. aromas diversos. frasco plástico de 200ml com bico econômico. embalagem certificada pelo INMETRO contendo data de fabricação, validade.</v>
      </c>
      <c r="C46" s="101"/>
      <c r="D46" s="101"/>
      <c r="E46" s="91" t="str">
        <f aca="false">Insumos!C28</f>
        <v>unid.</v>
      </c>
      <c r="F46" s="92" t="str">
        <f aca="false">Insumos!D28</f>
        <v>Ypê</v>
      </c>
      <c r="G46" s="93" t="n">
        <f aca="false">L46</f>
        <v>3</v>
      </c>
      <c r="H46" s="94" t="n">
        <f aca="false">G46*Insumos!G28</f>
        <v>20.46</v>
      </c>
      <c r="I46" s="95" t="str">
        <f aca="false">IF(G46&lt;L46,"Fornecimento inferior ao estimado mensalmente",IF(G46=L46,"Fornecimento igual ao estimado mensalmente",IF(G46&gt;L46,"Fornecimento superior ao estimado mensalmente",)))</f>
        <v>Fornecimento igual ao estimado mensalmente</v>
      </c>
      <c r="J46" s="95"/>
      <c r="K46" s="95"/>
      <c r="L46" s="96" t="n">
        <f aca="false">M46/O46</f>
        <v>3</v>
      </c>
      <c r="M46" s="97" t="n">
        <f aca="false">Insumos!E28</f>
        <v>3</v>
      </c>
      <c r="N46" s="98" t="str">
        <f aca="false">Insumos!F28</f>
        <v>mensal</v>
      </c>
      <c r="O46" s="99" t="n">
        <f aca="false">IF(N46="MENSAL",1,IF(N46="BIMESTRAL",2,IF(N46="TRIMESTRAL",3,IF(N46="QUADRIMESTRAL",4,IF(N46="SEMESTRAL",6,IF(N46="ANUAL",12,IF(N46="BIENAL",24,"")))))))</f>
        <v>1</v>
      </c>
    </row>
    <row r="47" customFormat="false" ht="27" hidden="false" customHeight="true" outlineLevel="0" collapsed="false">
      <c r="A47" s="89" t="n">
        <v>22</v>
      </c>
      <c r="B47" s="101" t="str">
        <f aca="false">Insumos!B29</f>
        <v>Multiuso para limpeza diária 500ml - Limpador Geral Multiuso, para remoção de gorduras, fuligem, poeira, marcas de dedos e de sapatos, riscos de lápis, etc. ingredientes: alquil benzeno sulfonato de sódio, álcool etoxilado, coadjuvantes, sequestrante, fragrância e água. frascos de 500 ml de produto (marca de referência: veja).</v>
      </c>
      <c r="C47" s="101"/>
      <c r="D47" s="101"/>
      <c r="E47" s="91" t="str">
        <f aca="false">Insumos!C29</f>
        <v>unid.</v>
      </c>
      <c r="F47" s="92" t="str">
        <f aca="false">Insumos!D29</f>
        <v>Veja</v>
      </c>
      <c r="G47" s="93" t="n">
        <f aca="false">L47</f>
        <v>8</v>
      </c>
      <c r="H47" s="94" t="n">
        <f aca="false">G47*Insumos!G29</f>
        <v>40.64</v>
      </c>
      <c r="I47" s="95" t="str">
        <f aca="false">IF(G47&lt;L47,"Fornecimento inferior ao estimado mensalmente",IF(G47=L47,"Fornecimento igual ao estimado mensalmente",IF(G47&gt;L47,"Fornecimento superior ao estimado mensalmente",)))</f>
        <v>Fornecimento igual ao estimado mensalmente</v>
      </c>
      <c r="J47" s="95"/>
      <c r="K47" s="95"/>
      <c r="L47" s="96" t="n">
        <f aca="false">M47/O47</f>
        <v>8</v>
      </c>
      <c r="M47" s="97" t="n">
        <f aca="false">Insumos!E29</f>
        <v>8</v>
      </c>
      <c r="N47" s="98" t="str">
        <f aca="false">Insumos!F29</f>
        <v>mensal</v>
      </c>
      <c r="O47" s="99" t="n">
        <f aca="false">IF(N47="MENSAL",1,IF(N47="BIMESTRAL",2,IF(N47="TRIMESTRAL",3,IF(N47="QUADRIMESTRAL",4,IF(N47="SEMESTRAL",6,IF(N47="ANUAL",12,IF(N47="BIENAL",24,"")))))))</f>
        <v>1</v>
      </c>
    </row>
    <row r="48" customFormat="false" ht="27" hidden="false" customHeight="true" outlineLevel="0" collapsed="false">
      <c r="A48" s="100" t="n">
        <v>23</v>
      </c>
      <c r="B48" s="101" t="str">
        <f aca="false">Insumos!B30</f>
        <v>Multiuso Limpeza Pesada 500ml - composição: alquil benzeno sulfonato de sódio, solvente, coadjuvantes, conservante, sequestrante, corante, fragrância e água. tensoativo biodegradável. Frascos de 500 ml de produto (marca de referência: veja).</v>
      </c>
      <c r="C48" s="101"/>
      <c r="D48" s="101"/>
      <c r="E48" s="91" t="str">
        <f aca="false">Insumos!C30</f>
        <v>unid.</v>
      </c>
      <c r="F48" s="92" t="str">
        <f aca="false">Insumos!D30</f>
        <v>Veja</v>
      </c>
      <c r="G48" s="93" t="n">
        <f aca="false">L48</f>
        <v>0.166666666666667</v>
      </c>
      <c r="H48" s="94" t="n">
        <f aca="false">G48*Insumos!G30</f>
        <v>1.25</v>
      </c>
      <c r="I48" s="95" t="str">
        <f aca="false">IF(G48&lt;L48,"Fornecimento inferior ao estimado mensalmente",IF(G48=L48,"Fornecimento igual ao estimado mensalmente",IF(G48&gt;L48,"Fornecimento superior ao estimado mensalmente",)))</f>
        <v>Fornecimento igual ao estimado mensalmente</v>
      </c>
      <c r="J48" s="95"/>
      <c r="K48" s="95"/>
      <c r="L48" s="96" t="n">
        <f aca="false">M48/O48</f>
        <v>0.166666666666667</v>
      </c>
      <c r="M48" s="97" t="n">
        <f aca="false">Insumos!E30</f>
        <v>1</v>
      </c>
      <c r="N48" s="98" t="str">
        <f aca="false">Insumos!F30</f>
        <v>semestral</v>
      </c>
      <c r="O48" s="99" t="n">
        <f aca="false">IF(N48="MENSAL",1,IF(N48="BIMESTRAL",2,IF(N48="TRIMESTRAL",3,IF(N48="QUADRIMESTRAL",4,IF(N48="SEMESTRAL",6,IF(N48="ANUAL",12,IF(N48="BIENAL",24,"")))))))</f>
        <v>6</v>
      </c>
    </row>
    <row r="49" customFormat="false" ht="27" hidden="false" customHeight="true" outlineLevel="0" collapsed="false">
      <c r="A49" s="100" t="n">
        <v>24</v>
      </c>
      <c r="B49" s="101" t="str">
        <f aca="false">Insumos!B31</f>
        <v>Luva Segurança Com Forro. Material: 100% Látex Nitrílico, Tamanho: M ou G, Aplicação: Manuseio Reagente Químico E Radioativo, Características Adicionais: Com Forro, Sem Talco, Pulso Com Bainha, Modelo: Palma Antiderrapante, Cor: Verde, Tipo: Ambidestra</v>
      </c>
      <c r="C49" s="101"/>
      <c r="D49" s="101"/>
      <c r="E49" s="91" t="str">
        <f aca="false">Insumos!C31</f>
        <v>Par</v>
      </c>
      <c r="F49" s="92" t="str">
        <f aca="false">Insumos!D31</f>
        <v>Bettanin</v>
      </c>
      <c r="G49" s="93" t="n">
        <f aca="false">L49</f>
        <v>5</v>
      </c>
      <c r="H49" s="94" t="n">
        <f aca="false">G49*Insumos!G31</f>
        <v>66.9</v>
      </c>
      <c r="I49" s="95" t="str">
        <f aca="false">IF(G49&lt;L49,"Fornecimento inferior ao estimado mensalmente",IF(G49=L49,"Fornecimento igual ao estimado mensalmente",IF(G49&gt;L49,"Fornecimento superior ao estimado mensalmente",)))</f>
        <v>Fornecimento igual ao estimado mensalmente</v>
      </c>
      <c r="J49" s="95"/>
      <c r="K49" s="95"/>
      <c r="L49" s="96" t="n">
        <f aca="false">M49/O49</f>
        <v>5</v>
      </c>
      <c r="M49" s="97" t="n">
        <f aca="false">Insumos!E31</f>
        <v>5</v>
      </c>
      <c r="N49" s="98" t="str">
        <f aca="false">Insumos!F31</f>
        <v>mensal</v>
      </c>
      <c r="O49" s="99" t="n">
        <f aca="false">IF(N49="MENSAL",1,IF(N49="BIMESTRAL",2,IF(N49="TRIMESTRAL",3,IF(N49="QUADRIMESTRAL",4,IF(N49="SEMESTRAL",6,IF(N49="ANUAL",12,IF(N49="BIENAL",24,"")))))))</f>
        <v>1</v>
      </c>
    </row>
    <row r="50" customFormat="false" ht="27" hidden="false" customHeight="true" outlineLevel="0" collapsed="false">
      <c r="A50" s="89" t="n">
        <v>25</v>
      </c>
      <c r="B50" s="101" t="str">
        <f aca="false">Insumos!B32</f>
        <v>Mangueira para jardim, com 50 metros de extensão ou mais, antitorção, com engate de torneira e esguicho jato regulável</v>
      </c>
      <c r="C50" s="101"/>
      <c r="D50" s="101"/>
      <c r="E50" s="91" t="str">
        <f aca="false">Insumos!C32</f>
        <v>unid.</v>
      </c>
      <c r="F50" s="92" t="str">
        <f aca="false">Insumos!D32</f>
        <v>Tramontina</v>
      </c>
      <c r="G50" s="93" t="n">
        <f aca="false">L50</f>
        <v>0.0833333333333333</v>
      </c>
      <c r="H50" s="94" t="n">
        <f aca="false">G50*Insumos!G32</f>
        <v>12.4158333333333</v>
      </c>
      <c r="I50" s="95" t="str">
        <f aca="false">IF(G50&lt;L50,"Fornecimento inferior ao estimado mensalmente",IF(G50=L50,"Fornecimento igual ao estimado mensalmente",IF(G50&gt;L50,"Fornecimento superior ao estimado mensalmente",)))</f>
        <v>Fornecimento igual ao estimado mensalmente</v>
      </c>
      <c r="J50" s="95"/>
      <c r="K50" s="95"/>
      <c r="L50" s="96" t="n">
        <f aca="false">M50/O50</f>
        <v>0.0833333333333333</v>
      </c>
      <c r="M50" s="97" t="n">
        <f aca="false">Insumos!E32</f>
        <v>1</v>
      </c>
      <c r="N50" s="98" t="str">
        <f aca="false">Insumos!F32</f>
        <v>anual</v>
      </c>
      <c r="O50" s="99" t="n">
        <f aca="false">IF(N50="MENSAL",1,IF(N50="BIMESTRAL",2,IF(N50="TRIMESTRAL",3,IF(N50="QUADRIMESTRAL",4,IF(N50="SEMESTRAL",6,IF(N50="ANUAL",12,IF(N50="BIENAL",24,"")))))))</f>
        <v>12</v>
      </c>
    </row>
    <row r="51" customFormat="false" ht="27" hidden="false" customHeight="true" outlineLevel="0" collapsed="false">
      <c r="A51" s="100" t="n">
        <v>26</v>
      </c>
      <c r="B51" s="101" t="str">
        <f aca="false">Insumos!B33</f>
        <v>Pá p/ lixo em plástico resistente c/ cabo de madeira de aprox. 60cm de altura na vertical</v>
      </c>
      <c r="C51" s="101"/>
      <c r="D51" s="101"/>
      <c r="E51" s="91" t="str">
        <f aca="false">Insumos!C33</f>
        <v>unid.</v>
      </c>
      <c r="F51" s="92" t="str">
        <f aca="false">Insumos!D33</f>
        <v>Bettanin</v>
      </c>
      <c r="G51" s="93" t="n">
        <f aca="false">L51</f>
        <v>0.166666666666667</v>
      </c>
      <c r="H51" s="94" t="n">
        <f aca="false">G51*Insumos!G33</f>
        <v>2.18166666666667</v>
      </c>
      <c r="I51" s="95" t="str">
        <f aca="false">IF(G51&lt;L51,"Fornecimento inferior ao estimado mensalmente",IF(G51=L51,"Fornecimento igual ao estimado mensalmente",IF(G51&gt;L51,"Fornecimento superior ao estimado mensalmente",)))</f>
        <v>Fornecimento igual ao estimado mensalmente</v>
      </c>
      <c r="J51" s="95"/>
      <c r="K51" s="95"/>
      <c r="L51" s="96" t="n">
        <f aca="false">M51/O51</f>
        <v>0.166666666666667</v>
      </c>
      <c r="M51" s="97" t="n">
        <f aca="false">Insumos!E33</f>
        <v>1</v>
      </c>
      <c r="N51" s="98" t="str">
        <f aca="false">Insumos!F33</f>
        <v>semestral</v>
      </c>
      <c r="O51" s="99" t="n">
        <f aca="false">IF(N51="MENSAL",1,IF(N51="BIMESTRAL",2,IF(N51="TRIMESTRAL",3,IF(N51="QUADRIMESTRAL",4,IF(N51="SEMESTRAL",6,IF(N51="ANUAL",12,IF(N51="BIENAL",24,"")))))))</f>
        <v>6</v>
      </c>
    </row>
    <row r="52" customFormat="false" ht="27" hidden="false" customHeight="true" outlineLevel="0" collapsed="false">
      <c r="A52" s="100" t="n">
        <v>27</v>
      </c>
      <c r="B52" s="101" t="str">
        <f aca="false">Insumos!B34</f>
        <v>Papel higiênico branco, folha dupla, de alta qualidade, com dimensões 10cm X 30m, com a marca do fabricante e indicação na embalagem, absorvente e resistente, fardo com 64 rolos de 30 metros. Tipo Neve ou de melhor qualidade.</v>
      </c>
      <c r="C52" s="101"/>
      <c r="D52" s="101"/>
      <c r="E52" s="91" t="str">
        <f aca="false">Insumos!C34</f>
        <v>Fardo com 64 rolos</v>
      </c>
      <c r="F52" s="92" t="str">
        <f aca="false">Insumos!D34</f>
        <v>Neve</v>
      </c>
      <c r="G52" s="93" t="n">
        <f aca="false">L52</f>
        <v>2</v>
      </c>
      <c r="H52" s="94" t="n">
        <f aca="false">G52*Insumos!G34</f>
        <v>275.42</v>
      </c>
      <c r="I52" s="95" t="str">
        <f aca="false">IF(G52&lt;L52,"Fornecimento inferior ao estimado mensalmente",IF(G52=L52,"Fornecimento igual ao estimado mensalmente",IF(G52&gt;L52,"Fornecimento superior ao estimado mensalmente",)))</f>
        <v>Fornecimento igual ao estimado mensalmente</v>
      </c>
      <c r="J52" s="95"/>
      <c r="K52" s="95"/>
      <c r="L52" s="96" t="n">
        <f aca="false">M52/O52</f>
        <v>2</v>
      </c>
      <c r="M52" s="97" t="n">
        <f aca="false">Insumos!E34</f>
        <v>2</v>
      </c>
      <c r="N52" s="98" t="str">
        <f aca="false">Insumos!F34</f>
        <v>mensal</v>
      </c>
      <c r="O52" s="99" t="n">
        <f aca="false">IF(N52="MENSAL",1,IF(N52="BIMESTRAL",2,IF(N52="TRIMESTRAL",3,IF(N52="QUADRIMESTRAL",4,IF(N52="SEMESTRAL",6,IF(N52="ANUAL",12,IF(N52="BIENAL",24,"")))))))</f>
        <v>1</v>
      </c>
    </row>
    <row r="53" customFormat="false" ht="27" hidden="false" customHeight="true" outlineLevel="0" collapsed="false">
      <c r="A53" s="89" t="n">
        <v>28</v>
      </c>
      <c r="B53" s="101" t="str">
        <f aca="false">Insumos!B35</f>
        <v>Papel Toalha Interfolhado, 2 dobras, 100% fibras celulósicas, branco extra luxo, sem pintas ou outros tipos de sujidades, boa qualidade , medindo aproximadamente 23cm x 23 cm , acondicionado em caixa c/1000 folhas.</v>
      </c>
      <c r="C53" s="101"/>
      <c r="D53" s="101"/>
      <c r="E53" s="91" t="str">
        <f aca="false">Insumos!C35</f>
        <v>Pacote</v>
      </c>
      <c r="F53" s="92" t="str">
        <f aca="false">Insumos!D35</f>
        <v>Economy (Jofel) ou similar</v>
      </c>
      <c r="G53" s="93" t="n">
        <f aca="false">L53</f>
        <v>26</v>
      </c>
      <c r="H53" s="94" t="n">
        <f aca="false">G53*Insumos!G35</f>
        <v>595.14</v>
      </c>
      <c r="I53" s="95" t="str">
        <f aca="false">IF(G53&lt;L53,"Fornecimento inferior ao estimado mensalmente",IF(G53=L53,"Fornecimento igual ao estimado mensalmente",IF(G53&gt;L53,"Fornecimento superior ao estimado mensalmente",)))</f>
        <v>Fornecimento igual ao estimado mensalmente</v>
      </c>
      <c r="J53" s="95"/>
      <c r="K53" s="95"/>
      <c r="L53" s="96" t="n">
        <f aca="false">M53/O53</f>
        <v>26</v>
      </c>
      <c r="M53" s="97" t="n">
        <f aca="false">Insumos!E35</f>
        <v>26</v>
      </c>
      <c r="N53" s="98" t="str">
        <f aca="false">Insumos!F35</f>
        <v>mensal</v>
      </c>
      <c r="O53" s="99" t="n">
        <f aca="false">IF(N53="MENSAL",1,IF(N53="BIMESTRAL",2,IF(N53="TRIMESTRAL",3,IF(N53="QUADRIMESTRAL",4,IF(N53="SEMESTRAL",6,IF(N53="ANUAL",12,IF(N53="BIENAL",24,"")))))))</f>
        <v>1</v>
      </c>
    </row>
    <row r="54" customFormat="false" ht="27" hidden="false" customHeight="true" outlineLevel="0" collapsed="false">
      <c r="A54" s="100" t="n">
        <v>29</v>
      </c>
      <c r="B54" s="101" t="str">
        <f aca="false">Insumos!B36</f>
        <v>Pedra sanitária c/ 25g - com suporte para fixar no vaso sanitário. Desinfetante sanitário em pedra 25 g</v>
      </c>
      <c r="C54" s="101"/>
      <c r="D54" s="101"/>
      <c r="E54" s="91" t="str">
        <f aca="false">Insumos!C36</f>
        <v>unid.</v>
      </c>
      <c r="F54" s="92" t="str">
        <f aca="false">Insumos!D36</f>
        <v>Harpic, Pato</v>
      </c>
      <c r="G54" s="93" t="n">
        <f aca="false">L54</f>
        <v>15</v>
      </c>
      <c r="H54" s="94" t="n">
        <f aca="false">G54*Insumos!G36</f>
        <v>36.15</v>
      </c>
      <c r="I54" s="95" t="str">
        <f aca="false">IF(G54&lt;L54,"Fornecimento inferior ao estimado mensalmente",IF(G54=L54,"Fornecimento igual ao estimado mensalmente",IF(G54&gt;L54,"Fornecimento superior ao estimado mensalmente",)))</f>
        <v>Fornecimento igual ao estimado mensalmente</v>
      </c>
      <c r="J54" s="95"/>
      <c r="K54" s="95"/>
      <c r="L54" s="96" t="n">
        <f aca="false">M54/O54</f>
        <v>15</v>
      </c>
      <c r="M54" s="97" t="n">
        <f aca="false">Insumos!E36</f>
        <v>15</v>
      </c>
      <c r="N54" s="98" t="str">
        <f aca="false">Insumos!F36</f>
        <v>mensal</v>
      </c>
      <c r="O54" s="99" t="n">
        <f aca="false">IF(N54="MENSAL",1,IF(N54="BIMESTRAL",2,IF(N54="TRIMESTRAL",3,IF(N54="QUADRIMESTRAL",4,IF(N54="SEMESTRAL",6,IF(N54="ANUAL",12,IF(N54="BIENAL",24,"")))))))</f>
        <v>1</v>
      </c>
    </row>
    <row r="55" customFormat="false" ht="27" hidden="false" customHeight="true" outlineLevel="0" collapsed="false">
      <c r="A55" s="100" t="n">
        <v>30</v>
      </c>
      <c r="B55" s="101" t="str">
        <f aca="false">Insumos!B37</f>
        <v>Rodo Plástico e borracha dupla expandida de 40cm de largura, acompanha cabo de madeira plastificado de aproximadamente 1,26m, com garras pontiagudas nas laterais para melhor fixar panos de chão.</v>
      </c>
      <c r="C55" s="101"/>
      <c r="D55" s="101"/>
      <c r="E55" s="91" t="str">
        <f aca="false">Insumos!C37</f>
        <v>unid.</v>
      </c>
      <c r="F55" s="92" t="str">
        <f aca="false">Insumos!D37</f>
        <v>Brubalar</v>
      </c>
      <c r="G55" s="93" t="n">
        <f aca="false">L55</f>
        <v>0.166666666666667</v>
      </c>
      <c r="H55" s="94" t="n">
        <f aca="false">G55*Insumos!G37</f>
        <v>3.31666666666667</v>
      </c>
      <c r="I55" s="95" t="str">
        <f aca="false">IF(G55&lt;L55,"Fornecimento inferior ao estimado mensalmente",IF(G55=L55,"Fornecimento igual ao estimado mensalmente",IF(G55&gt;L55,"Fornecimento superior ao estimado mensalmente",)))</f>
        <v>Fornecimento igual ao estimado mensalmente</v>
      </c>
      <c r="J55" s="95"/>
      <c r="K55" s="95"/>
      <c r="L55" s="96" t="n">
        <f aca="false">M55/O55</f>
        <v>0.166666666666667</v>
      </c>
      <c r="M55" s="97" t="n">
        <f aca="false">Insumos!E37</f>
        <v>1</v>
      </c>
      <c r="N55" s="98" t="str">
        <f aca="false">Insumos!F37</f>
        <v>semestral</v>
      </c>
      <c r="O55" s="99" t="n">
        <f aca="false">IF(N55="MENSAL",1,IF(N55="BIMESTRAL",2,IF(N55="TRIMESTRAL",3,IF(N55="QUADRIMESTRAL",4,IF(N55="SEMESTRAL",6,IF(N55="ANUAL",12,IF(N55="BIENAL",24,"")))))))</f>
        <v>6</v>
      </c>
    </row>
    <row r="56" customFormat="false" ht="27" hidden="false" customHeight="true" outlineLevel="0" collapsed="false">
      <c r="A56" s="89" t="n">
        <v>31</v>
      </c>
      <c r="B56" s="101" t="str">
        <f aca="false">Insumos!B38</f>
        <v>Rodo Mop Limpa Vidros Cabo Extensor Telescópio - Dupla Face </v>
      </c>
      <c r="C56" s="101"/>
      <c r="D56" s="101"/>
      <c r="E56" s="91" t="str">
        <f aca="false">Insumos!C38</f>
        <v>unid.</v>
      </c>
      <c r="F56" s="92" t="n">
        <f aca="false">Insumos!D38</f>
        <v>0</v>
      </c>
      <c r="G56" s="93" t="n">
        <f aca="false">L56</f>
        <v>0.333333333333333</v>
      </c>
      <c r="H56" s="94" t="n">
        <f aca="false">G56*Insumos!G38</f>
        <v>10.6333333333333</v>
      </c>
      <c r="I56" s="95" t="str">
        <f aca="false">IF(G56&lt;L56,"Fornecimento inferior ao estimado mensalmente",IF(G56=L56,"Fornecimento igual ao estimado mensalmente",IF(G56&gt;L56,"Fornecimento superior ao estimado mensalmente",)))</f>
        <v>Fornecimento igual ao estimado mensalmente</v>
      </c>
      <c r="J56" s="95"/>
      <c r="K56" s="95"/>
      <c r="L56" s="96" t="n">
        <f aca="false">M56/O56</f>
        <v>0.333333333333333</v>
      </c>
      <c r="M56" s="97" t="n">
        <f aca="false">Insumos!E38</f>
        <v>2</v>
      </c>
      <c r="N56" s="98" t="str">
        <f aca="false">Insumos!F38</f>
        <v>semestral</v>
      </c>
      <c r="O56" s="99" t="n">
        <f aca="false">IF(N56="MENSAL",1,IF(N56="BIMESTRAL",2,IF(N56="TRIMESTRAL",3,IF(N56="QUADRIMESTRAL",4,IF(N56="SEMESTRAL",6,IF(N56="ANUAL",12,IF(N56="BIENAL",24,"")))))))</f>
        <v>6</v>
      </c>
    </row>
    <row r="57" customFormat="false" ht="27" hidden="false" customHeight="true" outlineLevel="0" collapsed="false">
      <c r="A57" s="100" t="n">
        <v>32</v>
      </c>
      <c r="B57" s="101" t="str">
        <f aca="false">Insumos!B39</f>
        <v>Sabão em barra glicerinado - cor neutra. Pacote com 5 de 200g cada unidade.</v>
      </c>
      <c r="C57" s="101"/>
      <c r="D57" s="101"/>
      <c r="E57" s="91" t="str">
        <f aca="false">Insumos!C39</f>
        <v>pacote</v>
      </c>
      <c r="F57" s="92" t="str">
        <f aca="false">Insumos!D39</f>
        <v>Minuano</v>
      </c>
      <c r="G57" s="93" t="n">
        <f aca="false">L57</f>
        <v>1</v>
      </c>
      <c r="H57" s="94" t="n">
        <f aca="false">G57*Insumos!G39</f>
        <v>12</v>
      </c>
      <c r="I57" s="95" t="str">
        <f aca="false">IF(G57&lt;L57,"Fornecimento inferior ao estimado mensalmente",IF(G57=L57,"Fornecimento igual ao estimado mensalmente",IF(G57&gt;L57,"Fornecimento superior ao estimado mensalmente",)))</f>
        <v>Fornecimento igual ao estimado mensalmente</v>
      </c>
      <c r="J57" s="95"/>
      <c r="K57" s="95"/>
      <c r="L57" s="96" t="n">
        <f aca="false">M57/O57</f>
        <v>1</v>
      </c>
      <c r="M57" s="97" t="n">
        <f aca="false">Insumos!E39</f>
        <v>1</v>
      </c>
      <c r="N57" s="98" t="str">
        <f aca="false">Insumos!F39</f>
        <v>mensal</v>
      </c>
      <c r="O57" s="99" t="n">
        <f aca="false">IF(N57="MENSAL",1,IF(N57="BIMESTRAL",2,IF(N57="TRIMESTRAL",3,IF(N57="QUADRIMESTRAL",4,IF(N57="SEMESTRAL",6,IF(N57="ANUAL",12,IF(N57="BIENAL",24,"")))))))</f>
        <v>1</v>
      </c>
    </row>
    <row r="58" customFormat="false" ht="27" hidden="false" customHeight="true" outlineLevel="0" collapsed="false">
      <c r="A58" s="100" t="n">
        <v>33</v>
      </c>
      <c r="B58" s="101" t="str">
        <f aca="false">Insumos!B40</f>
        <v>Sabão em Pó – Caixa de 0,8 a 1Kg. Sabão em pó, convencional, de primeira linha. Para lavar roupas e limpeza em geral.</v>
      </c>
      <c r="C58" s="101"/>
      <c r="D58" s="101"/>
      <c r="E58" s="91" t="str">
        <f aca="false">Insumos!C40</f>
        <v>cx.</v>
      </c>
      <c r="F58" s="92" t="str">
        <f aca="false">Insumos!D40</f>
        <v>Omo ou similar</v>
      </c>
      <c r="G58" s="93" t="n">
        <f aca="false">L58</f>
        <v>1</v>
      </c>
      <c r="H58" s="94" t="n">
        <f aca="false">G58*Insumos!G40</f>
        <v>15.6</v>
      </c>
      <c r="I58" s="95" t="str">
        <f aca="false">IF(G58&lt;L58,"Fornecimento inferior ao estimado mensalmente",IF(G58=L58,"Fornecimento igual ao estimado mensalmente",IF(G58&gt;L58,"Fornecimento superior ao estimado mensalmente",)))</f>
        <v>Fornecimento igual ao estimado mensalmente</v>
      </c>
      <c r="J58" s="95"/>
      <c r="K58" s="95"/>
      <c r="L58" s="96" t="n">
        <f aca="false">M58/O58</f>
        <v>1</v>
      </c>
      <c r="M58" s="97" t="n">
        <f aca="false">Insumos!E40</f>
        <v>2</v>
      </c>
      <c r="N58" s="98" t="str">
        <f aca="false">Insumos!F40</f>
        <v>bimestral</v>
      </c>
      <c r="O58" s="99" t="n">
        <f aca="false">IF(N58="MENSAL",1,IF(N58="BIMESTRAL",2,IF(N58="TRIMESTRAL",3,IF(N58="QUADRIMESTRAL",4,IF(N58="SEMESTRAL",6,IF(N58="ANUAL",12,IF(N58="BIENAL",24,"")))))))</f>
        <v>2</v>
      </c>
    </row>
    <row r="59" customFormat="false" ht="27" hidden="false" customHeight="true" outlineLevel="0" collapsed="false">
      <c r="A59" s="89" t="n">
        <v>34</v>
      </c>
      <c r="B59" s="101" t="str">
        <f aca="false">Insumos!B41</f>
        <v>Sapólio em pó 300g</v>
      </c>
      <c r="C59" s="101"/>
      <c r="D59" s="101"/>
      <c r="E59" s="91" t="str">
        <f aca="false">Insumos!C41</f>
        <v>unid</v>
      </c>
      <c r="F59" s="92" t="str">
        <f aca="false">Insumos!D41</f>
        <v>Bombril</v>
      </c>
      <c r="G59" s="93" t="n">
        <f aca="false">L59</f>
        <v>0.333333333333333</v>
      </c>
      <c r="H59" s="94" t="n">
        <f aca="false">G59*Insumos!G41</f>
        <v>2.08</v>
      </c>
      <c r="I59" s="95" t="str">
        <f aca="false">IF(G59&lt;L59,"Fornecimento inferior ao estimado mensalmente",IF(G59=L59,"Fornecimento igual ao estimado mensalmente",IF(G59&gt;L59,"Fornecimento superior ao estimado mensalmente",)))</f>
        <v>Fornecimento igual ao estimado mensalmente</v>
      </c>
      <c r="J59" s="95"/>
      <c r="K59" s="95"/>
      <c r="L59" s="96" t="n">
        <f aca="false">M59/O59</f>
        <v>0.333333333333333</v>
      </c>
      <c r="M59" s="97" t="n">
        <f aca="false">Insumos!E41</f>
        <v>1</v>
      </c>
      <c r="N59" s="98" t="str">
        <f aca="false">Insumos!F41</f>
        <v>trimestral</v>
      </c>
      <c r="O59" s="99" t="n">
        <f aca="false">IF(N59="MENSAL",1,IF(N59="BIMESTRAL",2,IF(N59="TRIMESTRAL",3,IF(N59="QUADRIMESTRAL",4,IF(N59="SEMESTRAL",6,IF(N59="ANUAL",12,IF(N59="BIENAL",24,"")))))))</f>
        <v>3</v>
      </c>
    </row>
    <row r="60" customFormat="false" ht="27" hidden="false" customHeight="true" outlineLevel="0" collapsed="false">
      <c r="A60" s="100" t="n">
        <v>35</v>
      </c>
      <c r="B60" s="101" t="str">
        <f aca="false">Insumos!B42</f>
        <v>Sabonete líquido Concentrado, cremoso perolizado, pronto pra uso, aroma erva-doce, lavanda ou similar, galão de 05 litros.</v>
      </c>
      <c r="C60" s="101"/>
      <c r="D60" s="101"/>
      <c r="E60" s="91" t="str">
        <f aca="false">Insumos!C42</f>
        <v>Galão</v>
      </c>
      <c r="F60" s="92" t="str">
        <f aca="false">Insumos!D42</f>
        <v>Nobre, Start, Ikebana</v>
      </c>
      <c r="G60" s="93" t="n">
        <f aca="false">L60</f>
        <v>1</v>
      </c>
      <c r="H60" s="94" t="n">
        <f aca="false">G60*Insumos!G42</f>
        <v>23.76</v>
      </c>
      <c r="I60" s="95" t="str">
        <f aca="false">IF(G60&lt;L60,"Fornecimento inferior ao estimado mensalmente",IF(G60=L60,"Fornecimento igual ao estimado mensalmente",IF(G60&gt;L60,"Fornecimento superior ao estimado mensalmente",)))</f>
        <v>Fornecimento igual ao estimado mensalmente</v>
      </c>
      <c r="J60" s="95"/>
      <c r="K60" s="95"/>
      <c r="L60" s="96" t="n">
        <f aca="false">M60/O60</f>
        <v>1</v>
      </c>
      <c r="M60" s="97" t="n">
        <f aca="false">Insumos!E42</f>
        <v>1</v>
      </c>
      <c r="N60" s="98" t="str">
        <f aca="false">Insumos!F42</f>
        <v>mensal</v>
      </c>
      <c r="O60" s="99" t="n">
        <f aca="false">IF(N60="MENSAL",1,IF(N60="BIMESTRAL",2,IF(N60="TRIMESTRAL",3,IF(N60="QUADRIMESTRAL",4,IF(N60="SEMESTRAL",6,IF(N60="ANUAL",12,IF(N60="BIENAL",24,"")))))))</f>
        <v>1</v>
      </c>
    </row>
    <row r="61" customFormat="false" ht="27" hidden="false" customHeight="true" outlineLevel="0" collapsed="false">
      <c r="A61" s="100" t="n">
        <v>36</v>
      </c>
      <c r="B61" s="101" t="str">
        <f aca="false">Insumos!B43</f>
        <v>Saco de Algodão Tipo: Alvejado, Tamanho: 60 X 80 CM, Cor: Branco, Características Adicionais: Dupla Face</v>
      </c>
      <c r="C61" s="101"/>
      <c r="D61" s="101"/>
      <c r="E61" s="91" t="str">
        <f aca="false">Insumos!C43</f>
        <v>unid.</v>
      </c>
      <c r="F61" s="92" t="str">
        <f aca="false">Insumos!D43</f>
        <v>Santa Margarida</v>
      </c>
      <c r="G61" s="93" t="n">
        <f aca="false">L61</f>
        <v>5</v>
      </c>
      <c r="H61" s="94" t="n">
        <f aca="false">G61*Insumos!G43</f>
        <v>41.15</v>
      </c>
      <c r="I61" s="95" t="str">
        <f aca="false">IF(G61&lt;L61,"Fornecimento inferior ao estimado mensalmente",IF(G61=L61,"Fornecimento igual ao estimado mensalmente",IF(G61&gt;L61,"Fornecimento superior ao estimado mensalmente",)))</f>
        <v>Fornecimento igual ao estimado mensalmente</v>
      </c>
      <c r="J61" s="95"/>
      <c r="K61" s="95"/>
      <c r="L61" s="96" t="n">
        <f aca="false">M61/O61</f>
        <v>5</v>
      </c>
      <c r="M61" s="97" t="n">
        <f aca="false">Insumos!E43</f>
        <v>5</v>
      </c>
      <c r="N61" s="98" t="str">
        <f aca="false">Insumos!F43</f>
        <v>mensal</v>
      </c>
      <c r="O61" s="99" t="n">
        <f aca="false">IF(N61="MENSAL",1,IF(N61="BIMESTRAL",2,IF(N61="TRIMESTRAL",3,IF(N61="QUADRIMESTRAL",4,IF(N61="SEMESTRAL",6,IF(N61="ANUAL",12,IF(N61="BIENAL",24,"")))))))</f>
        <v>1</v>
      </c>
    </row>
    <row r="62" customFormat="false" ht="27" hidden="false" customHeight="true" outlineLevel="0" collapsed="false">
      <c r="A62" s="89" t="n">
        <v>37</v>
      </c>
      <c r="B62" s="101" t="str">
        <f aca="false">Insumos!B44</f>
        <v>Saco plástico reforçado para lixo em polietileno, com capacidade de 20 litros, com estanqueidade suficiente para que não haja vazamento de lixo líquido. com espessura mínima de 08 micra, na cor preta. Pacote com 100 unidades.</v>
      </c>
      <c r="C62" s="101"/>
      <c r="D62" s="101"/>
      <c r="E62" s="91" t="str">
        <f aca="false">Insumos!C44</f>
        <v>Pacote</v>
      </c>
      <c r="F62" s="92" t="str">
        <f aca="false">Insumos!D44</f>
        <v>Altaplast</v>
      </c>
      <c r="G62" s="93" t="n">
        <f aca="false">L62</f>
        <v>2</v>
      </c>
      <c r="H62" s="94" t="n">
        <f aca="false">G62*Insumos!G44</f>
        <v>32.98</v>
      </c>
      <c r="I62" s="95" t="str">
        <f aca="false">IF(G62&lt;L62,"Fornecimento inferior ao estimado mensalmente",IF(G62=L62,"Fornecimento igual ao estimado mensalmente",IF(G62&gt;L62,"Fornecimento superior ao estimado mensalmente",)))</f>
        <v>Fornecimento igual ao estimado mensalmente</v>
      </c>
      <c r="J62" s="95"/>
      <c r="K62" s="95"/>
      <c r="L62" s="96" t="n">
        <f aca="false">M62/O62</f>
        <v>2</v>
      </c>
      <c r="M62" s="97" t="n">
        <f aca="false">Insumos!E44</f>
        <v>4</v>
      </c>
      <c r="N62" s="98" t="str">
        <f aca="false">Insumos!F44</f>
        <v>bimestral</v>
      </c>
      <c r="O62" s="99" t="n">
        <f aca="false">IF(N62="MENSAL",1,IF(N62="BIMESTRAL",2,IF(N62="TRIMESTRAL",3,IF(N62="QUADRIMESTRAL",4,IF(N62="SEMESTRAL",6,IF(N62="ANUAL",12,IF(N62="BIENAL",24,"")))))))</f>
        <v>2</v>
      </c>
    </row>
    <row r="63" customFormat="false" ht="27" hidden="false" customHeight="true" outlineLevel="0" collapsed="false">
      <c r="A63" s="100" t="n">
        <v>38</v>
      </c>
      <c r="B63" s="101" t="str">
        <f aca="false">Insumos!B45</f>
        <v>Saco plástico reforçado para lixo em polietileno, com capacidade de 60 litros, com estanqueidade suficiente para que não haja vazamento de lixo líquido. com espessura mínima de 09 micra, na cor preta. Pacote com 100 unidades.</v>
      </c>
      <c r="C63" s="101"/>
      <c r="D63" s="101"/>
      <c r="E63" s="91" t="str">
        <f aca="false">Insumos!C45</f>
        <v>Pacote</v>
      </c>
      <c r="F63" s="92" t="str">
        <f aca="false">Insumos!D45</f>
        <v>Polisac</v>
      </c>
      <c r="G63" s="93" t="n">
        <f aca="false">L63</f>
        <v>1</v>
      </c>
      <c r="H63" s="94" t="n">
        <f aca="false">G63*Insumos!G45</f>
        <v>46.43</v>
      </c>
      <c r="I63" s="95" t="str">
        <f aca="false">IF(G63&lt;L63,"Fornecimento inferior ao estimado mensalmente",IF(G63=L63,"Fornecimento igual ao estimado mensalmente",IF(G63&gt;L63,"Fornecimento superior ao estimado mensalmente",)))</f>
        <v>Fornecimento igual ao estimado mensalmente</v>
      </c>
      <c r="J63" s="95"/>
      <c r="K63" s="95"/>
      <c r="L63" s="96" t="n">
        <f aca="false">M63/O63</f>
        <v>1</v>
      </c>
      <c r="M63" s="97" t="n">
        <f aca="false">Insumos!E45</f>
        <v>1</v>
      </c>
      <c r="N63" s="98" t="str">
        <f aca="false">Insumos!F45</f>
        <v>mensal</v>
      </c>
      <c r="O63" s="99" t="n">
        <f aca="false">IF(N63="MENSAL",1,IF(N63="BIMESTRAL",2,IF(N63="TRIMESTRAL",3,IF(N63="QUADRIMESTRAL",4,IF(N63="SEMESTRAL",6,IF(N63="ANUAL",12,IF(N63="BIENAL",24,"")))))))</f>
        <v>1</v>
      </c>
    </row>
    <row r="64" customFormat="false" ht="27" hidden="false" customHeight="true" outlineLevel="0" collapsed="false">
      <c r="A64" s="100" t="n">
        <v>39</v>
      </c>
      <c r="B64" s="101" t="str">
        <f aca="false">Insumos!B46</f>
        <v>Saco plástico reforçado para lixo em polietileno, com capacidade de 100 litros, com estanqueidade suficiente para que não haja vazamento de lixo líquido. com espessura mínima de 10 micra, na cor preta. Pacote com 100 unidades.</v>
      </c>
      <c r="C64" s="101"/>
      <c r="D64" s="101"/>
      <c r="E64" s="91" t="str">
        <f aca="false">Insumos!C46</f>
        <v>Pacote</v>
      </c>
      <c r="F64" s="92" t="str">
        <f aca="false">Insumos!D46</f>
        <v>Polisac</v>
      </c>
      <c r="G64" s="93" t="n">
        <f aca="false">L64</f>
        <v>1</v>
      </c>
      <c r="H64" s="94" t="n">
        <f aca="false">G64*Insumos!G46</f>
        <v>60.16</v>
      </c>
      <c r="I64" s="95" t="str">
        <f aca="false">IF(G64&lt;L64,"Fornecimento inferior ao estimado mensalmente",IF(G64=L64,"Fornecimento igual ao estimado mensalmente",IF(G64&gt;L64,"Fornecimento superior ao estimado mensalmente",)))</f>
        <v>Fornecimento igual ao estimado mensalmente</v>
      </c>
      <c r="J64" s="95"/>
      <c r="K64" s="95"/>
      <c r="L64" s="96" t="n">
        <f aca="false">M64/O64</f>
        <v>1</v>
      </c>
      <c r="M64" s="97" t="n">
        <f aca="false">Insumos!E46</f>
        <v>1</v>
      </c>
      <c r="N64" s="98" t="str">
        <f aca="false">Insumos!F46</f>
        <v>mensal</v>
      </c>
      <c r="O64" s="99" t="n">
        <f aca="false">IF(N64="MENSAL",1,IF(N64="BIMESTRAL",2,IF(N64="TRIMESTRAL",3,IF(N64="QUADRIMESTRAL",4,IF(N64="SEMESTRAL",6,IF(N64="ANUAL",12,IF(N64="BIENAL",24,"")))))))</f>
        <v>1</v>
      </c>
    </row>
    <row r="65" customFormat="false" ht="27" hidden="false" customHeight="true" outlineLevel="0" collapsed="false">
      <c r="A65" s="89" t="n">
        <v>40</v>
      </c>
      <c r="B65" s="101" t="str">
        <f aca="false">Insumos!B47</f>
        <v>Vassoura Material Cerdas: Pêlo Sintético, Comprimento Cepa: 60 CM, Tipo Cabo: Reforçado, Material Cabo: Madeira</v>
      </c>
      <c r="C65" s="101"/>
      <c r="D65" s="101"/>
      <c r="E65" s="91" t="str">
        <f aca="false">Insumos!C47</f>
        <v>unid.</v>
      </c>
      <c r="F65" s="92" t="str">
        <f aca="false">Insumos!D47</f>
        <v>Brubalar</v>
      </c>
      <c r="G65" s="93" t="n">
        <f aca="false">L65</f>
        <v>0.333333333333333</v>
      </c>
      <c r="H65" s="94" t="n">
        <f aca="false">G65*Insumos!G47</f>
        <v>6.07333333333333</v>
      </c>
      <c r="I65" s="95" t="str">
        <f aca="false">IF(G65&lt;L65,"Fornecimento inferior ao estimado mensalmente",IF(G65=L65,"Fornecimento igual ao estimado mensalmente",IF(G65&gt;L65,"Fornecimento superior ao estimado mensalmente",)))</f>
        <v>Fornecimento igual ao estimado mensalmente</v>
      </c>
      <c r="J65" s="95"/>
      <c r="K65" s="95"/>
      <c r="L65" s="96" t="n">
        <f aca="false">M65/O65</f>
        <v>0.333333333333333</v>
      </c>
      <c r="M65" s="97" t="n">
        <f aca="false">Insumos!E47</f>
        <v>2</v>
      </c>
      <c r="N65" s="98" t="str">
        <f aca="false">Insumos!F47</f>
        <v>semestral</v>
      </c>
      <c r="O65" s="99" t="n">
        <f aca="false">IF(N65="MENSAL",1,IF(N65="BIMESTRAL",2,IF(N65="TRIMESTRAL",3,IF(N65="QUADRIMESTRAL",4,IF(N65="SEMESTRAL",6,IF(N65="ANUAL",12,IF(N65="BIENAL",24,"")))))))</f>
        <v>6</v>
      </c>
    </row>
    <row r="66" customFormat="false" ht="27" hidden="false" customHeight="true" outlineLevel="0" collapsed="false">
      <c r="A66" s="100" t="n">
        <v>41</v>
      </c>
      <c r="B66" s="101" t="str">
        <f aca="false">Insumos!B48</f>
        <v>Vassoura Material Cerdas: Piaçava, Aplicação: Limpeza, Material Cepa: Madeira, Comprimento Cepa: 40 CM, Comprimento Cerdas: 13 CM, Largura Cepa: 5 CM, Altura Cepa: 4 CM, Material Cabo: Madeira</v>
      </c>
      <c r="C66" s="101"/>
      <c r="D66" s="101"/>
      <c r="E66" s="91" t="str">
        <f aca="false">Insumos!C48</f>
        <v>unid.</v>
      </c>
      <c r="F66" s="92" t="str">
        <f aca="false">Insumos!D48</f>
        <v>Noviça</v>
      </c>
      <c r="G66" s="93" t="n">
        <f aca="false">L66</f>
        <v>2</v>
      </c>
      <c r="H66" s="94" t="n">
        <f aca="false">G66*Insumos!G48</f>
        <v>36.2</v>
      </c>
      <c r="I66" s="95" t="str">
        <f aca="false">IF(G66&lt;L66,"Fornecimento inferior ao estimado mensalmente",IF(G66=L66,"Fornecimento igual ao estimado mensalmente",IF(G66&gt;L66,"Fornecimento superior ao estimado mensalmente",)))</f>
        <v>Fornecimento igual ao estimado mensalmente</v>
      </c>
      <c r="J66" s="95"/>
      <c r="K66" s="95"/>
      <c r="L66" s="96" t="n">
        <f aca="false">M66/O66</f>
        <v>2</v>
      </c>
      <c r="M66" s="97" t="n">
        <f aca="false">Insumos!E48</f>
        <v>2</v>
      </c>
      <c r="N66" s="98" t="str">
        <f aca="false">Insumos!F48</f>
        <v>mensal</v>
      </c>
      <c r="O66" s="99" t="n">
        <f aca="false">IF(N66="MENSAL",1,IF(N66="BIMESTRAL",2,IF(N66="TRIMESTRAL",3,IF(N66="QUADRIMESTRAL",4,IF(N66="SEMESTRAL",6,IF(N66="ANUAL",12,IF(N66="BIENAL",24,"")))))))</f>
        <v>1</v>
      </c>
    </row>
    <row r="67" customFormat="false" ht="27" hidden="false" customHeight="true" outlineLevel="0" collapsed="false">
      <c r="A67" s="100" t="n">
        <v>42</v>
      </c>
      <c r="B67" s="101" t="str">
        <f aca="false">Insumos!B49</f>
        <v>Suporte De Parede Organizador Para Vassouras E Esfregoes E Ferramentas, Com 4 ou 5 Posiçoes E Ganchos. Material De Aço Relaminado De Alta Densidade, Comprimento aprox. De 25Cm, Largura 3Cm</v>
      </c>
      <c r="C67" s="101"/>
      <c r="D67" s="101"/>
      <c r="E67" s="91" t="str">
        <f aca="false">Insumos!C49</f>
        <v>unid.</v>
      </c>
      <c r="F67" s="92" t="n">
        <f aca="false">Insumos!D49</f>
        <v>0</v>
      </c>
      <c r="G67" s="93" t="n">
        <f aca="false">L67</f>
        <v>0.0833333333333333</v>
      </c>
      <c r="H67" s="94" t="n">
        <f aca="false">G67*Insumos!G49</f>
        <v>3.11583333333333</v>
      </c>
      <c r="I67" s="95" t="str">
        <f aca="false">IF(G67&lt;L67,"Fornecimento inferior ao estimado mensalmente",IF(G67=L67,"Fornecimento igual ao estimado mensalmente",IF(G67&gt;L67,"Fornecimento superior ao estimado mensalmente",)))</f>
        <v>Fornecimento igual ao estimado mensalmente</v>
      </c>
      <c r="J67" s="95"/>
      <c r="K67" s="95"/>
      <c r="L67" s="96" t="n">
        <f aca="false">M67/O67</f>
        <v>0.0833333333333333</v>
      </c>
      <c r="M67" s="97" t="n">
        <f aca="false">Insumos!E49</f>
        <v>1</v>
      </c>
      <c r="N67" s="98" t="str">
        <f aca="false">Insumos!F49</f>
        <v>anual</v>
      </c>
      <c r="O67" s="99" t="n">
        <f aca="false">IF(N67="MENSAL",1,IF(N67="BIMESTRAL",2,IF(N67="TRIMESTRAL",3,IF(N67="QUADRIMESTRAL",4,IF(N67="SEMESTRAL",6,IF(N67="ANUAL",12,IF(N67="BIENAL",24,"")))))))</f>
        <v>12</v>
      </c>
    </row>
    <row r="68" customFormat="false" ht="27" hidden="false" customHeight="true" outlineLevel="0" collapsed="false">
      <c r="A68" s="89" t="n">
        <v>43</v>
      </c>
      <c r="B68" s="101" t="str">
        <f aca="false">Insumos!B50</f>
        <v>Suporte fixo de parede giratório de metal para mangueira até 50 metros</v>
      </c>
      <c r="C68" s="101"/>
      <c r="D68" s="101"/>
      <c r="E68" s="91" t="str">
        <f aca="false">Insumos!C50</f>
        <v>unid.</v>
      </c>
      <c r="F68" s="92" t="n">
        <f aca="false">Insumos!D50</f>
        <v>0</v>
      </c>
      <c r="G68" s="93" t="n">
        <f aca="false">L68</f>
        <v>0.0833333333333333</v>
      </c>
      <c r="H68" s="94" t="n">
        <f aca="false">G68*Insumos!G50</f>
        <v>5.54166666666667</v>
      </c>
      <c r="I68" s="95" t="str">
        <f aca="false">IF(G68&lt;L68,"Fornecimento inferior ao estimado mensalmente",IF(G68=L68,"Fornecimento igual ao estimado mensalmente",IF(G68&gt;L68,"Fornecimento superior ao estimado mensalmente",)))</f>
        <v>Fornecimento igual ao estimado mensalmente</v>
      </c>
      <c r="J68" s="95"/>
      <c r="K68" s="95"/>
      <c r="L68" s="96" t="n">
        <f aca="false">M68/O68</f>
        <v>0.0833333333333333</v>
      </c>
      <c r="M68" s="97" t="n">
        <f aca="false">Insumos!E50</f>
        <v>1</v>
      </c>
      <c r="N68" s="98" t="str">
        <f aca="false">Insumos!F50</f>
        <v>anual</v>
      </c>
      <c r="O68" s="99" t="n">
        <f aca="false">IF(N68="MENSAL",1,IF(N68="BIMESTRAL",2,IF(N68="TRIMESTRAL",3,IF(N68="QUADRIMESTRAL",4,IF(N68="SEMESTRAL",6,IF(N68="ANUAL",12,IF(N68="BIENAL",24,"")))))))</f>
        <v>12</v>
      </c>
    </row>
    <row r="69" customFormat="false" ht="27" hidden="false" customHeight="true" outlineLevel="0" collapsed="false">
      <c r="A69" s="31" t="s">
        <v>68</v>
      </c>
      <c r="B69" s="31"/>
      <c r="C69" s="31"/>
      <c r="D69" s="31"/>
      <c r="E69" s="31"/>
      <c r="F69" s="31"/>
      <c r="G69" s="31"/>
      <c r="H69" s="102" t="n">
        <f aca="false">ROUND(SUM(H26:H68),2)</f>
        <v>1844.56</v>
      </c>
      <c r="I69" s="68"/>
      <c r="J69" s="68"/>
      <c r="K69" s="1"/>
      <c r="L69" s="1"/>
      <c r="M69" s="1"/>
      <c r="N69" s="82"/>
      <c r="O69" s="82"/>
    </row>
    <row r="70" customFormat="false" ht="27" hidden="false" customHeight="true" outlineLevel="0" collapsed="false">
      <c r="A70" s="103" t="s">
        <v>69</v>
      </c>
      <c r="B70" s="103"/>
      <c r="C70" s="103"/>
      <c r="D70" s="103"/>
      <c r="E70" s="103"/>
      <c r="F70" s="103"/>
      <c r="G70" s="104" t="n">
        <f aca="false">Dados!G43</f>
        <v>0.03</v>
      </c>
      <c r="H70" s="105" t="n">
        <f aca="false">ROUND((H69*G70),2)</f>
        <v>55.34</v>
      </c>
      <c r="I70" s="68"/>
      <c r="J70" s="68"/>
      <c r="K70" s="1"/>
      <c r="L70" s="1"/>
      <c r="M70" s="1"/>
      <c r="N70" s="82"/>
      <c r="O70" s="82"/>
    </row>
    <row r="71" customFormat="false" ht="27" hidden="false" customHeight="true" outlineLevel="0" collapsed="false">
      <c r="A71" s="103" t="s">
        <v>70</v>
      </c>
      <c r="B71" s="103"/>
      <c r="C71" s="103"/>
      <c r="D71" s="103"/>
      <c r="E71" s="103"/>
      <c r="F71" s="103"/>
      <c r="G71" s="104" t="n">
        <f aca="false">Dados!G44</f>
        <v>0.0679</v>
      </c>
      <c r="H71" s="105" t="n">
        <f aca="false">ROUND((SUM(H69:H70)*G71),2)</f>
        <v>129</v>
      </c>
      <c r="I71" s="68"/>
      <c r="J71" s="68"/>
      <c r="K71" s="1"/>
      <c r="L71" s="1"/>
      <c r="M71" s="1"/>
      <c r="N71" s="82"/>
      <c r="O71" s="82"/>
    </row>
    <row r="72" customFormat="false" ht="27" hidden="false" customHeight="true" outlineLevel="0" collapsed="false">
      <c r="A72" s="103" t="s">
        <v>71</v>
      </c>
      <c r="B72" s="103"/>
      <c r="C72" s="103"/>
      <c r="D72" s="103"/>
      <c r="E72" s="103"/>
      <c r="F72" s="103"/>
      <c r="G72" s="104" t="n">
        <f aca="false">Dados!G55</f>
        <v>0.1425</v>
      </c>
      <c r="H72" s="105" t="n">
        <f aca="false">ROUND((H73*G72),2)</f>
        <v>337.16</v>
      </c>
      <c r="I72" s="68"/>
      <c r="J72" s="68"/>
      <c r="K72" s="1"/>
      <c r="L72" s="1"/>
      <c r="M72" s="1"/>
      <c r="N72" s="82"/>
      <c r="O72" s="82"/>
    </row>
    <row r="73" customFormat="false" ht="27" hidden="false" customHeight="true" outlineLevel="0" collapsed="false">
      <c r="A73" s="106" t="s">
        <v>72</v>
      </c>
      <c r="B73" s="106"/>
      <c r="C73" s="106"/>
      <c r="D73" s="106"/>
      <c r="E73" s="106"/>
      <c r="F73" s="106"/>
      <c r="G73" s="106"/>
      <c r="H73" s="107" t="n">
        <f aca="false">ROUND((SUM(H69:H71)/(1-G72)),2)</f>
        <v>2366.06</v>
      </c>
      <c r="I73" s="68"/>
      <c r="J73" s="68"/>
      <c r="K73" s="1"/>
      <c r="L73" s="1"/>
      <c r="M73" s="1"/>
      <c r="N73" s="82"/>
      <c r="O73" s="82"/>
    </row>
    <row r="74" customFormat="false" ht="27" hidden="false" customHeight="true" outlineLevel="0" collapsed="false">
      <c r="A74" s="76"/>
      <c r="B74" s="82"/>
      <c r="C74" s="82"/>
      <c r="D74" s="82"/>
      <c r="E74" s="82"/>
      <c r="F74" s="82"/>
      <c r="G74" s="76"/>
      <c r="H74" s="108"/>
      <c r="I74" s="82"/>
      <c r="J74" s="82"/>
      <c r="K74" s="1"/>
      <c r="L74" s="1"/>
      <c r="M74" s="1"/>
      <c r="N74" s="82"/>
      <c r="O74" s="82"/>
    </row>
    <row r="75" customFormat="false" ht="27" hidden="false" customHeight="true" outlineLevel="0" collapsed="false">
      <c r="A75" s="83" t="s">
        <v>54</v>
      </c>
      <c r="B75" s="109" t="s">
        <v>73</v>
      </c>
      <c r="C75" s="109"/>
      <c r="D75" s="109"/>
      <c r="E75" s="109"/>
      <c r="F75" s="110" t="s">
        <v>56</v>
      </c>
      <c r="G75" s="110"/>
      <c r="H75" s="110"/>
      <c r="I75" s="86" t="s">
        <v>57</v>
      </c>
      <c r="J75" s="86"/>
      <c r="K75" s="86"/>
      <c r="L75" s="111" t="s">
        <v>58</v>
      </c>
      <c r="M75" s="111"/>
      <c r="N75" s="111"/>
      <c r="O75" s="111"/>
      <c r="U75" s="1"/>
    </row>
    <row r="76" customFormat="false" ht="36" hidden="false" customHeight="true" outlineLevel="0" collapsed="false">
      <c r="A76" s="83"/>
      <c r="B76" s="75" t="s">
        <v>59</v>
      </c>
      <c r="C76" s="75"/>
      <c r="D76" s="75"/>
      <c r="E76" s="75" t="s">
        <v>60</v>
      </c>
      <c r="F76" s="75" t="s">
        <v>61</v>
      </c>
      <c r="G76" s="75" t="s">
        <v>62</v>
      </c>
      <c r="H76" s="88" t="s">
        <v>63</v>
      </c>
      <c r="I76" s="86"/>
      <c r="J76" s="86"/>
      <c r="K76" s="86"/>
      <c r="L76" s="83" t="s">
        <v>64</v>
      </c>
      <c r="M76" s="84" t="s">
        <v>65</v>
      </c>
      <c r="N76" s="84" t="s">
        <v>66</v>
      </c>
      <c r="O76" s="85" t="s">
        <v>67</v>
      </c>
      <c r="U76" s="1"/>
    </row>
    <row r="77" customFormat="false" ht="27" hidden="false" customHeight="true" outlineLevel="0" collapsed="false">
      <c r="A77" s="112" t="n">
        <v>1</v>
      </c>
      <c r="B77" s="113" t="str">
        <f aca="false">Insumos!B58</f>
        <v>Açucar Cristal 5kg - origem vegetal, constituído fundamentalmente por sacarose de cana de açucar, sólido com cristais bem definidos, odor próprio do produto, sabor próprio do produto, composição básica centesimal do açucar cristal branco empacotado: sacarose concentração mínima de 99,6%, sais mineirais concentração máxima de 0,10%, unidade máxima de 0,07% outros componentes 0,23%. </v>
      </c>
      <c r="C77" s="113"/>
      <c r="D77" s="113"/>
      <c r="E77" s="91" t="str">
        <f aca="false">Insumos!C58</f>
        <v>pacote</v>
      </c>
      <c r="F77" s="92" t="str">
        <f aca="false">Insumos!D58</f>
        <v>União</v>
      </c>
      <c r="G77" s="93" t="n">
        <f aca="false">L77</f>
        <v>0.5</v>
      </c>
      <c r="H77" s="94" t="n">
        <f aca="false">G77*Insumos!G58</f>
        <v>9.585</v>
      </c>
      <c r="I77" s="95" t="str">
        <f aca="false">IF(G77&lt;L77,"Fornecimento inferior ao estimado mensalmente",IF(G77=L77,"Fornecimento igual ao estimado mensalmente",IF(G77&gt;L77,"Fornecimento superior ao estimado mensalmente",)))</f>
        <v>Fornecimento igual ao estimado mensalmente</v>
      </c>
      <c r="J77" s="95"/>
      <c r="K77" s="95"/>
      <c r="L77" s="96" t="n">
        <f aca="false">M77/O77</f>
        <v>0.5</v>
      </c>
      <c r="M77" s="114" t="n">
        <f aca="false">Insumos!E58</f>
        <v>1</v>
      </c>
      <c r="N77" s="114" t="str">
        <f aca="false">Insumos!F58</f>
        <v>bimestral</v>
      </c>
      <c r="O77" s="99" t="n">
        <f aca="false">IF(N77="MENSAL",1,IF(N77="BIMESTRAL",2,IF(N77="TRIMESTRAL",3,IF(N77="QUADRIMESTRAL",4,IF(N77="SEMESTRAL",6,IF(N77="ANUAL",12,IF(N77="BIENAL",24,"")))))))</f>
        <v>2</v>
      </c>
    </row>
    <row r="78" customFormat="false" ht="27" hidden="false" customHeight="true" outlineLevel="0" collapsed="false">
      <c r="A78" s="112" t="n">
        <v>2</v>
      </c>
      <c r="B78" s="113" t="str">
        <f aca="false">Insumos!B59</f>
        <v>Adoçante 100ml - adoçante líquido dietético, aspecto límpido e transparente, embalagem: frasco de 100 ml, tipo: adoçante líquido composição: sucralose (aditivo edulcorante de origem sintética), com exceção de outros aditivos ou substâncias químicas, conforme regulamentação da Anvisa. Embalagem: frasco conta-gotas, com tampa vedante para evitar desperdício e facilitar a dosagem precisa. Validade: de acordo com o prazo indicado pelo fabricante, devendo ser respeitado o prazo de validade para garantir a qualidade do produto. </v>
      </c>
      <c r="C78" s="113"/>
      <c r="D78" s="113"/>
      <c r="E78" s="91" t="str">
        <f aca="false">Insumos!C59</f>
        <v>unid.</v>
      </c>
      <c r="F78" s="92" t="str">
        <f aca="false">Insumos!D59</f>
        <v>Linea</v>
      </c>
      <c r="G78" s="93" t="n">
        <f aca="false">L78</f>
        <v>0.5</v>
      </c>
      <c r="H78" s="94" t="n">
        <f aca="false">G78*Insumos!G59</f>
        <v>3.96</v>
      </c>
      <c r="I78" s="95" t="str">
        <f aca="false">IF(G78&lt;L78,"Fornecimento inferior ao estimado mensalmente",IF(G78=L78,"Fornecimento igual ao estimado mensalmente",IF(G78&gt;L78,"Fornecimento superior ao estimado mensalmente",)))</f>
        <v>Fornecimento igual ao estimado mensalmente</v>
      </c>
      <c r="J78" s="95"/>
      <c r="K78" s="95"/>
      <c r="L78" s="96" t="n">
        <f aca="false">M78/O78</f>
        <v>0.5</v>
      </c>
      <c r="M78" s="114" t="n">
        <f aca="false">Insumos!E59</f>
        <v>1</v>
      </c>
      <c r="N78" s="114" t="str">
        <f aca="false">Insumos!F59</f>
        <v>Bimestral</v>
      </c>
      <c r="O78" s="99" t="n">
        <f aca="false">IF(N78="MENSAL",1,IF(N78="BIMESTRAL",2,IF(N78="TRIMESTRAL",3,IF(N78="QUADRIMESTRAL",4,IF(N78="SEMESTRAL",6,IF(N78="ANUAL",12,IF(N78="BIENAL",24,"")))))))</f>
        <v>2</v>
      </c>
    </row>
    <row r="79" customFormat="false" ht="27" hidden="false" customHeight="true" outlineLevel="0" collapsed="false">
      <c r="A79" s="112" t="n">
        <v>3</v>
      </c>
      <c r="B79" s="113" t="str">
        <f aca="false">Insumos!B60</f>
        <v>Álcool granel 65% galão com 5 litros </v>
      </c>
      <c r="C79" s="113"/>
      <c r="D79" s="113"/>
      <c r="E79" s="91" t="str">
        <f aca="false">Insumos!C60</f>
        <v>unid</v>
      </c>
      <c r="F79" s="92" t="str">
        <f aca="false">Insumos!D60</f>
        <v>Tupi ou similar</v>
      </c>
      <c r="G79" s="93" t="n">
        <f aca="false">L79</f>
        <v>0.333333333333333</v>
      </c>
      <c r="H79" s="94" t="n">
        <f aca="false">G79*Insumos!G60</f>
        <v>4.08333333333333</v>
      </c>
      <c r="I79" s="95" t="str">
        <f aca="false">IF(G79&lt;L79,"Fornecimento inferior ao estimado mensalmente",IF(G79=L79,"Fornecimento igual ao estimado mensalmente",IF(G79&gt;L79,"Fornecimento superior ao estimado mensalmente",)))</f>
        <v>Fornecimento igual ao estimado mensalmente</v>
      </c>
      <c r="J79" s="95"/>
      <c r="K79" s="95"/>
      <c r="L79" s="96" t="n">
        <f aca="false">M79/O79</f>
        <v>0.333333333333333</v>
      </c>
      <c r="M79" s="114" t="n">
        <f aca="false">Insumos!E60</f>
        <v>1</v>
      </c>
      <c r="N79" s="114" t="str">
        <f aca="false">Insumos!F60</f>
        <v>trimestral</v>
      </c>
      <c r="O79" s="99" t="n">
        <f aca="false">IF(N79="MENSAL",1,IF(N79="BIMESTRAL",2,IF(N79="TRIMESTRAL",3,IF(N79="QUADRIMESTRAL",4,IF(N79="SEMESTRAL",6,IF(N79="ANUAL",12,IF(N79="BIENAL",24,"")))))))</f>
        <v>3</v>
      </c>
    </row>
    <row r="80" customFormat="false" ht="27" hidden="false" customHeight="true" outlineLevel="0" collapsed="false">
      <c r="A80" s="112" t="n">
        <v>4</v>
      </c>
      <c r="B80" s="113" t="str">
        <f aca="false">Insumos!B61</f>
        <v>Balde Material: Plástico, Material Alça: Arame Galvanizado, Capacidade: 10 L, Cor: Preta, Características Adicionais: Reforço Fundo E Borda</v>
      </c>
      <c r="C80" s="113"/>
      <c r="D80" s="113"/>
      <c r="E80" s="91" t="str">
        <f aca="false">Insumos!C61</f>
        <v>unid.</v>
      </c>
      <c r="F80" s="92" t="str">
        <f aca="false">Insumos!D61</f>
        <v>Sanremo</v>
      </c>
      <c r="G80" s="93" t="n">
        <f aca="false">L80</f>
        <v>0.166666666666667</v>
      </c>
      <c r="H80" s="94" t="n">
        <f aca="false">G80*Insumos!G61</f>
        <v>2.315</v>
      </c>
      <c r="I80" s="95" t="str">
        <f aca="false">IF(G80&lt;L80,"Fornecimento inferior ao estimado mensalmente",IF(G80=L80,"Fornecimento igual ao estimado mensalmente",IF(G80&gt;L80,"Fornecimento superior ao estimado mensalmente",)))</f>
        <v>Fornecimento igual ao estimado mensalmente</v>
      </c>
      <c r="J80" s="95"/>
      <c r="K80" s="95"/>
      <c r="L80" s="96" t="n">
        <f aca="false">M80/O80</f>
        <v>0.166666666666667</v>
      </c>
      <c r="M80" s="114" t="n">
        <f aca="false">Insumos!E61</f>
        <v>1</v>
      </c>
      <c r="N80" s="114" t="str">
        <f aca="false">Insumos!F61</f>
        <v>semestral</v>
      </c>
      <c r="O80" s="99" t="n">
        <f aca="false">IF(N80="MENSAL",1,IF(N80="BIMESTRAL",2,IF(N80="TRIMESTRAL",3,IF(N80="QUADRIMESTRAL",4,IF(N80="SEMESTRAL",6,IF(N80="ANUAL",12,IF(N80="BIENAL",24,"")))))))</f>
        <v>6</v>
      </c>
    </row>
    <row r="81" customFormat="false" ht="27" hidden="false" customHeight="true" outlineLevel="0" collapsed="false">
      <c r="A81" s="112" t="n">
        <v>5</v>
      </c>
      <c r="B81" s="113" t="str">
        <f aca="false">Insumos!B62</f>
        <v>Café 500G - Café Em Pó, Torrado E Moído, 100% Arábica, Especial, Qualidade Superior, Devendo Ser Produzido Exclusivamente Com Grãos Sãos E Limpos, Em Pó, Moído E Torrado Em Processo De Torração Homogênea Na Cor Castanho Claro A Moderado Escuro, Sem Amargor, Sem Impurezas, Com Validade Mínima 6 Meses A Contar Da Data De Entrega. Deverá Conter O Selo Da Abic De Pureza e Qualidade Ou Selo Equivalente Que Comprove A Qualidade Superior. Embalagem 500G. O Produto Deve Ter Os Registros Nos Órgãos Competentes De Fiscalização E Estar De Acordo Com A Legislação Vigente.</v>
      </c>
      <c r="C81" s="113"/>
      <c r="D81" s="113"/>
      <c r="E81" s="91" t="str">
        <f aca="false">Insumos!C62</f>
        <v>unid.</v>
      </c>
      <c r="F81" s="92" t="str">
        <f aca="false">Insumos!D62</f>
        <v>3 Corações Gourmet, Orfeu</v>
      </c>
      <c r="G81" s="93" t="n">
        <f aca="false">L81</f>
        <v>3</v>
      </c>
      <c r="H81" s="94" t="n">
        <f aca="false">G81*Insumos!G62</f>
        <v>88.59</v>
      </c>
      <c r="I81" s="95" t="str">
        <f aca="false">IF(G81&lt;L81,"Fornecimento inferior ao estimado mensalmente",IF(G81=L81,"Fornecimento igual ao estimado mensalmente",IF(G81&gt;L81,"Fornecimento superior ao estimado mensalmente",)))</f>
        <v>Fornecimento igual ao estimado mensalmente</v>
      </c>
      <c r="J81" s="95"/>
      <c r="K81" s="95"/>
      <c r="L81" s="96" t="n">
        <f aca="false">M81/O81</f>
        <v>3</v>
      </c>
      <c r="M81" s="114" t="n">
        <f aca="false">Insumos!E62</f>
        <v>3</v>
      </c>
      <c r="N81" s="114" t="str">
        <f aca="false">Insumos!F62</f>
        <v>mensal</v>
      </c>
      <c r="O81" s="99" t="n">
        <f aca="false">IF(N81="MENSAL",1,IF(N81="BIMESTRAL",2,IF(N81="TRIMESTRAL",3,IF(N81="QUADRIMESTRAL",4,IF(N81="SEMESTRAL",6,IF(N81="ANUAL",12,IF(N81="BIENAL",24,"")))))))</f>
        <v>1</v>
      </c>
    </row>
    <row r="82" customFormat="false" ht="27" hidden="false" customHeight="true" outlineLevel="0" collapsed="false">
      <c r="A82" s="112" t="n">
        <v>6</v>
      </c>
      <c r="B82" s="113" t="str">
        <f aca="false">Insumos!B63</f>
        <v>Coador de Café. Especificação: Em pano 100% algodão, cor branca, dimensões de 20cm (diâmetro) x 30cm (profundidade), cabo 16 cm de comprimento feito de arame de aço galvanizado revestido com PVC. O rótulo do produto deve estampar o nome do fabricante.</v>
      </c>
      <c r="C82" s="113"/>
      <c r="D82" s="113"/>
      <c r="E82" s="91" t="str">
        <f aca="false">Insumos!C63</f>
        <v>unid.</v>
      </c>
      <c r="F82" s="92" t="str">
        <f aca="false">Insumos!D63</f>
        <v>Stolf</v>
      </c>
      <c r="G82" s="93" t="n">
        <f aca="false">L82</f>
        <v>2</v>
      </c>
      <c r="H82" s="94" t="n">
        <f aca="false">G82*Insumos!G63</f>
        <v>19.98</v>
      </c>
      <c r="I82" s="95" t="str">
        <f aca="false">IF(G82&lt;L82,"Fornecimento inferior ao estimado mensalmente",IF(G82=L82,"Fornecimento igual ao estimado mensalmente",IF(G82&gt;L82,"Fornecimento superior ao estimado mensalmente",)))</f>
        <v>Fornecimento igual ao estimado mensalmente</v>
      </c>
      <c r="J82" s="95"/>
      <c r="K82" s="95"/>
      <c r="L82" s="96" t="n">
        <f aca="false">M82/O82</f>
        <v>2</v>
      </c>
      <c r="M82" s="114" t="n">
        <f aca="false">Insumos!E63</f>
        <v>2</v>
      </c>
      <c r="N82" s="114" t="str">
        <f aca="false">Insumos!F63</f>
        <v>mensal</v>
      </c>
      <c r="O82" s="99" t="n">
        <f aca="false">IF(N82="MENSAL",1,IF(N82="BIMESTRAL",2,IF(N82="TRIMESTRAL",3,IF(N82="QUADRIMESTRAL",4,IF(N82="SEMESTRAL",6,IF(N82="ANUAL",12,IF(N82="BIENAL",24,"")))))))</f>
        <v>1</v>
      </c>
    </row>
    <row r="83" customFormat="false" ht="27" hidden="false" customHeight="true" outlineLevel="0" collapsed="false">
      <c r="A83" s="112" t="n">
        <v>7</v>
      </c>
      <c r="B83" s="113" t="str">
        <f aca="false">Insumos!B64</f>
        <v>Desentupidor Pia Material: Borracha Flexível, Cor: Preta , Material Cabo: Plástico Resistente , Comprimento Cabo: 20 CM, Tipo: Sanfonado</v>
      </c>
      <c r="C83" s="113"/>
      <c r="D83" s="113"/>
      <c r="E83" s="91" t="str">
        <f aca="false">Insumos!C64</f>
        <v>unid.</v>
      </c>
      <c r="F83" s="92" t="str">
        <f aca="false">Insumos!D64</f>
        <v>Oliveira e Azevedo</v>
      </c>
      <c r="G83" s="93" t="n">
        <f aca="false">L83</f>
        <v>0.0833333333333333</v>
      </c>
      <c r="H83" s="94" t="n">
        <f aca="false">G83*Insumos!G64</f>
        <v>0.8675</v>
      </c>
      <c r="I83" s="95" t="str">
        <f aca="false">IF(G83&lt;L83,"Fornecimento inferior ao estimado mensalmente",IF(G83=L83,"Fornecimento igual ao estimado mensalmente",IF(G83&gt;L83,"Fornecimento superior ao estimado mensalmente",)))</f>
        <v>Fornecimento igual ao estimado mensalmente</v>
      </c>
      <c r="J83" s="95"/>
      <c r="K83" s="95"/>
      <c r="L83" s="96" t="n">
        <f aca="false">M83/O83</f>
        <v>0.0833333333333333</v>
      </c>
      <c r="M83" s="114" t="n">
        <f aca="false">Insumos!E64</f>
        <v>1</v>
      </c>
      <c r="N83" s="114" t="str">
        <f aca="false">Insumos!F64</f>
        <v>anual</v>
      </c>
      <c r="O83" s="99" t="n">
        <f aca="false">IF(N83="MENSAL",1,IF(N83="BIMESTRAL",2,IF(N83="TRIMESTRAL",3,IF(N83="QUADRIMESTRAL",4,IF(N83="SEMESTRAL",6,IF(N83="ANUAL",12,IF(N83="BIENAL",24,"")))))))</f>
        <v>12</v>
      </c>
    </row>
    <row r="84" customFormat="false" ht="27" hidden="false" customHeight="true" outlineLevel="0" collapsed="false">
      <c r="A84" s="112" t="n">
        <v>8</v>
      </c>
      <c r="B84" s="113" t="str">
        <f aca="false">Insumos!B65</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84" s="113"/>
      <c r="D84" s="113"/>
      <c r="E84" s="91" t="str">
        <f aca="false">Insumos!C65</f>
        <v>unid.</v>
      </c>
      <c r="F84" s="92" t="str">
        <f aca="false">Insumos!D65</f>
        <v>Limpol ou similar</v>
      </c>
      <c r="G84" s="93" t="n">
        <f aca="false">L84</f>
        <v>3</v>
      </c>
      <c r="H84" s="94" t="n">
        <f aca="false">G84*Insumos!G65</f>
        <v>8.97</v>
      </c>
      <c r="I84" s="95" t="str">
        <f aca="false">IF(G84&lt;L84,"Fornecimento inferior ao estimado mensalmente",IF(G84=L84,"Fornecimento igual ao estimado mensalmente",IF(G84&gt;L84,"Fornecimento superior ao estimado mensalmente",)))</f>
        <v>Fornecimento igual ao estimado mensalmente</v>
      </c>
      <c r="J84" s="95"/>
      <c r="K84" s="95"/>
      <c r="L84" s="96" t="n">
        <f aca="false">M84/O84</f>
        <v>3</v>
      </c>
      <c r="M84" s="114" t="n">
        <f aca="false">Insumos!E65</f>
        <v>3</v>
      </c>
      <c r="N84" s="114" t="str">
        <f aca="false">Insumos!F65</f>
        <v>mensal</v>
      </c>
      <c r="O84" s="99" t="n">
        <f aca="false">IF(N84="MENSAL",1,IF(N84="BIMESTRAL",2,IF(N84="TRIMESTRAL",3,IF(N84="QUADRIMESTRAL",4,IF(N84="SEMESTRAL",6,IF(N84="ANUAL",12,IF(N84="BIENAL",24,"")))))))</f>
        <v>1</v>
      </c>
    </row>
    <row r="85" customFormat="false" ht="27" hidden="false" customHeight="true" outlineLevel="0" collapsed="false">
      <c r="A85" s="112" t="n">
        <v>9</v>
      </c>
      <c r="B85" s="113" t="str">
        <f aca="false">Insumos!B66</f>
        <v>Escova para limpeza de mamadeira/garrafa, tipo redonda, base de arame galvanizado, com cerdas 100% polipropileno, medindo 15cm, cabo de arame duplo retorcido e ferro galvanizado, medindo 15cm, mínimo de 30 cerdas por tufos</v>
      </c>
      <c r="C85" s="113"/>
      <c r="D85" s="113"/>
      <c r="E85" s="91" t="str">
        <f aca="false">Insumos!C66</f>
        <v>unid.</v>
      </c>
      <c r="F85" s="92" t="str">
        <f aca="false">Insumos!D66</f>
        <v>Dynasty</v>
      </c>
      <c r="G85" s="93" t="n">
        <f aca="false">L85</f>
        <v>0.166666666666667</v>
      </c>
      <c r="H85" s="94" t="n">
        <f aca="false">G85*Insumos!G66</f>
        <v>4.67833333333333</v>
      </c>
      <c r="I85" s="95" t="str">
        <f aca="false">IF(G85&lt;L85,"Fornecimento inferior ao estimado mensalmente",IF(G85=L85,"Fornecimento igual ao estimado mensalmente",IF(G85&gt;L85,"Fornecimento superior ao estimado mensalmente",)))</f>
        <v>Fornecimento igual ao estimado mensalmente</v>
      </c>
      <c r="J85" s="95"/>
      <c r="K85" s="95"/>
      <c r="L85" s="96" t="n">
        <f aca="false">M85/O85</f>
        <v>0.166666666666667</v>
      </c>
      <c r="M85" s="114" t="n">
        <f aca="false">Insumos!E66</f>
        <v>1</v>
      </c>
      <c r="N85" s="114" t="str">
        <f aca="false">Insumos!F66</f>
        <v>semestral</v>
      </c>
      <c r="O85" s="99" t="n">
        <f aca="false">IF(N85="MENSAL",1,IF(N85="BIMESTRAL",2,IF(N85="TRIMESTRAL",3,IF(N85="QUADRIMESTRAL",4,IF(N85="SEMESTRAL",6,IF(N85="ANUAL",12,IF(N85="BIENAL",24,"")))))))</f>
        <v>6</v>
      </c>
    </row>
    <row r="86" customFormat="false" ht="27" hidden="false" customHeight="true" outlineLevel="0" collapsed="false">
      <c r="A86" s="112" t="n">
        <v>10</v>
      </c>
      <c r="B86" s="113" t="str">
        <f aca="false">Insumos!B67</f>
        <v>Esponja Para Lavagem De Louças E Limpeza Em Geral, Dupla Face Sintética, Um Lado Em Espuma Poliuretano E Outro Em Fibra Sintética Abrasiva, Antibacteriana, Formato Retangular, Medindo Aproximadamente 110mm X 75mm X 20mm De Espessura. Pacote com 4 unidades.</v>
      </c>
      <c r="C86" s="113"/>
      <c r="D86" s="113"/>
      <c r="E86" s="91" t="str">
        <f aca="false">Insumos!C67</f>
        <v>unid.</v>
      </c>
      <c r="F86" s="92" t="str">
        <f aca="false">Insumos!D67</f>
        <v>Scotch-Brite</v>
      </c>
      <c r="G86" s="93" t="n">
        <f aca="false">L86</f>
        <v>4</v>
      </c>
      <c r="H86" s="94" t="n">
        <f aca="false">G86*Insumos!G67</f>
        <v>25.6</v>
      </c>
      <c r="I86" s="95" t="str">
        <f aca="false">IF(G86&lt;L86,"Fornecimento inferior ao estimado mensalmente",IF(G86=L86,"Fornecimento igual ao estimado mensalmente",IF(G86&gt;L86,"Fornecimento superior ao estimado mensalmente",)))</f>
        <v>Fornecimento igual ao estimado mensalmente</v>
      </c>
      <c r="J86" s="95"/>
      <c r="K86" s="95"/>
      <c r="L86" s="96" t="n">
        <f aca="false">M86/O86</f>
        <v>4</v>
      </c>
      <c r="M86" s="114" t="n">
        <f aca="false">Insumos!E67</f>
        <v>4</v>
      </c>
      <c r="N86" s="114" t="str">
        <f aca="false">Insumos!F67</f>
        <v>mensal</v>
      </c>
      <c r="O86" s="99" t="n">
        <f aca="false">IF(N86="MENSAL",1,IF(N86="BIMESTRAL",2,IF(N86="TRIMESTRAL",3,IF(N86="QUADRIMESTRAL",4,IF(N86="SEMESTRAL",6,IF(N86="ANUAL",12,IF(N86="BIENAL",24,"")))))))</f>
        <v>1</v>
      </c>
    </row>
    <row r="87" customFormat="false" ht="27" hidden="false" customHeight="true" outlineLevel="0" collapsed="false">
      <c r="A87" s="112" t="n">
        <v>11</v>
      </c>
      <c r="B87" s="113" t="str">
        <f aca="false">Insumos!B68</f>
        <v>Esponja de LÃ DE AÇO, composição básica: aço carbono abrasivo, p/ limpeza em geral, acondicionada em embalagem plástica original do fabricante, peso líquido aproximado de 60g, pacote c/ 08 unidades</v>
      </c>
      <c r="C87" s="113"/>
      <c r="D87" s="113"/>
      <c r="E87" s="91" t="str">
        <f aca="false">Insumos!C68</f>
        <v>Pacote</v>
      </c>
      <c r="F87" s="92" t="str">
        <f aca="false">Insumos!D68</f>
        <v>Bombril</v>
      </c>
      <c r="G87" s="93" t="n">
        <f aca="false">L87</f>
        <v>0.666666666666667</v>
      </c>
      <c r="H87" s="94" t="n">
        <f aca="false">G87*Insumos!G68</f>
        <v>1.96</v>
      </c>
      <c r="I87" s="95" t="str">
        <f aca="false">IF(G87&lt;L87,"Fornecimento inferior ao estimado mensalmente",IF(G87=L87,"Fornecimento igual ao estimado mensalmente",IF(G87&gt;L87,"Fornecimento superior ao estimado mensalmente",)))</f>
        <v>Fornecimento igual ao estimado mensalmente</v>
      </c>
      <c r="J87" s="95"/>
      <c r="K87" s="95"/>
      <c r="L87" s="96" t="n">
        <f aca="false">M87/O87</f>
        <v>0.666666666666667</v>
      </c>
      <c r="M87" s="114" t="n">
        <f aca="false">Insumos!E68</f>
        <v>2</v>
      </c>
      <c r="N87" s="114" t="str">
        <f aca="false">Insumos!F68</f>
        <v>trimestral</v>
      </c>
      <c r="O87" s="99" t="n">
        <f aca="false">IF(N87="MENSAL",1,IF(N87="BIMESTRAL",2,IF(N87="TRIMESTRAL",3,IF(N87="QUADRIMESTRAL",4,IF(N87="SEMESTRAL",6,IF(N87="ANUAL",12,IF(N87="BIENAL",24,"")))))))</f>
        <v>3</v>
      </c>
    </row>
    <row r="88" customFormat="false" ht="27" hidden="false" customHeight="true" outlineLevel="0" collapsed="false">
      <c r="A88" s="112" t="n">
        <v>12</v>
      </c>
      <c r="B88" s="113" t="str">
        <f aca="false">Insumos!B69</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88" s="113"/>
      <c r="D88" s="113"/>
      <c r="E88" s="91" t="str">
        <f aca="false">Insumos!C69</f>
        <v>unid.</v>
      </c>
      <c r="F88" s="92" t="str">
        <f aca="false">Insumos!D69</f>
        <v>Santa Margarida</v>
      </c>
      <c r="G88" s="93" t="n">
        <f aca="false">L88</f>
        <v>8</v>
      </c>
      <c r="H88" s="94" t="n">
        <f aca="false">G88*Insumos!G69</f>
        <v>34.24</v>
      </c>
      <c r="I88" s="95" t="str">
        <f aca="false">IF(G88&lt;L88,"Fornecimento inferior ao estimado mensalmente",IF(G88=L88,"Fornecimento igual ao estimado mensalmente",IF(G88&gt;L88,"Fornecimento superior ao estimado mensalmente",)))</f>
        <v>Fornecimento igual ao estimado mensalmente</v>
      </c>
      <c r="J88" s="95"/>
      <c r="K88" s="95"/>
      <c r="L88" s="96" t="n">
        <f aca="false">M88/O88</f>
        <v>8</v>
      </c>
      <c r="M88" s="114" t="n">
        <f aca="false">Insumos!E69</f>
        <v>8</v>
      </c>
      <c r="N88" s="114" t="str">
        <f aca="false">Insumos!F69</f>
        <v>mensal</v>
      </c>
      <c r="O88" s="99" t="n">
        <f aca="false">IF(N88="MENSAL",1,IF(N88="BIMESTRAL",2,IF(N88="TRIMESTRAL",3,IF(N88="QUADRIMESTRAL",4,IF(N88="SEMESTRAL",6,IF(N88="ANUAL",12,IF(N88="BIENAL",24,"")))))))</f>
        <v>1</v>
      </c>
    </row>
    <row r="89" customFormat="false" ht="27" hidden="false" customHeight="true" outlineLevel="0" collapsed="false">
      <c r="A89" s="112" t="n">
        <v>13</v>
      </c>
      <c r="B89" s="113" t="str">
        <f aca="false">Insumos!B70</f>
        <v>Guardanapo de limpeza, em papel absorvente, folha simples, na cor branca, não gofrado, 4 dobras, dimensões mínimas 24cm x 22cm, 100% fibras naturais, embalado em pacote com 50 unidades, com dados do fabricante, data de fabricação e prazo de validade. Produto fabricado de acordo com as normas da ABNT/NBR. Do tipo Coquetel, Santepel, Snob ou de melhor qualidade</v>
      </c>
      <c r="C89" s="113"/>
      <c r="D89" s="113"/>
      <c r="E89" s="91" t="str">
        <f aca="false">Insumos!C70</f>
        <v>Pacote</v>
      </c>
      <c r="F89" s="92" t="str">
        <f aca="false">Insumos!D70</f>
        <v>Santepel</v>
      </c>
      <c r="G89" s="93" t="n">
        <f aca="false">L89</f>
        <v>1</v>
      </c>
      <c r="H89" s="94" t="n">
        <f aca="false">G89*Insumos!G70</f>
        <v>5.95</v>
      </c>
      <c r="I89" s="95" t="str">
        <f aca="false">IF(G89&lt;L89,"Fornecimento inferior ao estimado mensalmente",IF(G89=L89,"Fornecimento igual ao estimado mensalmente",IF(G89&gt;L89,"Fornecimento superior ao estimado mensalmente",)))</f>
        <v>Fornecimento igual ao estimado mensalmente</v>
      </c>
      <c r="J89" s="95"/>
      <c r="K89" s="95"/>
      <c r="L89" s="96" t="n">
        <f aca="false">M89/O89</f>
        <v>1</v>
      </c>
      <c r="M89" s="114" t="n">
        <f aca="false">Insumos!E70</f>
        <v>3</v>
      </c>
      <c r="N89" s="114" t="str">
        <f aca="false">Insumos!F70</f>
        <v>trimestral</v>
      </c>
      <c r="O89" s="99" t="n">
        <f aca="false">IF(N89="MENSAL",1,IF(N89="BIMESTRAL",2,IF(N89="TRIMESTRAL",3,IF(N89="QUADRIMESTRAL",4,IF(N89="SEMESTRAL",6,IF(N89="ANUAL",12,IF(N89="BIENAL",24,"")))))))</f>
        <v>3</v>
      </c>
    </row>
    <row r="90" customFormat="false" ht="27" hidden="false" customHeight="true" outlineLevel="0" collapsed="false">
      <c r="A90" s="112" t="n">
        <v>14</v>
      </c>
      <c r="B90" s="113" t="str">
        <f aca="false">Insumos!B71</f>
        <v>Guardanapo de limpeza, em papel absorvente, folha simples, na cor branca, não gofrado, 4 dobras, dimensões mínimas 33 cm x 30 cm, 100% fibras naturais, embalado em pacote com 50 unidades, com dados do fabricante, data de fabricação e prazo de validade. Produto fabricado de acordo com as normas da ABNT/NBR. Do tipo Coquetel, Santepel, Snob ou de melhor qualidade</v>
      </c>
      <c r="C90" s="113"/>
      <c r="D90" s="113"/>
      <c r="E90" s="91" t="str">
        <f aca="false">Insumos!C71</f>
        <v>Pacote</v>
      </c>
      <c r="F90" s="92" t="str">
        <f aca="false">Insumos!D71</f>
        <v>Santepel</v>
      </c>
      <c r="G90" s="93" t="n">
        <f aca="false">L90</f>
        <v>1</v>
      </c>
      <c r="H90" s="94" t="n">
        <f aca="false">G90*Insumos!G71</f>
        <v>6.48</v>
      </c>
      <c r="I90" s="95" t="str">
        <f aca="false">IF(G90&lt;L90,"Fornecimento inferior ao estimado mensalmente",IF(G90=L90,"Fornecimento igual ao estimado mensalmente",IF(G90&gt;L90,"Fornecimento superior ao estimado mensalmente",)))</f>
        <v>Fornecimento igual ao estimado mensalmente</v>
      </c>
      <c r="J90" s="95"/>
      <c r="K90" s="95"/>
      <c r="L90" s="96" t="n">
        <f aca="false">M90/O90</f>
        <v>1</v>
      </c>
      <c r="M90" s="114" t="n">
        <f aca="false">Insumos!E71</f>
        <v>3</v>
      </c>
      <c r="N90" s="114" t="str">
        <f aca="false">Insumos!F71</f>
        <v>trimestral</v>
      </c>
      <c r="O90" s="99" t="n">
        <f aca="false">IF(N90="MENSAL",1,IF(N90="BIMESTRAL",2,IF(N90="TRIMESTRAL",3,IF(N90="QUADRIMESTRAL",4,IF(N90="SEMESTRAL",6,IF(N90="ANUAL",12,IF(N90="BIENAL",24,"")))))))</f>
        <v>3</v>
      </c>
    </row>
    <row r="91" customFormat="false" ht="27" hidden="false" customHeight="true" outlineLevel="0" collapsed="false">
      <c r="A91" s="112" t="n">
        <v>15</v>
      </c>
      <c r="B91" s="113" t="str">
        <f aca="false">Insumos!B72</f>
        <v>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v>
      </c>
      <c r="C91" s="113"/>
      <c r="D91" s="113"/>
      <c r="E91" s="91" t="str">
        <f aca="false">Insumos!C72</f>
        <v>unid.</v>
      </c>
      <c r="F91" s="92" t="str">
        <f aca="false">Insumos!D72</f>
        <v>Start</v>
      </c>
      <c r="G91" s="93" t="n">
        <f aca="false">L91</f>
        <v>1</v>
      </c>
      <c r="H91" s="94" t="n">
        <f aca="false">G91*Insumos!G72</f>
        <v>5.46</v>
      </c>
      <c r="I91" s="95" t="str">
        <f aca="false">IF(G91&lt;L91,"Fornecimento inferior ao estimado mensalmente",IF(G91=L91,"Fornecimento igual ao estimado mensalmente",IF(G91&gt;L91,"Fornecimento superior ao estimado mensalmente",)))</f>
        <v>Fornecimento igual ao estimado mensalmente</v>
      </c>
      <c r="J91" s="95"/>
      <c r="K91" s="95"/>
      <c r="L91" s="96" t="n">
        <f aca="false">M91/O91</f>
        <v>1</v>
      </c>
      <c r="M91" s="114" t="n">
        <f aca="false">Insumos!E72</f>
        <v>3</v>
      </c>
      <c r="N91" s="114" t="str">
        <f aca="false">Insumos!F72</f>
        <v>trimestral</v>
      </c>
      <c r="O91" s="99" t="n">
        <f aca="false">IF(N91="MENSAL",1,IF(N91="BIMESTRAL",2,IF(N91="TRIMESTRAL",3,IF(N91="QUADRIMESTRAL",4,IF(N91="SEMESTRAL",6,IF(N91="ANUAL",12,IF(N91="BIENAL",24,"")))))))</f>
        <v>3</v>
      </c>
    </row>
    <row r="92" customFormat="false" ht="27" hidden="false" customHeight="true" outlineLevel="0" collapsed="false">
      <c r="A92" s="112" t="n">
        <v>16</v>
      </c>
      <c r="B92" s="113" t="str">
        <f aca="false">Insumos!B73</f>
        <v>Luva Segurança Com Forro. Material: 100% Látex Nitrílico, Tamanho: M ou G, Aplicação: Manuseio Reagente Químico E Radioativo , Características Adicionais: Com Forro, Sem Talco, Pulso Com Bainha , Modelo: Palma Antiderrapante, Cor: Verde ,Tipo: Ambidestra</v>
      </c>
      <c r="C92" s="113"/>
      <c r="D92" s="113"/>
      <c r="E92" s="91" t="str">
        <f aca="false">Insumos!C73</f>
        <v>Par</v>
      </c>
      <c r="F92" s="92" t="str">
        <f aca="false">Insumos!D73</f>
        <v>Bettanin</v>
      </c>
      <c r="G92" s="93" t="n">
        <f aca="false">L92</f>
        <v>1</v>
      </c>
      <c r="H92" s="94" t="n">
        <f aca="false">G92*Insumos!G73</f>
        <v>13.38</v>
      </c>
      <c r="I92" s="95" t="str">
        <f aca="false">IF(G92&lt;L92,"Fornecimento inferior ao estimado mensalmente",IF(G92=L92,"Fornecimento igual ao estimado mensalmente",IF(G92&gt;L92,"Fornecimento superior ao estimado mensalmente",)))</f>
        <v>Fornecimento igual ao estimado mensalmente</v>
      </c>
      <c r="J92" s="95"/>
      <c r="K92" s="95"/>
      <c r="L92" s="96" t="n">
        <f aca="false">M92/O92</f>
        <v>1</v>
      </c>
      <c r="M92" s="114" t="n">
        <f aca="false">Insumos!E73</f>
        <v>1</v>
      </c>
      <c r="N92" s="114" t="str">
        <f aca="false">Insumos!F73</f>
        <v>mensal</v>
      </c>
      <c r="O92" s="99" t="n">
        <f aca="false">IF(N92="MENSAL",1,IF(N92="BIMESTRAL",2,IF(N92="TRIMESTRAL",3,IF(N92="QUADRIMESTRAL",4,IF(N92="SEMESTRAL",6,IF(N92="ANUAL",12,IF(N92="BIENAL",24,"")))))))</f>
        <v>1</v>
      </c>
    </row>
    <row r="93" customFormat="false" ht="27" hidden="false" customHeight="true" outlineLevel="0" collapsed="false">
      <c r="A93" s="112" t="n">
        <v>17</v>
      </c>
      <c r="B93" s="113" t="str">
        <f aca="false">Insumos!B74</f>
        <v>Multiuso para limpeza diária 500ml - Limpador Geral Multiuso, para remoção de gorduras, fuligem, poeira, marcas de dedos e de sapatos, riscos de lápis, etc. ingredientes: alquil benzeno sulfonato de sódio, álcool etoxilado, coadjuvantes, sequestrante, fragrância e água. frascos de 500 ml de produto (marca de referência: veja).</v>
      </c>
      <c r="C93" s="113"/>
      <c r="D93" s="113"/>
      <c r="E93" s="91" t="str">
        <f aca="false">Insumos!C74</f>
        <v>unid.</v>
      </c>
      <c r="F93" s="92" t="str">
        <f aca="false">Insumos!D74</f>
        <v>Veja</v>
      </c>
      <c r="G93" s="93" t="n">
        <f aca="false">L93</f>
        <v>2</v>
      </c>
      <c r="H93" s="94" t="n">
        <f aca="false">G93*Insumos!G74</f>
        <v>10.16</v>
      </c>
      <c r="I93" s="95" t="str">
        <f aca="false">IF(G93&lt;L93,"Fornecimento inferior ao estimado mensalmente",IF(G93=L93,"Fornecimento igual ao estimado mensalmente",IF(G93&gt;L93,"Fornecimento superior ao estimado mensalmente",)))</f>
        <v>Fornecimento igual ao estimado mensalmente</v>
      </c>
      <c r="J93" s="95"/>
      <c r="K93" s="95"/>
      <c r="L93" s="96" t="n">
        <f aca="false">M93/O93</f>
        <v>2</v>
      </c>
      <c r="M93" s="114" t="n">
        <f aca="false">Insumos!E74</f>
        <v>2</v>
      </c>
      <c r="N93" s="114" t="str">
        <f aca="false">Insumos!F74</f>
        <v>mensal</v>
      </c>
      <c r="O93" s="99" t="n">
        <f aca="false">IF(N93="MENSAL",1,IF(N93="BIMESTRAL",2,IF(N93="TRIMESTRAL",3,IF(N93="QUADRIMESTRAL",4,IF(N93="SEMESTRAL",6,IF(N93="ANUAL",12,IF(N93="BIENAL",24,"")))))))</f>
        <v>1</v>
      </c>
    </row>
    <row r="94" customFormat="false" ht="27" hidden="false" customHeight="true" outlineLevel="0" collapsed="false">
      <c r="A94" s="112" t="n">
        <v>18</v>
      </c>
      <c r="B94" s="113" t="str">
        <f aca="false">Insumos!B75</f>
        <v>Pá para lixo, material: plástico com cabo, material cabo: madeira, comprimento cabo: 60cm, tamanho:24x16,5x7cm.</v>
      </c>
      <c r="C94" s="113"/>
      <c r="D94" s="113"/>
      <c r="E94" s="91" t="str">
        <f aca="false">Insumos!C75</f>
        <v>unid.</v>
      </c>
      <c r="F94" s="92" t="str">
        <f aca="false">Insumos!D75</f>
        <v>Bettanin</v>
      </c>
      <c r="G94" s="93" t="n">
        <f aca="false">L94</f>
        <v>0.166666666666667</v>
      </c>
      <c r="H94" s="94" t="n">
        <f aca="false">G94*Insumos!G75</f>
        <v>2.18166666666667</v>
      </c>
      <c r="I94" s="95" t="str">
        <f aca="false">IF(G94&lt;L94,"Fornecimento inferior ao estimado mensalmente",IF(G94=L94,"Fornecimento igual ao estimado mensalmente",IF(G94&gt;L94,"Fornecimento superior ao estimado mensalmente",)))</f>
        <v>Fornecimento igual ao estimado mensalmente</v>
      </c>
      <c r="J94" s="95"/>
      <c r="K94" s="95"/>
      <c r="L94" s="96" t="n">
        <f aca="false">M94/O94</f>
        <v>0.166666666666667</v>
      </c>
      <c r="M94" s="114" t="n">
        <f aca="false">Insumos!E75</f>
        <v>1</v>
      </c>
      <c r="N94" s="114" t="str">
        <f aca="false">Insumos!F75</f>
        <v>semestral</v>
      </c>
      <c r="O94" s="99" t="n">
        <f aca="false">IF(N94="MENSAL",1,IF(N94="BIMESTRAL",2,IF(N94="TRIMESTRAL",3,IF(N94="QUADRIMESTRAL",4,IF(N94="SEMESTRAL",6,IF(N94="ANUAL",12,IF(N94="BIENAL",24,"")))))))</f>
        <v>6</v>
      </c>
    </row>
    <row r="95" customFormat="false" ht="27" hidden="false" customHeight="true" outlineLevel="0" collapsed="false">
      <c r="A95" s="112" t="n">
        <v>19</v>
      </c>
      <c r="B95" s="113" t="str">
        <f aca="false">Insumos!B76</f>
        <v>Pano de copa aberto 100% dimensões mínimas 40x60cm</v>
      </c>
      <c r="C95" s="113"/>
      <c r="D95" s="113"/>
      <c r="E95" s="91" t="str">
        <f aca="false">Insumos!C76</f>
        <v>unid.</v>
      </c>
      <c r="F95" s="92" t="str">
        <f aca="false">Insumos!D76</f>
        <v>Karsten</v>
      </c>
      <c r="G95" s="93" t="n">
        <f aca="false">L95</f>
        <v>5</v>
      </c>
      <c r="H95" s="94" t="n">
        <f aca="false">G95*Insumos!G76</f>
        <v>50</v>
      </c>
      <c r="I95" s="95" t="str">
        <f aca="false">IF(G95&lt;L95,"Fornecimento inferior ao estimado mensalmente",IF(G95=L95,"Fornecimento igual ao estimado mensalmente",IF(G95&gt;L95,"Fornecimento superior ao estimado mensalmente",)))</f>
        <v>Fornecimento igual ao estimado mensalmente</v>
      </c>
      <c r="J95" s="95"/>
      <c r="K95" s="95"/>
      <c r="L95" s="96" t="n">
        <f aca="false">M95/O95</f>
        <v>5</v>
      </c>
      <c r="M95" s="114" t="n">
        <f aca="false">Insumos!E76</f>
        <v>5</v>
      </c>
      <c r="N95" s="114" t="str">
        <f aca="false">Insumos!F76</f>
        <v>mensal</v>
      </c>
      <c r="O95" s="99" t="n">
        <f aca="false">IF(N95="MENSAL",1,IF(N95="BIMESTRAL",2,IF(N95="TRIMESTRAL",3,IF(N95="QUADRIMESTRAL",4,IF(N95="SEMESTRAL",6,IF(N95="ANUAL",12,IF(N95="BIENAL",24,"")))))))</f>
        <v>1</v>
      </c>
    </row>
    <row r="96" customFormat="false" ht="27" hidden="false" customHeight="true" outlineLevel="0" collapsed="false">
      <c r="A96" s="112" t="n">
        <v>20</v>
      </c>
      <c r="B96" s="113" t="str">
        <f aca="false">Insumos!B77</f>
        <v>Rodo plástico push 60cm com borracha dupla cabo 120cm. Especificação: com cepa de polipropileno; propriedades mínimas; cepa medindo 60cm de comprimento; eva; duplo; com espessura 3,5mm(+/- 0,05mm); cepa pesando 230g, cabo de madeira (cedrinho) revestido de polipropileno; 120cm gancho de polietileno de alta densidade; rosca de polietileno de baixa densidade; embalado em embalagem apropriada.</v>
      </c>
      <c r="C96" s="113"/>
      <c r="D96" s="113"/>
      <c r="E96" s="91" t="str">
        <f aca="false">Insumos!C77</f>
        <v>unid.</v>
      </c>
      <c r="F96" s="92" t="str">
        <f aca="false">Insumos!D77</f>
        <v>Brubalar</v>
      </c>
      <c r="G96" s="93" t="n">
        <f aca="false">L96</f>
        <v>0.166666666666667</v>
      </c>
      <c r="H96" s="94" t="n">
        <f aca="false">G96*Insumos!G77</f>
        <v>4.27833333333333</v>
      </c>
      <c r="I96" s="95" t="str">
        <f aca="false">IF(G96&lt;L96,"Fornecimento inferior ao estimado mensalmente",IF(G96=L96,"Fornecimento igual ao estimado mensalmente",IF(G96&gt;L96,"Fornecimento superior ao estimado mensalmente",)))</f>
        <v>Fornecimento igual ao estimado mensalmente</v>
      </c>
      <c r="J96" s="95"/>
      <c r="K96" s="95"/>
      <c r="L96" s="96" t="n">
        <f aca="false">M96/O96</f>
        <v>0.166666666666667</v>
      </c>
      <c r="M96" s="114" t="n">
        <f aca="false">Insumos!E77</f>
        <v>1</v>
      </c>
      <c r="N96" s="114" t="str">
        <f aca="false">Insumos!F77</f>
        <v>semestral</v>
      </c>
      <c r="O96" s="99" t="n">
        <f aca="false">IF(N96="MENSAL",1,IF(N96="BIMESTRAL",2,IF(N96="TRIMESTRAL",3,IF(N96="QUADRIMESTRAL",4,IF(N96="SEMESTRAL",6,IF(N96="ANUAL",12,IF(N96="BIENAL",24,"")))))))</f>
        <v>6</v>
      </c>
    </row>
    <row r="97" customFormat="false" ht="27" hidden="false" customHeight="true" outlineLevel="0" collapsed="false">
      <c r="A97" s="112" t="n">
        <v>21</v>
      </c>
      <c r="B97" s="113" t="str">
        <f aca="false">Insumos!B78</f>
        <v>Sabão em barra glicerinado - cor neutra. Pacote com 5 de 200g cada unidade</v>
      </c>
      <c r="C97" s="113"/>
      <c r="D97" s="113"/>
      <c r="E97" s="91" t="str">
        <f aca="false">Insumos!C78</f>
        <v>unid.</v>
      </c>
      <c r="F97" s="92" t="str">
        <f aca="false">Insumos!D78</f>
        <v>Minuano</v>
      </c>
      <c r="G97" s="93" t="n">
        <f aca="false">L97</f>
        <v>1</v>
      </c>
      <c r="H97" s="94" t="n">
        <f aca="false">G97*Insumos!G78</f>
        <v>12</v>
      </c>
      <c r="I97" s="95" t="str">
        <f aca="false">IF(G97&lt;L97,"Fornecimento inferior ao estimado mensalmente",IF(G97=L97,"Fornecimento igual ao estimado mensalmente",IF(G97&gt;L97,"Fornecimento superior ao estimado mensalmente",)))</f>
        <v>Fornecimento igual ao estimado mensalmente</v>
      </c>
      <c r="J97" s="95"/>
      <c r="K97" s="95"/>
      <c r="L97" s="96" t="n">
        <f aca="false">M97/O97</f>
        <v>1</v>
      </c>
      <c r="M97" s="114" t="n">
        <f aca="false">Insumos!E78</f>
        <v>1</v>
      </c>
      <c r="N97" s="114" t="str">
        <f aca="false">Insumos!F78</f>
        <v>mensal</v>
      </c>
      <c r="O97" s="99" t="n">
        <f aca="false">IF(N97="MENSAL",1,IF(N97="BIMESTRAL",2,IF(N97="TRIMESTRAL",3,IF(N97="QUADRIMESTRAL",4,IF(N97="SEMESTRAL",6,IF(N97="ANUAL",12,IF(N97="BIENAL",24,"")))))))</f>
        <v>1</v>
      </c>
    </row>
    <row r="98" customFormat="false" ht="27" hidden="false" customHeight="true" outlineLevel="0" collapsed="false">
      <c r="A98" s="112" t="n">
        <v>22</v>
      </c>
      <c r="B98" s="113" t="str">
        <f aca="false">Insumos!B79</f>
        <v>Saco De Algodão Tipo: Alvejado, Tamanho: 60 X 80 CM, Cor: Branco, Características Adicionais: Dupla Face</v>
      </c>
      <c r="C98" s="113"/>
      <c r="D98" s="113"/>
      <c r="E98" s="91" t="str">
        <f aca="false">Insumos!C79</f>
        <v>unid.</v>
      </c>
      <c r="F98" s="92" t="str">
        <f aca="false">Insumos!D79</f>
        <v>Uzzilim</v>
      </c>
      <c r="G98" s="93" t="n">
        <f aca="false">L98</f>
        <v>4</v>
      </c>
      <c r="H98" s="94" t="n">
        <f aca="false">G98*Insumos!G79</f>
        <v>32.92</v>
      </c>
      <c r="I98" s="95" t="str">
        <f aca="false">IF(G98&lt;L98,"Fornecimento inferior ao estimado mensalmente",IF(G98=L98,"Fornecimento igual ao estimado mensalmente",IF(G98&gt;L98,"Fornecimento superior ao estimado mensalmente",)))</f>
        <v>Fornecimento igual ao estimado mensalmente</v>
      </c>
      <c r="J98" s="95"/>
      <c r="K98" s="95"/>
      <c r="L98" s="96" t="n">
        <f aca="false">M98/O98</f>
        <v>4</v>
      </c>
      <c r="M98" s="114" t="n">
        <f aca="false">Insumos!E79</f>
        <v>4</v>
      </c>
      <c r="N98" s="114" t="str">
        <f aca="false">Insumos!F79</f>
        <v>mensal</v>
      </c>
      <c r="O98" s="99" t="n">
        <f aca="false">IF(N98="MENSAL",1,IF(N98="BIMESTRAL",2,IF(N98="TRIMESTRAL",3,IF(N98="QUADRIMESTRAL",4,IF(N98="SEMESTRAL",6,IF(N98="ANUAL",12,IF(N98="BIENAL",24,"")))))))</f>
        <v>1</v>
      </c>
    </row>
    <row r="99" customFormat="false" ht="27" hidden="false" customHeight="true" outlineLevel="0" collapsed="false">
      <c r="A99" s="83" t="s">
        <v>68</v>
      </c>
      <c r="B99" s="83"/>
      <c r="C99" s="83"/>
      <c r="D99" s="83"/>
      <c r="E99" s="83"/>
      <c r="F99" s="83"/>
      <c r="G99" s="83"/>
      <c r="H99" s="115" t="n">
        <f aca="false">SUM(H77:H98)</f>
        <v>347.639166666667</v>
      </c>
      <c r="I99" s="68"/>
      <c r="J99" s="68"/>
      <c r="K99" s="1"/>
      <c r="L99" s="82"/>
      <c r="M99" s="82"/>
      <c r="N99" s="82"/>
      <c r="U99" s="1"/>
    </row>
    <row r="100" customFormat="false" ht="27" hidden="false" customHeight="true" outlineLevel="0" collapsed="false">
      <c r="A100" s="103" t="s">
        <v>69</v>
      </c>
      <c r="B100" s="103"/>
      <c r="C100" s="103"/>
      <c r="D100" s="103"/>
      <c r="E100" s="103"/>
      <c r="F100" s="103"/>
      <c r="G100" s="104" t="n">
        <f aca="false">Dados!$G$43</f>
        <v>0.03</v>
      </c>
      <c r="H100" s="105" t="n">
        <f aca="false">ROUND((H99*G100),2)</f>
        <v>10.43</v>
      </c>
      <c r="I100" s="82"/>
      <c r="J100" s="82"/>
      <c r="K100" s="1"/>
      <c r="L100" s="82"/>
      <c r="M100" s="82"/>
      <c r="N100" s="82"/>
      <c r="U100" s="1"/>
    </row>
    <row r="101" customFormat="false" ht="27" hidden="false" customHeight="true" outlineLevel="0" collapsed="false">
      <c r="A101" s="103" t="s">
        <v>70</v>
      </c>
      <c r="B101" s="103"/>
      <c r="C101" s="103"/>
      <c r="D101" s="103"/>
      <c r="E101" s="103"/>
      <c r="F101" s="103"/>
      <c r="G101" s="104" t="n">
        <f aca="false">Dados!$G$44</f>
        <v>0.0679</v>
      </c>
      <c r="H101" s="105" t="n">
        <f aca="false">ROUND((SUM(H99:H100)*G101),2)</f>
        <v>24.31</v>
      </c>
      <c r="I101" s="82"/>
      <c r="J101" s="82"/>
      <c r="K101" s="1"/>
      <c r="L101" s="82"/>
      <c r="M101" s="82"/>
      <c r="N101" s="82"/>
      <c r="U101" s="1"/>
    </row>
    <row r="102" customFormat="false" ht="27" hidden="false" customHeight="true" outlineLevel="0" collapsed="false">
      <c r="A102" s="103" t="s">
        <v>71</v>
      </c>
      <c r="B102" s="103"/>
      <c r="C102" s="103"/>
      <c r="D102" s="103"/>
      <c r="E102" s="103"/>
      <c r="F102" s="103"/>
      <c r="G102" s="104" t="n">
        <f aca="false">Dados!$G$55</f>
        <v>0.1425</v>
      </c>
      <c r="H102" s="105" t="n">
        <f aca="false">ROUND((H103*G102),2)</f>
        <v>63.54</v>
      </c>
      <c r="I102" s="82"/>
      <c r="J102" s="82"/>
      <c r="K102" s="1"/>
      <c r="L102" s="82"/>
      <c r="M102" s="82"/>
      <c r="N102" s="82"/>
      <c r="U102" s="1"/>
    </row>
    <row r="103" customFormat="false" ht="27" hidden="false" customHeight="true" outlineLevel="0" collapsed="false">
      <c r="A103" s="106" t="s">
        <v>74</v>
      </c>
      <c r="B103" s="106"/>
      <c r="C103" s="106"/>
      <c r="D103" s="106"/>
      <c r="E103" s="106"/>
      <c r="F103" s="106"/>
      <c r="G103" s="106"/>
      <c r="H103" s="107" t="n">
        <f aca="false">ROUND((SUM(H99:H101)/(1-G102)),2)</f>
        <v>445.92</v>
      </c>
      <c r="I103" s="82"/>
      <c r="J103" s="82"/>
      <c r="K103" s="1"/>
      <c r="L103" s="82"/>
      <c r="M103" s="82"/>
      <c r="N103" s="82"/>
      <c r="U103" s="1"/>
    </row>
    <row r="104" customFormat="false" ht="27" hidden="false" customHeight="true" outlineLevel="0" collapsed="false">
      <c r="A104" s="76"/>
      <c r="B104" s="82"/>
      <c r="C104" s="82"/>
      <c r="D104" s="82"/>
      <c r="E104" s="82"/>
      <c r="F104" s="82"/>
      <c r="G104" s="76"/>
      <c r="H104" s="108"/>
      <c r="I104" s="82"/>
      <c r="J104" s="82"/>
      <c r="K104" s="1"/>
      <c r="L104" s="82"/>
      <c r="M104" s="82"/>
      <c r="N104" s="82"/>
      <c r="U104" s="1"/>
    </row>
    <row r="105" customFormat="false" ht="27" hidden="false" customHeight="true" outlineLevel="0" collapsed="false">
      <c r="L105" s="1"/>
      <c r="M105" s="1"/>
      <c r="P105" s="3"/>
      <c r="Q105" s="3"/>
      <c r="U105" s="1"/>
    </row>
    <row r="107" customFormat="false" ht="27" hidden="false" customHeight="true" outlineLevel="0" collapsed="false">
      <c r="B107" s="116" t="s">
        <v>75</v>
      </c>
      <c r="C107" s="116"/>
    </row>
    <row r="108" customFormat="false" ht="27" hidden="false" customHeight="true" outlineLevel="0" collapsed="false">
      <c r="B108" s="117" t="s">
        <v>76</v>
      </c>
      <c r="C108" s="118" t="n">
        <v>22</v>
      </c>
      <c r="D108" s="1" t="s">
        <v>77</v>
      </c>
    </row>
    <row r="109" customFormat="false" ht="27" hidden="false" customHeight="true" outlineLevel="0" collapsed="false">
      <c r="B109" s="117" t="s">
        <v>3</v>
      </c>
      <c r="C109" s="119" t="n">
        <v>30</v>
      </c>
      <c r="D109" s="1" t="s">
        <v>78</v>
      </c>
    </row>
    <row r="110" customFormat="false" ht="27" hidden="false" customHeight="true" outlineLevel="0" collapsed="false">
      <c r="B110" s="117" t="s">
        <v>79</v>
      </c>
      <c r="C110" s="119" t="s">
        <v>80</v>
      </c>
      <c r="D110" s="1" t="s">
        <v>81</v>
      </c>
    </row>
    <row r="112" customFormat="false" ht="27" hidden="false" customHeight="true" outlineLevel="0" collapsed="false">
      <c r="B112" s="117" t="s">
        <v>82</v>
      </c>
      <c r="C112" s="117" t="s">
        <v>83</v>
      </c>
    </row>
    <row r="113" customFormat="false" ht="27" hidden="false" customHeight="true" outlineLevel="0" collapsed="false">
      <c r="B113" s="117" t="n">
        <v>220</v>
      </c>
      <c r="C113" s="117" t="n">
        <v>8.8</v>
      </c>
    </row>
    <row r="114" customFormat="false" ht="27" hidden="false" customHeight="true" outlineLevel="0" collapsed="false">
      <c r="B114" s="117" t="n">
        <v>200</v>
      </c>
      <c r="C114" s="117" t="n">
        <v>8</v>
      </c>
    </row>
    <row r="115" customFormat="false" ht="27" hidden="false" customHeight="true" outlineLevel="0" collapsed="false">
      <c r="B115" s="117" t="n">
        <v>180</v>
      </c>
      <c r="C115" s="117" t="n">
        <v>7.2</v>
      </c>
    </row>
    <row r="116" customFormat="false" ht="27" hidden="false" customHeight="true" outlineLevel="0" collapsed="false">
      <c r="B116" s="117" t="n">
        <v>150</v>
      </c>
      <c r="C116" s="117" t="n">
        <v>6</v>
      </c>
    </row>
    <row r="117" customFormat="false" ht="27" hidden="false" customHeight="true" outlineLevel="0" collapsed="false">
      <c r="B117" s="117" t="n">
        <v>120</v>
      </c>
      <c r="C117" s="117" t="n">
        <v>4.8</v>
      </c>
    </row>
    <row r="118" customFormat="false" ht="27" hidden="false" customHeight="true" outlineLevel="0" collapsed="false">
      <c r="B118" s="117" t="n">
        <v>100</v>
      </c>
      <c r="C118" s="117" t="n">
        <v>4</v>
      </c>
    </row>
    <row r="119" customFormat="false" ht="27" hidden="false" customHeight="true" outlineLevel="0" collapsed="false">
      <c r="B119" s="117" t="n">
        <v>75</v>
      </c>
      <c r="C119" s="117" t="n">
        <v>3</v>
      </c>
    </row>
    <row r="121" customFormat="false" ht="27" hidden="false" customHeight="true" outlineLevel="0" collapsed="false">
      <c r="B121" s="117" t="s">
        <v>84</v>
      </c>
    </row>
    <row r="122" customFormat="false" ht="27" hidden="false" customHeight="true" outlineLevel="0" collapsed="false">
      <c r="B122" s="120" t="n">
        <v>0</v>
      </c>
    </row>
    <row r="123" customFormat="false" ht="27" hidden="false" customHeight="true" outlineLevel="0" collapsed="false">
      <c r="B123" s="120" t="n">
        <v>1</v>
      </c>
    </row>
    <row r="124" customFormat="false" ht="27" hidden="false" customHeight="true" outlineLevel="0" collapsed="false">
      <c r="B124" s="120" t="n">
        <v>2</v>
      </c>
    </row>
  </sheetData>
  <sheetProtection algorithmName="SHA-512" hashValue="p+slDzJXa2i5xCTswMqweax6/yPoBamwp5M8dUBj0QhhTkebehtGopyfs3qaOz9tezicVaOhQVIIsQB9+fOnmg==" saltValue="k8+vam1iA4Tf/igL88rwlA==" spinCount="100000" sheet="true" objects="true" scenarios="true"/>
  <mergeCells count="177">
    <mergeCell ref="C2:R2"/>
    <mergeCell ref="C3:R3"/>
    <mergeCell ref="A5:C5"/>
    <mergeCell ref="A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U9"/>
    <mergeCell ref="A15:G15"/>
    <mergeCell ref="I15:J15"/>
    <mergeCell ref="A18:B19"/>
    <mergeCell ref="A20:F21"/>
    <mergeCell ref="A24:A25"/>
    <mergeCell ref="B24:E24"/>
    <mergeCell ref="F24:H24"/>
    <mergeCell ref="I24:K25"/>
    <mergeCell ref="L24:O24"/>
    <mergeCell ref="B25:D25"/>
    <mergeCell ref="B26:D26"/>
    <mergeCell ref="I26:K26"/>
    <mergeCell ref="B27:D27"/>
    <mergeCell ref="I27:K27"/>
    <mergeCell ref="B28:D28"/>
    <mergeCell ref="I28:K28"/>
    <mergeCell ref="B29:D29"/>
    <mergeCell ref="I29:K29"/>
    <mergeCell ref="B30:D30"/>
    <mergeCell ref="I30:K30"/>
    <mergeCell ref="B31:D31"/>
    <mergeCell ref="I31:K31"/>
    <mergeCell ref="B32:D32"/>
    <mergeCell ref="I32:K32"/>
    <mergeCell ref="B33:D33"/>
    <mergeCell ref="I33:K33"/>
    <mergeCell ref="B34:D34"/>
    <mergeCell ref="I34:K34"/>
    <mergeCell ref="B35:D35"/>
    <mergeCell ref="I35:K35"/>
    <mergeCell ref="B36:D36"/>
    <mergeCell ref="I36:K36"/>
    <mergeCell ref="B37:D37"/>
    <mergeCell ref="I37:K37"/>
    <mergeCell ref="B38:D38"/>
    <mergeCell ref="I38:K38"/>
    <mergeCell ref="B39:D39"/>
    <mergeCell ref="I39:K39"/>
    <mergeCell ref="B40:D40"/>
    <mergeCell ref="I40:K40"/>
    <mergeCell ref="B41:D41"/>
    <mergeCell ref="I41:K41"/>
    <mergeCell ref="B42:D42"/>
    <mergeCell ref="I42:K42"/>
    <mergeCell ref="B43:D43"/>
    <mergeCell ref="I43:K43"/>
    <mergeCell ref="B44:D44"/>
    <mergeCell ref="I44:K44"/>
    <mergeCell ref="B45:D45"/>
    <mergeCell ref="I45:K45"/>
    <mergeCell ref="B46:D46"/>
    <mergeCell ref="I46:K46"/>
    <mergeCell ref="B47:D47"/>
    <mergeCell ref="I47:K47"/>
    <mergeCell ref="B48:D48"/>
    <mergeCell ref="I48:K48"/>
    <mergeCell ref="B49:D49"/>
    <mergeCell ref="I49:K49"/>
    <mergeCell ref="B50:D50"/>
    <mergeCell ref="I50:K50"/>
    <mergeCell ref="B51:D51"/>
    <mergeCell ref="I51:K51"/>
    <mergeCell ref="B52:D52"/>
    <mergeCell ref="I52:K52"/>
    <mergeCell ref="B53:D53"/>
    <mergeCell ref="I53:K53"/>
    <mergeCell ref="B54:D54"/>
    <mergeCell ref="I54:K54"/>
    <mergeCell ref="B55:D55"/>
    <mergeCell ref="I55:K55"/>
    <mergeCell ref="B56:D56"/>
    <mergeCell ref="I56:K56"/>
    <mergeCell ref="B57:D57"/>
    <mergeCell ref="I57:K57"/>
    <mergeCell ref="B58:D58"/>
    <mergeCell ref="I58:K58"/>
    <mergeCell ref="B59:D59"/>
    <mergeCell ref="I59:K59"/>
    <mergeCell ref="B60:D60"/>
    <mergeCell ref="I60:K60"/>
    <mergeCell ref="B61:D61"/>
    <mergeCell ref="I61:K61"/>
    <mergeCell ref="B62:D62"/>
    <mergeCell ref="I62:K62"/>
    <mergeCell ref="B63:D63"/>
    <mergeCell ref="I63:K63"/>
    <mergeCell ref="B64:D64"/>
    <mergeCell ref="I64:K64"/>
    <mergeCell ref="B65:D65"/>
    <mergeCell ref="I65:K65"/>
    <mergeCell ref="B66:D66"/>
    <mergeCell ref="I66:K66"/>
    <mergeCell ref="B67:D67"/>
    <mergeCell ref="I67:K67"/>
    <mergeCell ref="B68:D68"/>
    <mergeCell ref="I68:K68"/>
    <mergeCell ref="A69:G69"/>
    <mergeCell ref="A70:F70"/>
    <mergeCell ref="A71:F71"/>
    <mergeCell ref="A72:F72"/>
    <mergeCell ref="A73:G73"/>
    <mergeCell ref="A75:A76"/>
    <mergeCell ref="B75:E75"/>
    <mergeCell ref="F75:H75"/>
    <mergeCell ref="I75:K76"/>
    <mergeCell ref="L75:O75"/>
    <mergeCell ref="B76:D76"/>
    <mergeCell ref="B77:D77"/>
    <mergeCell ref="I77:K77"/>
    <mergeCell ref="B78:D78"/>
    <mergeCell ref="I78:K78"/>
    <mergeCell ref="B79:D79"/>
    <mergeCell ref="I79:K79"/>
    <mergeCell ref="B80:D80"/>
    <mergeCell ref="I80:K80"/>
    <mergeCell ref="B81:D81"/>
    <mergeCell ref="I81:K81"/>
    <mergeCell ref="B82:D82"/>
    <mergeCell ref="I82:K82"/>
    <mergeCell ref="B83:D83"/>
    <mergeCell ref="I83:K83"/>
    <mergeCell ref="B84:D84"/>
    <mergeCell ref="I84:K84"/>
    <mergeCell ref="B85:D85"/>
    <mergeCell ref="I85:K85"/>
    <mergeCell ref="B86:D86"/>
    <mergeCell ref="I86:K86"/>
    <mergeCell ref="B87:D87"/>
    <mergeCell ref="I87:K87"/>
    <mergeCell ref="B88:D88"/>
    <mergeCell ref="I88:K88"/>
    <mergeCell ref="B89:D89"/>
    <mergeCell ref="I89:K89"/>
    <mergeCell ref="B90:D90"/>
    <mergeCell ref="I90:K90"/>
    <mergeCell ref="B91:D91"/>
    <mergeCell ref="I91:K91"/>
    <mergeCell ref="B92:D92"/>
    <mergeCell ref="I92:K92"/>
    <mergeCell ref="B93:D93"/>
    <mergeCell ref="I93:K93"/>
    <mergeCell ref="B94:D94"/>
    <mergeCell ref="I94:K94"/>
    <mergeCell ref="B95:D95"/>
    <mergeCell ref="I95:K95"/>
    <mergeCell ref="B96:D96"/>
    <mergeCell ref="I96:K96"/>
    <mergeCell ref="B97:D97"/>
    <mergeCell ref="I97:K97"/>
    <mergeCell ref="B98:D98"/>
    <mergeCell ref="I98:K98"/>
    <mergeCell ref="A99:G99"/>
    <mergeCell ref="A100:F100"/>
    <mergeCell ref="A101:F101"/>
    <mergeCell ref="A102:F102"/>
    <mergeCell ref="A103:G103"/>
    <mergeCell ref="B107:C107"/>
  </mergeCells>
  <conditionalFormatting sqref="I26:I68 I77:I98">
    <cfRule type="containsText" priority="2" operator="containsText" aboveAverage="0" equalAverage="0" bottom="0" percent="0" rank="0" text="inferior" dxfId="0">
      <formula>NOT(ISERROR(SEARCH("inferior",I26)))</formula>
    </cfRule>
    <cfRule type="containsText" priority="3" operator="containsText" aboveAverage="0" equalAverage="0" bottom="0" percent="0" rank="0" text="superior" dxfId="1">
      <formula>NOT(ISERROR(SEARCH("superior",I26)))</formula>
    </cfRule>
  </conditionalFormatting>
  <dataValidations count="6">
    <dataValidation allowBlank="true" errorStyle="stop" operator="between" showDropDown="false" showErrorMessage="true" showInputMessage="true" sqref="N26:N68" type="list">
      <formula1>"Mensal,Bimestral,Trimestral,Quadrimestral,Semestral,Anual,Bienal"</formula1>
      <formula2>0</formula2>
    </dataValidation>
    <dataValidation allowBlank="true" errorStyle="stop" operator="between" showDropDown="false" showErrorMessage="true" showInputMessage="true" sqref="C19" type="list">
      <formula1>$B$113:$B$119</formula1>
      <formula2>0</formula2>
    </dataValidation>
    <dataValidation allowBlank="true" errorStyle="stop" operator="between" showDropDown="false" showErrorMessage="true" showInputMessage="true" sqref="D14" type="list">
      <formula1>$B$122:$B$124</formula1>
      <formula2>0</formula2>
    </dataValidation>
    <dataValidation allowBlank="true" errorStyle="stop" operator="between" showDropDown="false" showErrorMessage="true" showInputMessage="true" sqref="D5" type="list">
      <formula1>$B$108:$B$110</formula1>
      <formula2>0</formula2>
    </dataValidation>
    <dataValidation allowBlank="true" errorStyle="stop" operator="between" showDropDown="false" showErrorMessage="true" showInputMessage="true" sqref="E11:E14" type="list">
      <formula1>"SIM,NÃO"</formula1>
      <formula2>0</formula2>
    </dataValidation>
    <dataValidation allowBlank="true" errorStyle="stop" operator="between" showDropDown="false" showErrorMessage="true" showInputMessage="true" sqref="D11:D13" type="list">
      <formula1>$B$122:$B$123</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8"/>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6796875" defaultRowHeight="14.25" zeroHeight="false" outlineLevelRow="0" outlineLevelCol="0"/>
  <cols>
    <col collapsed="false" customWidth="true" hidden="false" outlineLevel="0" max="1" min="1" style="82" width="10.56"/>
    <col collapsed="false" customWidth="true" hidden="false" outlineLevel="0" max="2" min="2" style="82" width="27.67"/>
    <col collapsed="false" customWidth="true" hidden="false" outlineLevel="0" max="3" min="3" style="82" width="14.44"/>
    <col collapsed="false" customWidth="true" hidden="false" outlineLevel="0" max="5" min="4" style="82" width="15"/>
    <col collapsed="false" customWidth="true" hidden="false" outlineLevel="0" max="6" min="6" style="549" width="16.67"/>
    <col collapsed="false" customWidth="true" hidden="false" outlineLevel="0" max="8" min="7" style="549" width="13.11"/>
    <col collapsed="false" customWidth="true" hidden="false" outlineLevel="0" max="10" min="9" style="549" width="12.56"/>
    <col collapsed="false" customWidth="true" hidden="false" outlineLevel="0" max="257" min="11" style="82" width="9.11"/>
    <col collapsed="false" customWidth="true" hidden="false" outlineLevel="0" max="258" min="258" style="82" width="10.56"/>
    <col collapsed="false" customWidth="true" hidden="false" outlineLevel="0" max="259" min="259" style="82" width="27.67"/>
    <col collapsed="false" customWidth="true" hidden="false" outlineLevel="0" max="260" min="260" style="82" width="14.44"/>
    <col collapsed="false" customWidth="true" hidden="false" outlineLevel="0" max="262" min="261" style="82" width="15"/>
    <col collapsed="false" customWidth="true" hidden="false" outlineLevel="0" max="263" min="263" style="82" width="16.67"/>
    <col collapsed="false" customWidth="true" hidden="false" outlineLevel="0" max="264" min="264" style="82" width="13.11"/>
    <col collapsed="false" customWidth="true" hidden="false" outlineLevel="0" max="266" min="265" style="82" width="12.56"/>
    <col collapsed="false" customWidth="true" hidden="false" outlineLevel="0" max="513" min="267" style="82" width="9.11"/>
    <col collapsed="false" customWidth="true" hidden="false" outlineLevel="0" max="514" min="514" style="82" width="10.56"/>
    <col collapsed="false" customWidth="true" hidden="false" outlineLevel="0" max="515" min="515" style="82" width="27.67"/>
    <col collapsed="false" customWidth="true" hidden="false" outlineLevel="0" max="516" min="516" style="82" width="14.44"/>
    <col collapsed="false" customWidth="true" hidden="false" outlineLevel="0" max="518" min="517" style="82" width="15"/>
    <col collapsed="false" customWidth="true" hidden="false" outlineLevel="0" max="519" min="519" style="82" width="16.67"/>
    <col collapsed="false" customWidth="true" hidden="false" outlineLevel="0" max="520" min="520" style="82" width="13.11"/>
    <col collapsed="false" customWidth="true" hidden="false" outlineLevel="0" max="522" min="521" style="82" width="12.56"/>
    <col collapsed="false" customWidth="true" hidden="false" outlineLevel="0" max="769" min="523" style="82" width="9.11"/>
    <col collapsed="false" customWidth="true" hidden="false" outlineLevel="0" max="770" min="770" style="82" width="10.56"/>
    <col collapsed="false" customWidth="true" hidden="false" outlineLevel="0" max="771" min="771" style="82" width="27.67"/>
    <col collapsed="false" customWidth="true" hidden="false" outlineLevel="0" max="772" min="772" style="82" width="14.44"/>
    <col collapsed="false" customWidth="true" hidden="false" outlineLevel="0" max="774" min="773" style="82" width="15"/>
    <col collapsed="false" customWidth="true" hidden="false" outlineLevel="0" max="775" min="775" style="82" width="16.67"/>
    <col collapsed="false" customWidth="true" hidden="false" outlineLevel="0" max="776" min="776" style="82" width="13.11"/>
    <col collapsed="false" customWidth="true" hidden="false" outlineLevel="0" max="778" min="777" style="82" width="12.56"/>
    <col collapsed="false" customWidth="true" hidden="false" outlineLevel="0" max="1025" min="779" style="82" width="9.11"/>
  </cols>
  <sheetData>
    <row r="1" customFormat="false" ht="14.25" hidden="false" customHeight="false" outlineLevel="0" collapsed="false">
      <c r="A1" s="550"/>
      <c r="B1" s="123" t="str">
        <f aca="false">INSTRUÇÕES!B1</f>
        <v>Tribunal Regional Federal da 6ª Região</v>
      </c>
      <c r="C1" s="551"/>
      <c r="D1" s="551"/>
      <c r="E1" s="551"/>
      <c r="F1" s="552"/>
      <c r="G1" s="553"/>
      <c r="H1" s="553"/>
      <c r="I1" s="552"/>
      <c r="J1" s="554"/>
    </row>
    <row r="2" customFormat="false" ht="14.25" hidden="false" customHeight="false" outlineLevel="0" collapsed="false">
      <c r="A2" s="555"/>
      <c r="B2" s="125" t="str">
        <f aca="false">INSTRUÇÕES!B2</f>
        <v>Seção Judiciária de Minas Gerais</v>
      </c>
      <c r="C2" s="68"/>
      <c r="D2" s="68"/>
      <c r="E2" s="68"/>
      <c r="F2" s="556"/>
      <c r="I2" s="556"/>
      <c r="J2" s="557"/>
    </row>
    <row r="3" customFormat="false" ht="14.25" hidden="false" customHeight="false" outlineLevel="0" collapsed="false">
      <c r="A3" s="207"/>
      <c r="B3" s="558" t="str">
        <f aca="false">INSTRUÇÕES!B3</f>
        <v>Subseção Judiciária de Poços de Caldas</v>
      </c>
      <c r="C3" s="68"/>
      <c r="D3" s="68"/>
      <c r="E3" s="68"/>
      <c r="F3" s="556"/>
      <c r="I3" s="556"/>
      <c r="J3" s="557"/>
    </row>
    <row r="4" customFormat="false" ht="19.5" hidden="false" customHeight="true" outlineLevel="0" collapsed="false">
      <c r="A4" s="529" t="s">
        <v>602</v>
      </c>
      <c r="B4" s="529"/>
      <c r="C4" s="529"/>
      <c r="D4" s="529"/>
      <c r="E4" s="529"/>
      <c r="F4" s="529"/>
      <c r="G4" s="529"/>
      <c r="H4" s="529"/>
      <c r="I4" s="529"/>
      <c r="J4" s="529"/>
    </row>
    <row r="5" customFormat="false" ht="19.5" hidden="false" customHeight="true" outlineLevel="0" collapsed="false">
      <c r="A5" s="559" t="s">
        <v>290</v>
      </c>
      <c r="B5" s="559"/>
      <c r="C5" s="559"/>
      <c r="D5" s="559"/>
      <c r="E5" s="559"/>
      <c r="F5" s="559"/>
      <c r="G5" s="559"/>
      <c r="H5" s="559"/>
      <c r="I5" s="559"/>
      <c r="J5" s="559"/>
    </row>
    <row r="6" customFormat="false" ht="36" hidden="false" customHeight="true" outlineLevel="0" collapsed="false">
      <c r="A6" s="560" t="str">
        <f aca="false">Dados!A4</f>
        <v>Sindicato utilizado - SINSERTH x SINTAPPI. Vigência: 01/04/2025 à 31/03/2026. Sendo a data base da categoria 1 de abril. Com número de registro no MTE MG001973/2025.</v>
      </c>
      <c r="B6" s="560"/>
      <c r="C6" s="560"/>
      <c r="D6" s="560"/>
      <c r="E6" s="560"/>
      <c r="F6" s="560"/>
      <c r="G6" s="560"/>
      <c r="H6" s="560"/>
      <c r="I6" s="560"/>
      <c r="J6" s="560"/>
    </row>
    <row r="7" customFormat="false" ht="19.5" hidden="false" customHeight="true" outlineLevel="0" collapsed="false">
      <c r="A7" s="561" t="str">
        <f aca="false">Dados!C7</f>
        <v>Servente de Limpeza 40% Insalubridade</v>
      </c>
      <c r="B7" s="561"/>
      <c r="C7" s="561"/>
      <c r="D7" s="561"/>
      <c r="E7" s="561"/>
      <c r="F7" s="562" t="s">
        <v>603</v>
      </c>
      <c r="G7" s="562" t="s">
        <v>604</v>
      </c>
      <c r="H7" s="562" t="s">
        <v>605</v>
      </c>
      <c r="I7" s="562" t="s">
        <v>606</v>
      </c>
      <c r="J7" s="562" t="s">
        <v>607</v>
      </c>
    </row>
    <row r="8" customFormat="false" ht="19.5" hidden="false" customHeight="true" outlineLevel="0" collapsed="false">
      <c r="A8" s="563" t="s">
        <v>608</v>
      </c>
      <c r="B8" s="563"/>
      <c r="C8" s="563"/>
      <c r="D8" s="563"/>
      <c r="E8" s="564" t="s">
        <v>498</v>
      </c>
      <c r="F8" s="562"/>
      <c r="G8" s="562"/>
      <c r="H8" s="562"/>
      <c r="I8" s="562"/>
      <c r="J8" s="562"/>
    </row>
    <row r="9" customFormat="false" ht="19.5" hidden="false" customHeight="true" outlineLevel="0" collapsed="false">
      <c r="A9" s="565" t="s">
        <v>609</v>
      </c>
      <c r="B9" s="565"/>
      <c r="C9" s="565"/>
      <c r="D9" s="565"/>
      <c r="E9" s="565"/>
      <c r="F9" s="565"/>
      <c r="G9" s="565"/>
      <c r="H9" s="565"/>
      <c r="I9" s="565"/>
      <c r="J9" s="565"/>
    </row>
    <row r="10" customFormat="false" ht="24" hidden="false" customHeight="true" outlineLevel="0" collapsed="false">
      <c r="A10" s="216" t="s">
        <v>499</v>
      </c>
      <c r="B10" s="566" t="s">
        <v>610</v>
      </c>
      <c r="C10" s="566"/>
      <c r="D10" s="567" t="s">
        <v>611</v>
      </c>
      <c r="E10" s="568" t="s">
        <v>612</v>
      </c>
      <c r="F10" s="569" t="s">
        <v>502</v>
      </c>
      <c r="G10" s="569"/>
      <c r="H10" s="569"/>
      <c r="I10" s="569"/>
      <c r="J10" s="569"/>
    </row>
    <row r="11" customFormat="false" ht="19.5" hidden="false" customHeight="true" outlineLevel="0" collapsed="false">
      <c r="A11" s="570" t="n">
        <v>1</v>
      </c>
      <c r="B11" s="571" t="str">
        <f aca="false">A7</f>
        <v>Servente de Limpeza 40% Insalubridade</v>
      </c>
      <c r="C11" s="571"/>
      <c r="D11" s="39" t="n">
        <f aca="false">Dados!D7</f>
        <v>220</v>
      </c>
      <c r="E11" s="572" t="n">
        <f aca="false">Dados!E7</f>
        <v>1633.68</v>
      </c>
      <c r="F11" s="573" t="n">
        <f aca="false">ROUND(E11/220*D11,2)</f>
        <v>1633.68</v>
      </c>
      <c r="G11" s="573" t="n">
        <f aca="false">F11</f>
        <v>1633.68</v>
      </c>
      <c r="H11" s="573"/>
      <c r="I11" s="573"/>
      <c r="J11" s="574"/>
    </row>
    <row r="12" customFormat="false" ht="19.5" hidden="false" customHeight="true" outlineLevel="0" collapsed="false">
      <c r="A12" s="570"/>
      <c r="B12" s="571" t="s">
        <v>613</v>
      </c>
      <c r="C12" s="571"/>
      <c r="D12" s="575" t="n">
        <f aca="false">Dados!G7</f>
        <v>0.4</v>
      </c>
      <c r="E12" s="572" t="n">
        <f aca="false">Dados!G27</f>
        <v>1518</v>
      </c>
      <c r="F12" s="573" t="n">
        <f aca="false">D12*E12</f>
        <v>607.2</v>
      </c>
      <c r="G12" s="573" t="n">
        <f aca="false">F12</f>
        <v>607.2</v>
      </c>
      <c r="H12" s="573"/>
      <c r="I12" s="573"/>
      <c r="J12" s="574" t="n">
        <f aca="false">F12</f>
        <v>607.2</v>
      </c>
    </row>
    <row r="13" customFormat="false" ht="20.25" hidden="false" customHeight="true" outlineLevel="0" collapsed="false">
      <c r="A13" s="570"/>
      <c r="B13" s="576" t="s">
        <v>614</v>
      </c>
      <c r="C13" s="577" t="n">
        <f aca="false">Dados!I7</f>
        <v>0</v>
      </c>
      <c r="D13" s="577" t="n">
        <f aca="false">Dados!J7</f>
        <v>0</v>
      </c>
      <c r="E13" s="578" t="n">
        <f aca="false">Dados!K9</f>
        <v>0</v>
      </c>
      <c r="F13" s="579" t="n">
        <f aca="false">ROUND((E13*D13*C13),2)</f>
        <v>0</v>
      </c>
      <c r="G13" s="579" t="n">
        <f aca="false">F13</f>
        <v>0</v>
      </c>
      <c r="H13" s="579"/>
      <c r="I13" s="579"/>
      <c r="J13" s="580"/>
    </row>
    <row r="14" customFormat="false" ht="19.5" hidden="false" customHeight="true" outlineLevel="0" collapsed="false">
      <c r="A14" s="570"/>
      <c r="B14" s="581" t="s">
        <v>615</v>
      </c>
      <c r="C14" s="581"/>
      <c r="D14" s="581"/>
      <c r="E14" s="581"/>
      <c r="F14" s="582" t="n">
        <f aca="false">SUM(F11:F13)</f>
        <v>2240.88</v>
      </c>
      <c r="G14" s="582" t="n">
        <f aca="false">SUM(G11:G13)</f>
        <v>2240.88</v>
      </c>
      <c r="H14" s="582" t="n">
        <f aca="false">SUM(H11:H13)</f>
        <v>0</v>
      </c>
      <c r="I14" s="582" t="n">
        <f aca="false">SUM(I11:I13)</f>
        <v>0</v>
      </c>
      <c r="J14" s="583" t="n">
        <f aca="false">SUM(J11:J13)</f>
        <v>607.2</v>
      </c>
    </row>
    <row r="15" customFormat="false" ht="19.5" hidden="false" customHeight="true" outlineLevel="0" collapsed="false">
      <c r="A15" s="570"/>
      <c r="B15" s="584" t="s">
        <v>616</v>
      </c>
      <c r="C15" s="584"/>
      <c r="D15" s="584"/>
      <c r="E15" s="585" t="n">
        <f aca="false">Encargos!$C$57</f>
        <v>0.764</v>
      </c>
      <c r="F15" s="573" t="n">
        <f aca="false">ROUND((E15*F14),2)</f>
        <v>1712.03</v>
      </c>
      <c r="G15" s="573" t="n">
        <f aca="false">F15</f>
        <v>1712.03</v>
      </c>
      <c r="H15" s="573"/>
      <c r="I15" s="573"/>
      <c r="J15" s="574" t="n">
        <f aca="false">ROUND((E15*J14),2)</f>
        <v>463.9</v>
      </c>
    </row>
    <row r="16" customFormat="false" ht="19.5" hidden="false" customHeight="true" outlineLevel="0" collapsed="false">
      <c r="A16" s="586" t="s">
        <v>617</v>
      </c>
      <c r="B16" s="586"/>
      <c r="C16" s="586"/>
      <c r="D16" s="586"/>
      <c r="E16" s="586"/>
      <c r="F16" s="587" t="n">
        <f aca="false">SUM(F14:F15)</f>
        <v>3952.91</v>
      </c>
      <c r="G16" s="587" t="n">
        <f aca="false">SUM(G14:G15)</f>
        <v>3952.91</v>
      </c>
      <c r="H16" s="587" t="n">
        <f aca="false">SUM(H14:H15)</f>
        <v>0</v>
      </c>
      <c r="I16" s="587" t="n">
        <f aca="false">SUM(I14:I15)</f>
        <v>0</v>
      </c>
      <c r="J16" s="588" t="n">
        <f aca="false">SUM(J14:J15)</f>
        <v>1071.1</v>
      </c>
    </row>
    <row r="17" customFormat="false" ht="19.5" hidden="false" customHeight="true" outlineLevel="0" collapsed="false">
      <c r="A17" s="589" t="s">
        <v>618</v>
      </c>
      <c r="B17" s="589"/>
      <c r="C17" s="589"/>
      <c r="D17" s="589"/>
      <c r="E17" s="589"/>
      <c r="F17" s="589"/>
      <c r="G17" s="589"/>
      <c r="H17" s="589"/>
      <c r="I17" s="589"/>
      <c r="J17" s="589"/>
    </row>
    <row r="18" customFormat="false" ht="19.5" hidden="false" customHeight="true" outlineLevel="0" collapsed="false">
      <c r="A18" s="590" t="s">
        <v>619</v>
      </c>
      <c r="B18" s="590"/>
      <c r="C18" s="49" t="s">
        <v>501</v>
      </c>
      <c r="D18" s="591" t="s">
        <v>620</v>
      </c>
      <c r="E18" s="591"/>
      <c r="F18" s="574" t="s">
        <v>502</v>
      </c>
      <c r="G18" s="574"/>
      <c r="H18" s="574"/>
      <c r="I18" s="574"/>
      <c r="J18" s="574"/>
    </row>
    <row r="19" customFormat="false" ht="19.5" hidden="false" customHeight="true" outlineLevel="0" collapsed="false">
      <c r="A19" s="592" t="s">
        <v>621</v>
      </c>
      <c r="B19" s="592"/>
      <c r="C19" s="593"/>
      <c r="D19" s="593"/>
      <c r="E19" s="593"/>
      <c r="F19" s="573" t="n">
        <f aca="false">Dados!$N$7</f>
        <v>54.59</v>
      </c>
      <c r="G19" s="573" t="n">
        <f aca="false">F19</f>
        <v>54.59</v>
      </c>
      <c r="H19" s="573"/>
      <c r="I19" s="573"/>
      <c r="J19" s="574"/>
    </row>
    <row r="20" customFormat="false" ht="19.5" hidden="false" customHeight="true" outlineLevel="0" collapsed="false">
      <c r="A20" s="592" t="s">
        <v>622</v>
      </c>
      <c r="B20" s="592"/>
      <c r="C20" s="593"/>
      <c r="D20" s="593"/>
      <c r="E20" s="593"/>
      <c r="F20" s="573" t="n">
        <f aca="false">Dados!$G$30</f>
        <v>5.27</v>
      </c>
      <c r="G20" s="573" t="n">
        <f aca="false">F20</f>
        <v>5.27</v>
      </c>
      <c r="H20" s="573"/>
      <c r="I20" s="573"/>
      <c r="J20" s="574"/>
    </row>
    <row r="21" customFormat="false" ht="23.25" hidden="false" customHeight="true" outlineLevel="0" collapsed="false">
      <c r="A21" s="594" t="s">
        <v>220</v>
      </c>
      <c r="B21" s="594"/>
      <c r="C21" s="593"/>
      <c r="D21" s="593"/>
      <c r="E21" s="593"/>
      <c r="F21" s="573" t="n">
        <f aca="false">Dados!G31</f>
        <v>0</v>
      </c>
      <c r="G21" s="573" t="n">
        <f aca="false">F21</f>
        <v>0</v>
      </c>
      <c r="H21" s="573"/>
      <c r="I21" s="573"/>
      <c r="J21" s="574"/>
    </row>
    <row r="22" customFormat="false" ht="19.5" hidden="false" customHeight="true" outlineLevel="0" collapsed="false">
      <c r="A22" s="592" t="s">
        <v>221</v>
      </c>
      <c r="B22" s="592"/>
      <c r="C22" s="595" t="n">
        <f aca="false">Dados!$G$34</f>
        <v>22</v>
      </c>
      <c r="D22" s="595" t="n">
        <f aca="false">Dados!$G$33</f>
        <v>2</v>
      </c>
      <c r="E22" s="593" t="n">
        <f aca="false">Dados!$G$32</f>
        <v>6</v>
      </c>
      <c r="F22" s="573" t="n">
        <f aca="false">IF(ROUND((E22*D22*C22)-(F11*Dados!$G$35),2)&lt;0,0,ROUND((E22*D22*C22)-(F11*Dados!$G$35),2))</f>
        <v>165.98</v>
      </c>
      <c r="G22" s="573" t="n">
        <f aca="false">F22</f>
        <v>165.98</v>
      </c>
      <c r="H22" s="573"/>
      <c r="I22" s="573" t="n">
        <f aca="false">F22</f>
        <v>165.98</v>
      </c>
      <c r="J22" s="574"/>
    </row>
    <row r="23" customFormat="false" ht="19.5" hidden="false" customHeight="true" outlineLevel="0" collapsed="false">
      <c r="A23" s="592" t="s">
        <v>230</v>
      </c>
      <c r="B23" s="592"/>
      <c r="C23" s="595" t="n">
        <f aca="false">Dados!$G$37</f>
        <v>22</v>
      </c>
      <c r="D23" s="596" t="n">
        <f aca="false">Dados!$G$38</f>
        <v>0.2</v>
      </c>
      <c r="E23" s="593" t="n">
        <f aca="false">Dados!$G$36</f>
        <v>29</v>
      </c>
      <c r="F23" s="327" t="n">
        <f aca="false">ROUND((IF(D11&gt;150,((C23*E23)-(C23*(D23*E23))),0)),2)</f>
        <v>510.4</v>
      </c>
      <c r="G23" s="573" t="n">
        <f aca="false">F23</f>
        <v>510.4</v>
      </c>
      <c r="H23" s="573" t="n">
        <f aca="false">$F$23</f>
        <v>510.4</v>
      </c>
      <c r="I23" s="327"/>
      <c r="J23" s="574"/>
    </row>
    <row r="24" customFormat="false" ht="19.5" hidden="false" customHeight="true" outlineLevel="0" collapsed="false">
      <c r="A24" s="592" t="s">
        <v>178</v>
      </c>
      <c r="B24" s="592"/>
      <c r="C24" s="595"/>
      <c r="D24" s="595"/>
      <c r="E24" s="593"/>
      <c r="F24" s="327" t="n">
        <f aca="false">Dados!Q7</f>
        <v>9.88333333333333</v>
      </c>
      <c r="G24" s="573" t="n">
        <f aca="false">F24</f>
        <v>9.88333333333333</v>
      </c>
      <c r="H24" s="573"/>
      <c r="I24" s="327"/>
      <c r="J24" s="574"/>
    </row>
    <row r="25" customFormat="false" ht="19.5" hidden="false" customHeight="true" outlineLevel="0" collapsed="false">
      <c r="A25" s="592" t="s">
        <v>623</v>
      </c>
      <c r="B25" s="592"/>
      <c r="C25" s="595"/>
      <c r="D25" s="593"/>
      <c r="E25" s="593"/>
      <c r="F25" s="573" t="n">
        <f aca="false">Dados!$O$7</f>
        <v>922.281666666667</v>
      </c>
      <c r="G25" s="573"/>
      <c r="H25" s="573"/>
      <c r="I25" s="573"/>
      <c r="J25" s="574"/>
      <c r="L25" s="68"/>
    </row>
    <row r="26" customFormat="false" ht="19.5" hidden="false" customHeight="true" outlineLevel="0" collapsed="false">
      <c r="A26" s="592" t="s">
        <v>624</v>
      </c>
      <c r="B26" s="597"/>
      <c r="C26" s="595"/>
      <c r="D26" s="593"/>
      <c r="E26" s="593"/>
      <c r="F26" s="573"/>
      <c r="G26" s="573"/>
      <c r="H26" s="573"/>
      <c r="I26" s="573"/>
      <c r="J26" s="574"/>
    </row>
    <row r="27" customFormat="false" ht="19.5" hidden="false" customHeight="true" outlineLevel="0" collapsed="false">
      <c r="A27" s="598" t="s">
        <v>625</v>
      </c>
      <c r="B27" s="598"/>
      <c r="C27" s="599"/>
      <c r="D27" s="600"/>
      <c r="E27" s="600"/>
      <c r="F27" s="579" t="n">
        <f aca="false">Dados!$R$7</f>
        <v>0</v>
      </c>
      <c r="G27" s="579" t="n">
        <f aca="false">F27</f>
        <v>0</v>
      </c>
      <c r="H27" s="579"/>
      <c r="I27" s="579"/>
      <c r="J27" s="580"/>
    </row>
    <row r="28" customFormat="false" ht="18.75" hidden="false" customHeight="true" outlineLevel="0" collapsed="false">
      <c r="A28" s="592" t="str">
        <f aca="false">Dados!$B$39</f>
        <v>Outros (inserir somente com a justificativa legal)</v>
      </c>
      <c r="B28" s="592"/>
      <c r="C28" s="595"/>
      <c r="D28" s="595"/>
      <c r="E28" s="593"/>
      <c r="F28" s="327" t="n">
        <f aca="false">Dados!$G$39</f>
        <v>0</v>
      </c>
      <c r="G28" s="573"/>
      <c r="H28" s="573"/>
      <c r="I28" s="327"/>
      <c r="J28" s="574"/>
    </row>
    <row r="29" customFormat="false" ht="18.75" hidden="false" customHeight="true" outlineLevel="0" collapsed="false">
      <c r="A29" s="592" t="str">
        <f aca="false">Dados!$B$40</f>
        <v>Outros (inserir somente com a justificativa legal)</v>
      </c>
      <c r="B29" s="592"/>
      <c r="C29" s="595"/>
      <c r="D29" s="595"/>
      <c r="E29" s="593"/>
      <c r="F29" s="327" t="n">
        <f aca="false">Dados!$G$40</f>
        <v>0</v>
      </c>
      <c r="G29" s="573"/>
      <c r="H29" s="573"/>
      <c r="I29" s="327"/>
      <c r="J29" s="574"/>
    </row>
    <row r="30" customFormat="false" ht="19.5" hidden="false" customHeight="true" outlineLevel="0" collapsed="false">
      <c r="A30" s="601" t="s">
        <v>626</v>
      </c>
      <c r="B30" s="601"/>
      <c r="C30" s="601"/>
      <c r="D30" s="601"/>
      <c r="E30" s="601"/>
      <c r="F30" s="587" t="n">
        <f aca="false">SUM(F19:F29)</f>
        <v>1668.405</v>
      </c>
      <c r="G30" s="587" t="n">
        <f aca="false">SUM(G19:G29)</f>
        <v>746.123333333333</v>
      </c>
      <c r="H30" s="587" t="n">
        <f aca="false">SUM(H19:H29)</f>
        <v>510.4</v>
      </c>
      <c r="I30" s="587" t="n">
        <f aca="false">SUM(I19:I29)</f>
        <v>165.98</v>
      </c>
      <c r="J30" s="588" t="n">
        <f aca="false">SUM(J19:J29)</f>
        <v>0</v>
      </c>
    </row>
    <row r="31" customFormat="false" ht="19.5" hidden="false" customHeight="true" outlineLevel="0" collapsed="false">
      <c r="A31" s="601" t="s">
        <v>627</v>
      </c>
      <c r="B31" s="601"/>
      <c r="C31" s="601"/>
      <c r="D31" s="601"/>
      <c r="E31" s="601"/>
      <c r="F31" s="587" t="n">
        <f aca="false">F16+F30</f>
        <v>5621.315</v>
      </c>
      <c r="G31" s="587" t="n">
        <f aca="false">G16+G30</f>
        <v>4699.03333333333</v>
      </c>
      <c r="H31" s="587" t="n">
        <f aca="false">H16+H30</f>
        <v>510.4</v>
      </c>
      <c r="I31" s="587" t="n">
        <f aca="false">I16+I30</f>
        <v>165.98</v>
      </c>
      <c r="J31" s="588" t="n">
        <f aca="false">J16+J30</f>
        <v>1071.1</v>
      </c>
    </row>
    <row r="32" customFormat="false" ht="19.5" hidden="false" customHeight="true" outlineLevel="0" collapsed="false">
      <c r="A32" s="565" t="s">
        <v>628</v>
      </c>
      <c r="B32" s="565"/>
      <c r="C32" s="565"/>
      <c r="D32" s="565"/>
      <c r="E32" s="565"/>
      <c r="F32" s="565"/>
      <c r="G32" s="565"/>
      <c r="H32" s="565"/>
      <c r="I32" s="565"/>
      <c r="J32" s="565"/>
    </row>
    <row r="33" customFormat="false" ht="19.5" hidden="false" customHeight="true" outlineLevel="0" collapsed="false">
      <c r="A33" s="590" t="s">
        <v>629</v>
      </c>
      <c r="B33" s="590"/>
      <c r="C33" s="590"/>
      <c r="D33" s="602" t="s">
        <v>630</v>
      </c>
      <c r="E33" s="603" t="s">
        <v>502</v>
      </c>
      <c r="F33" s="603"/>
      <c r="G33" s="603"/>
      <c r="H33" s="603"/>
      <c r="I33" s="603"/>
      <c r="J33" s="603"/>
    </row>
    <row r="34" customFormat="false" ht="19.5" hidden="false" customHeight="true" outlineLevel="0" collapsed="false">
      <c r="A34" s="604" t="s">
        <v>631</v>
      </c>
      <c r="B34" s="605"/>
      <c r="C34" s="605"/>
      <c r="D34" s="575" t="n">
        <f aca="false">Dados!$G$43</f>
        <v>0.03</v>
      </c>
      <c r="E34" s="606"/>
      <c r="F34" s="573" t="n">
        <f aca="false">ROUND((F31*$D$34),2)</f>
        <v>168.64</v>
      </c>
      <c r="G34" s="573" t="n">
        <f aca="false">ROUND((G31*$D$34),2)</f>
        <v>140.97</v>
      </c>
      <c r="H34" s="573" t="n">
        <f aca="false">ROUND((H31*$D$34),2)</f>
        <v>15.31</v>
      </c>
      <c r="I34" s="573" t="n">
        <f aca="false">ROUND((I31*$D$34),2)</f>
        <v>4.98</v>
      </c>
      <c r="J34" s="574" t="n">
        <f aca="false">ROUND((J31*$D$34),2)</f>
        <v>32.13</v>
      </c>
    </row>
    <row r="35" customFormat="false" ht="19.5" hidden="false" customHeight="true" outlineLevel="0" collapsed="false">
      <c r="A35" s="607" t="s">
        <v>632</v>
      </c>
      <c r="B35" s="607"/>
      <c r="C35" s="607"/>
      <c r="D35" s="575"/>
      <c r="E35" s="606"/>
      <c r="F35" s="573" t="n">
        <f aca="false">F31+F34</f>
        <v>5789.955</v>
      </c>
      <c r="G35" s="573" t="n">
        <f aca="false">G31+G34</f>
        <v>4840.00333333333</v>
      </c>
      <c r="H35" s="573" t="n">
        <f aca="false">H31+H34</f>
        <v>525.71</v>
      </c>
      <c r="I35" s="573" t="n">
        <f aca="false">I31+I34</f>
        <v>170.96</v>
      </c>
      <c r="J35" s="574" t="n">
        <f aca="false">J31+J34</f>
        <v>1103.23</v>
      </c>
    </row>
    <row r="36" customFormat="false" ht="19.5" hidden="false" customHeight="true" outlineLevel="0" collapsed="false">
      <c r="A36" s="608" t="s">
        <v>238</v>
      </c>
      <c r="B36" s="609"/>
      <c r="C36" s="609"/>
      <c r="D36" s="610" t="n">
        <f aca="false">Dados!$G$44</f>
        <v>0.0679</v>
      </c>
      <c r="E36" s="611"/>
      <c r="F36" s="579" t="n">
        <f aca="false">ROUND((F35*$D$36),2)</f>
        <v>393.14</v>
      </c>
      <c r="G36" s="579" t="n">
        <f aca="false">ROUND((G35*$D$36),2)</f>
        <v>328.64</v>
      </c>
      <c r="H36" s="579" t="n">
        <f aca="false">ROUND((H35*$D$36),2)</f>
        <v>35.7</v>
      </c>
      <c r="I36" s="579" t="n">
        <f aca="false">ROUND((I35*$D$36),2)</f>
        <v>11.61</v>
      </c>
      <c r="J36" s="580" t="n">
        <f aca="false">ROUND((J35*$D$36),2)</f>
        <v>74.91</v>
      </c>
    </row>
    <row r="37" customFormat="false" ht="19.5" hidden="false" customHeight="true" outlineLevel="0" collapsed="false">
      <c r="A37" s="612" t="s">
        <v>633</v>
      </c>
      <c r="B37" s="613"/>
      <c r="C37" s="613"/>
      <c r="D37" s="614" t="n">
        <f aca="false">SUM(D34:D36)</f>
        <v>0.0979</v>
      </c>
      <c r="E37" s="615"/>
      <c r="F37" s="587" t="n">
        <f aca="false">F34+F36</f>
        <v>561.78</v>
      </c>
      <c r="G37" s="587" t="n">
        <f aca="false">G34+G36</f>
        <v>469.61</v>
      </c>
      <c r="H37" s="587" t="n">
        <f aca="false">H34+H36</f>
        <v>51.01</v>
      </c>
      <c r="I37" s="587" t="n">
        <f aca="false">I34+I36</f>
        <v>16.59</v>
      </c>
      <c r="J37" s="588" t="n">
        <f aca="false">J34+J36</f>
        <v>107.04</v>
      </c>
    </row>
    <row r="38" customFormat="false" ht="19.5" hidden="false" customHeight="true" outlineLevel="0" collapsed="false">
      <c r="A38" s="616" t="s">
        <v>634</v>
      </c>
      <c r="B38" s="616"/>
      <c r="C38" s="616"/>
      <c r="D38" s="616"/>
      <c r="E38" s="616"/>
      <c r="F38" s="617" t="n">
        <f aca="false">F31+F37</f>
        <v>6183.095</v>
      </c>
      <c r="G38" s="617" t="n">
        <f aca="false">G31+G37</f>
        <v>5168.64333333333</v>
      </c>
      <c r="H38" s="617" t="n">
        <f aca="false">H31+H37</f>
        <v>561.41</v>
      </c>
      <c r="I38" s="617" t="n">
        <f aca="false">I31+I37</f>
        <v>182.57</v>
      </c>
      <c r="J38" s="618" t="n">
        <f aca="false">J31+J37</f>
        <v>1178.14</v>
      </c>
    </row>
    <row r="39" customFormat="false" ht="19.5" hidden="false" customHeight="true" outlineLevel="0" collapsed="false">
      <c r="A39" s="619" t="s">
        <v>635</v>
      </c>
      <c r="B39" s="619"/>
      <c r="C39" s="619"/>
      <c r="D39" s="619"/>
      <c r="E39" s="619"/>
      <c r="F39" s="619"/>
      <c r="G39" s="619"/>
      <c r="H39" s="619"/>
      <c r="I39" s="619"/>
      <c r="J39" s="619"/>
    </row>
    <row r="40" customFormat="false" ht="19.5" hidden="false" customHeight="true" outlineLevel="0" collapsed="false">
      <c r="A40" s="592" t="s">
        <v>244</v>
      </c>
      <c r="B40" s="592"/>
      <c r="C40" s="592"/>
      <c r="D40" s="575" t="n">
        <f aca="false">Dados!G51</f>
        <v>0.076</v>
      </c>
      <c r="E40" s="573"/>
      <c r="F40" s="573" t="n">
        <f aca="false">ROUND(($F$46*D40),2)</f>
        <v>548.01</v>
      </c>
      <c r="G40" s="573" t="n">
        <f aca="false">ROUND((G46*$D$40),2)</f>
        <v>458.1</v>
      </c>
      <c r="H40" s="573" t="n">
        <f aca="false">ROUND((H46*$D$40),2)</f>
        <v>49.76</v>
      </c>
      <c r="I40" s="573" t="n">
        <f aca="false">ROUND((I46*$D$40),2)</f>
        <v>16.18</v>
      </c>
      <c r="J40" s="574" t="n">
        <f aca="false">ROUND((J46*$D$40),2)</f>
        <v>104.42</v>
      </c>
    </row>
    <row r="41" customFormat="false" ht="19.5" hidden="false" customHeight="true" outlineLevel="0" collapsed="false">
      <c r="A41" s="592" t="s">
        <v>246</v>
      </c>
      <c r="B41" s="592"/>
      <c r="C41" s="592"/>
      <c r="D41" s="575" t="n">
        <f aca="false">Dados!G52</f>
        <v>0.0165</v>
      </c>
      <c r="E41" s="573"/>
      <c r="F41" s="573" t="n">
        <f aca="false">ROUND((F46*$D$41),2)</f>
        <v>118.98</v>
      </c>
      <c r="G41" s="573" t="n">
        <f aca="false">ROUND((G46*$D$41),2)</f>
        <v>99.45</v>
      </c>
      <c r="H41" s="573" t="n">
        <f aca="false">ROUND((H46*$D$41),2)</f>
        <v>10.8</v>
      </c>
      <c r="I41" s="573" t="n">
        <f aca="false">ROUND((I46*$D$41),2)</f>
        <v>3.51</v>
      </c>
      <c r="J41" s="574" t="n">
        <f aca="false">ROUND((J46*$D$41),2)</f>
        <v>22.67</v>
      </c>
    </row>
    <row r="42" customFormat="false" ht="19.5" hidden="false" customHeight="true" outlineLevel="0" collapsed="false">
      <c r="A42" s="592" t="s">
        <v>247</v>
      </c>
      <c r="B42" s="592"/>
      <c r="C42" s="592"/>
      <c r="D42" s="575" t="n">
        <f aca="false">Dados!G53</f>
        <v>0.05</v>
      </c>
      <c r="E42" s="573"/>
      <c r="F42" s="573" t="n">
        <f aca="false">ROUND((F46*$D$42),2)</f>
        <v>360.53</v>
      </c>
      <c r="G42" s="573" t="n">
        <f aca="false">ROUND((G46*$D$42),2)</f>
        <v>301.38</v>
      </c>
      <c r="H42" s="573" t="n">
        <f aca="false">ROUND((H46*$D$42),2)</f>
        <v>32.74</v>
      </c>
      <c r="I42" s="573" t="n">
        <f aca="false">ROUND((I46*$D$42),2)</f>
        <v>10.65</v>
      </c>
      <c r="J42" s="574" t="n">
        <f aca="false">ROUND((J46*$D$42),2)</f>
        <v>68.7</v>
      </c>
    </row>
    <row r="43" customFormat="false" ht="19.5" hidden="false" customHeight="true" outlineLevel="0" collapsed="false">
      <c r="A43" s="592" t="s">
        <v>233</v>
      </c>
      <c r="B43" s="592"/>
      <c r="C43" s="592"/>
      <c r="D43" s="575" t="n">
        <f aca="false">Dados!G54</f>
        <v>0</v>
      </c>
      <c r="E43" s="573"/>
      <c r="F43" s="573" t="n">
        <f aca="false">ROUND((F46*$D$43),2)</f>
        <v>0</v>
      </c>
      <c r="G43" s="573" t="n">
        <f aca="false">ROUND((G46*$D$43),2)</f>
        <v>0</v>
      </c>
      <c r="H43" s="573" t="n">
        <f aca="false">ROUND((H46*$D$43),2)</f>
        <v>0</v>
      </c>
      <c r="I43" s="573" t="n">
        <f aca="false">ROUND((I46*$D$43),2)</f>
        <v>0</v>
      </c>
      <c r="J43" s="574" t="n">
        <f aca="false">ROUND((J46*$D$43),2)</f>
        <v>0</v>
      </c>
    </row>
    <row r="44" customFormat="false" ht="19.5" hidden="false" customHeight="true" outlineLevel="0" collapsed="false">
      <c r="A44" s="620" t="s">
        <v>636</v>
      </c>
      <c r="B44" s="620"/>
      <c r="C44" s="620"/>
      <c r="D44" s="621" t="n">
        <f aca="false">SUM(D40:D43)</f>
        <v>0.1425</v>
      </c>
      <c r="E44" s="622"/>
      <c r="F44" s="623" t="n">
        <f aca="false">SUM(F40:F43)</f>
        <v>1027.52</v>
      </c>
      <c r="G44" s="623" t="n">
        <f aca="false">SUM(G40:G43)</f>
        <v>858.93</v>
      </c>
      <c r="H44" s="623" t="n">
        <f aca="false">SUM(H40:H43)</f>
        <v>93.3</v>
      </c>
      <c r="I44" s="623" t="n">
        <f aca="false">SUM(I40:I43)</f>
        <v>30.34</v>
      </c>
      <c r="J44" s="624" t="n">
        <f aca="false">SUM(J40:J42)</f>
        <v>195.79</v>
      </c>
    </row>
    <row r="45" customFormat="false" ht="19.5" hidden="false" customHeight="true" outlineLevel="0" collapsed="false">
      <c r="A45" s="625" t="str">
        <f aca="false">CONCATENATE("Custo Mensal - ",A7)</f>
        <v>Custo Mensal - Servente de Limpeza 40% Insalubridade</v>
      </c>
      <c r="B45" s="625"/>
      <c r="C45" s="625"/>
      <c r="D45" s="625"/>
      <c r="E45" s="625"/>
      <c r="F45" s="626" t="n">
        <f aca="false">ROUND(F38/(1-D44),2)</f>
        <v>7210.61</v>
      </c>
      <c r="G45" s="626" t="n">
        <f aca="false">ROUND(G38/(1-D44),2)</f>
        <v>6027.57</v>
      </c>
      <c r="H45" s="626" t="n">
        <f aca="false">ROUND(H38/(1-D44),2)</f>
        <v>654.71</v>
      </c>
      <c r="I45" s="626" t="n">
        <f aca="false">ROUND(I38/(1-D44),2)</f>
        <v>212.91</v>
      </c>
      <c r="J45" s="627" t="n">
        <f aca="false">ROUND(J38/(1-D44),2)</f>
        <v>1373.92</v>
      </c>
    </row>
    <row r="46" customFormat="false" ht="19.5" hidden="false" customHeight="true" outlineLevel="0" collapsed="false">
      <c r="A46" s="628" t="str">
        <f aca="false">CONCATENATE("Valor do Custo Mensal - ",A7)</f>
        <v>Valor do Custo Mensal - Servente de Limpeza 40% Insalubridade</v>
      </c>
      <c r="B46" s="628"/>
      <c r="C46" s="628"/>
      <c r="D46" s="628"/>
      <c r="E46" s="628"/>
      <c r="F46" s="626" t="n">
        <f aca="false">F45</f>
        <v>7210.61</v>
      </c>
      <c r="G46" s="626" t="n">
        <f aca="false">G45</f>
        <v>6027.57</v>
      </c>
      <c r="H46" s="626" t="n">
        <f aca="false">H45</f>
        <v>654.71</v>
      </c>
      <c r="I46" s="626" t="n">
        <f aca="false">I45</f>
        <v>212.91</v>
      </c>
      <c r="J46" s="627" t="n">
        <f aca="false">J45</f>
        <v>1373.92</v>
      </c>
      <c r="K46" s="629"/>
      <c r="L46" s="629"/>
    </row>
    <row r="47" customFormat="false" ht="27.75" hidden="false" customHeight="true" outlineLevel="0" collapsed="false">
      <c r="A47" s="630" t="s">
        <v>637</v>
      </c>
      <c r="B47" s="630"/>
      <c r="C47" s="630"/>
      <c r="D47" s="630"/>
      <c r="E47" s="630"/>
      <c r="F47" s="631" t="n">
        <f aca="false">(F46/F14)</f>
        <v>3.21775820213488</v>
      </c>
      <c r="G47" s="631" t="n">
        <f aca="false">(G46/G14)</f>
        <v>2.68982274820606</v>
      </c>
      <c r="H47" s="632" t="s">
        <v>638</v>
      </c>
      <c r="I47" s="632"/>
      <c r="J47" s="633" t="n">
        <f aca="false">ROUND((J46/30),2)</f>
        <v>45.8</v>
      </c>
    </row>
    <row r="48" customFormat="false" ht="19.5" hidden="false" customHeight="true" outlineLevel="0" collapsed="false"/>
  </sheetData>
  <sheetProtection algorithmName="SHA-512" hashValue="tJELKhtoOofvP4JWxznr/rtA7bQu/3ISMuFOL2CkU1fQeKu/g5w1PTn5X+lfH6aTbz5vSp2RVR3ADkaaLKqIpw==" saltValue="MReMMniQ9NF0ehMGcsSuQA==" spinCount="100000" sheet="true" objects="true" scenarios="true"/>
  <mergeCells count="50">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7:B27"/>
    <mergeCell ref="A28:B28"/>
    <mergeCell ref="A29:B29"/>
    <mergeCell ref="A30:E30"/>
    <mergeCell ref="A31:E31"/>
    <mergeCell ref="A32:J32"/>
    <mergeCell ref="A33:C33"/>
    <mergeCell ref="E33:J33"/>
    <mergeCell ref="A35:C35"/>
    <mergeCell ref="A38:E38"/>
    <mergeCell ref="A39:J39"/>
    <mergeCell ref="A40:C40"/>
    <mergeCell ref="A41:C41"/>
    <mergeCell ref="A42:C42"/>
    <mergeCell ref="A43:C43"/>
    <mergeCell ref="A44:C44"/>
    <mergeCell ref="A45:E45"/>
    <mergeCell ref="A46:E46"/>
    <mergeCell ref="A47:E47"/>
    <mergeCell ref="H47:I47"/>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8"/>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6796875" defaultRowHeight="14.25" zeroHeight="false" outlineLevelRow="0" outlineLevelCol="0"/>
  <cols>
    <col collapsed="false" customWidth="true" hidden="false" outlineLevel="0" max="1" min="1" style="82" width="10.56"/>
    <col collapsed="false" customWidth="true" hidden="false" outlineLevel="0" max="2" min="2" style="82" width="27.67"/>
    <col collapsed="false" customWidth="true" hidden="false" outlineLevel="0" max="3" min="3" style="82" width="14.44"/>
    <col collapsed="false" customWidth="true" hidden="false" outlineLevel="0" max="5" min="4" style="82" width="15"/>
    <col collapsed="false" customWidth="true" hidden="false" outlineLevel="0" max="6" min="6" style="549" width="16.67"/>
    <col collapsed="false" customWidth="true" hidden="false" outlineLevel="0" max="8" min="7" style="549" width="13.11"/>
    <col collapsed="false" customWidth="true" hidden="false" outlineLevel="0" max="10" min="9" style="549" width="12.56"/>
    <col collapsed="false" customWidth="true" hidden="false" outlineLevel="0" max="257" min="11" style="82" width="9.11"/>
    <col collapsed="false" customWidth="true" hidden="false" outlineLevel="0" max="258" min="258" style="82" width="10.56"/>
    <col collapsed="false" customWidth="true" hidden="false" outlineLevel="0" max="259" min="259" style="82" width="27.67"/>
    <col collapsed="false" customWidth="true" hidden="false" outlineLevel="0" max="260" min="260" style="82" width="14.44"/>
    <col collapsed="false" customWidth="true" hidden="false" outlineLevel="0" max="262" min="261" style="82" width="15"/>
    <col collapsed="false" customWidth="true" hidden="false" outlineLevel="0" max="263" min="263" style="82" width="16.67"/>
    <col collapsed="false" customWidth="true" hidden="false" outlineLevel="0" max="264" min="264" style="82" width="13.11"/>
    <col collapsed="false" customWidth="true" hidden="false" outlineLevel="0" max="266" min="265" style="82" width="12.56"/>
    <col collapsed="false" customWidth="true" hidden="false" outlineLevel="0" max="513" min="267" style="82" width="9.11"/>
    <col collapsed="false" customWidth="true" hidden="false" outlineLevel="0" max="514" min="514" style="82" width="10.56"/>
    <col collapsed="false" customWidth="true" hidden="false" outlineLevel="0" max="515" min="515" style="82" width="27.67"/>
    <col collapsed="false" customWidth="true" hidden="false" outlineLevel="0" max="516" min="516" style="82" width="14.44"/>
    <col collapsed="false" customWidth="true" hidden="false" outlineLevel="0" max="518" min="517" style="82" width="15"/>
    <col collapsed="false" customWidth="true" hidden="false" outlineLevel="0" max="519" min="519" style="82" width="16.67"/>
    <col collapsed="false" customWidth="true" hidden="false" outlineLevel="0" max="520" min="520" style="82" width="13.11"/>
    <col collapsed="false" customWidth="true" hidden="false" outlineLevel="0" max="522" min="521" style="82" width="12.56"/>
    <col collapsed="false" customWidth="true" hidden="false" outlineLevel="0" max="769" min="523" style="82" width="9.11"/>
    <col collapsed="false" customWidth="true" hidden="false" outlineLevel="0" max="770" min="770" style="82" width="10.56"/>
    <col collapsed="false" customWidth="true" hidden="false" outlineLevel="0" max="771" min="771" style="82" width="27.67"/>
    <col collapsed="false" customWidth="true" hidden="false" outlineLevel="0" max="772" min="772" style="82" width="14.44"/>
    <col collapsed="false" customWidth="true" hidden="false" outlineLevel="0" max="774" min="773" style="82" width="15"/>
    <col collapsed="false" customWidth="true" hidden="false" outlineLevel="0" max="775" min="775" style="82" width="16.67"/>
    <col collapsed="false" customWidth="true" hidden="false" outlineLevel="0" max="776" min="776" style="82" width="13.11"/>
    <col collapsed="false" customWidth="true" hidden="false" outlineLevel="0" max="778" min="777" style="82" width="12.56"/>
    <col collapsed="false" customWidth="true" hidden="false" outlineLevel="0" max="1025" min="779" style="82" width="9.11"/>
  </cols>
  <sheetData>
    <row r="1" customFormat="false" ht="14.25" hidden="false" customHeight="false" outlineLevel="0" collapsed="false">
      <c r="A1" s="550"/>
      <c r="B1" s="123" t="str">
        <f aca="false">INSTRUÇÕES!B1</f>
        <v>Tribunal Regional Federal da 6ª Região</v>
      </c>
      <c r="C1" s="551"/>
      <c r="D1" s="551"/>
      <c r="E1" s="551"/>
      <c r="F1" s="552"/>
      <c r="G1" s="553"/>
      <c r="H1" s="553"/>
      <c r="I1" s="552"/>
      <c r="J1" s="554"/>
    </row>
    <row r="2" customFormat="false" ht="14.25" hidden="false" customHeight="false" outlineLevel="0" collapsed="false">
      <c r="A2" s="555"/>
      <c r="B2" s="125" t="str">
        <f aca="false">INSTRUÇÕES!B2</f>
        <v>Seção Judiciária de Minas Gerais</v>
      </c>
      <c r="C2" s="68"/>
      <c r="D2" s="68"/>
      <c r="E2" s="68"/>
      <c r="F2" s="556"/>
      <c r="I2" s="556"/>
      <c r="J2" s="557"/>
    </row>
    <row r="3" customFormat="false" ht="14.25" hidden="false" customHeight="false" outlineLevel="0" collapsed="false">
      <c r="A3" s="207"/>
      <c r="B3" s="558" t="str">
        <f aca="false">INSTRUÇÕES!B3</f>
        <v>Subseção Judiciária de Poços de Caldas</v>
      </c>
      <c r="C3" s="68"/>
      <c r="D3" s="68"/>
      <c r="E3" s="68"/>
      <c r="F3" s="556"/>
      <c r="I3" s="556"/>
      <c r="J3" s="557"/>
    </row>
    <row r="4" customFormat="false" ht="19.5" hidden="false" customHeight="true" outlineLevel="0" collapsed="false">
      <c r="A4" s="529" t="s">
        <v>602</v>
      </c>
      <c r="B4" s="529"/>
      <c r="C4" s="529"/>
      <c r="D4" s="529"/>
      <c r="E4" s="529"/>
      <c r="F4" s="529"/>
      <c r="G4" s="529"/>
      <c r="H4" s="529"/>
      <c r="I4" s="529"/>
      <c r="J4" s="529"/>
    </row>
    <row r="5" customFormat="false" ht="19.5" hidden="false" customHeight="true" outlineLevel="0" collapsed="false">
      <c r="A5" s="559" t="s">
        <v>290</v>
      </c>
      <c r="B5" s="559"/>
      <c r="C5" s="559"/>
      <c r="D5" s="559"/>
      <c r="E5" s="559"/>
      <c r="F5" s="559"/>
      <c r="G5" s="559"/>
      <c r="H5" s="559"/>
      <c r="I5" s="559"/>
      <c r="J5" s="559"/>
    </row>
    <row r="6" customFormat="false" ht="36" hidden="false" customHeight="true" outlineLevel="0" collapsed="false">
      <c r="A6" s="560" t="str">
        <f aca="false">Dados!A4</f>
        <v>Sindicato utilizado - SINSERTH x SINTAPPI. Vigência: 01/04/2025 à 31/03/2026. Sendo a data base da categoria 1 de abril. Com número de registro no MTE MG001973/2025.</v>
      </c>
      <c r="B6" s="560"/>
      <c r="C6" s="560"/>
      <c r="D6" s="560"/>
      <c r="E6" s="560"/>
      <c r="F6" s="560"/>
      <c r="G6" s="560"/>
      <c r="H6" s="560"/>
      <c r="I6" s="560"/>
      <c r="J6" s="560"/>
    </row>
    <row r="7" customFormat="false" ht="19.5" hidden="false" customHeight="true" outlineLevel="0" collapsed="false">
      <c r="A7" s="561" t="str">
        <f aca="false">Dados!C8</f>
        <v>Servente de Limpeza  com acúmulo Copeira</v>
      </c>
      <c r="B7" s="561"/>
      <c r="C7" s="561"/>
      <c r="D7" s="561"/>
      <c r="E7" s="561"/>
      <c r="F7" s="562" t="s">
        <v>603</v>
      </c>
      <c r="G7" s="562" t="s">
        <v>604</v>
      </c>
      <c r="H7" s="562" t="s">
        <v>605</v>
      </c>
      <c r="I7" s="562" t="s">
        <v>606</v>
      </c>
      <c r="J7" s="562" t="s">
        <v>607</v>
      </c>
    </row>
    <row r="8" customFormat="false" ht="19.5" hidden="false" customHeight="true" outlineLevel="0" collapsed="false">
      <c r="A8" s="563" t="s">
        <v>608</v>
      </c>
      <c r="B8" s="563"/>
      <c r="C8" s="563"/>
      <c r="D8" s="563"/>
      <c r="E8" s="564" t="s">
        <v>498</v>
      </c>
      <c r="F8" s="562"/>
      <c r="G8" s="562"/>
      <c r="H8" s="562"/>
      <c r="I8" s="562"/>
      <c r="J8" s="562"/>
    </row>
    <row r="9" customFormat="false" ht="19.5" hidden="false" customHeight="true" outlineLevel="0" collapsed="false">
      <c r="A9" s="565" t="s">
        <v>609</v>
      </c>
      <c r="B9" s="565"/>
      <c r="C9" s="565"/>
      <c r="D9" s="565"/>
      <c r="E9" s="565"/>
      <c r="F9" s="565"/>
      <c r="G9" s="565"/>
      <c r="H9" s="565"/>
      <c r="I9" s="565"/>
      <c r="J9" s="565"/>
    </row>
    <row r="10" customFormat="false" ht="24" hidden="false" customHeight="true" outlineLevel="0" collapsed="false">
      <c r="A10" s="216" t="s">
        <v>499</v>
      </c>
      <c r="B10" s="566" t="s">
        <v>610</v>
      </c>
      <c r="C10" s="566"/>
      <c r="D10" s="567" t="s">
        <v>611</v>
      </c>
      <c r="E10" s="568" t="s">
        <v>612</v>
      </c>
      <c r="F10" s="569" t="s">
        <v>502</v>
      </c>
      <c r="G10" s="569"/>
      <c r="H10" s="569"/>
      <c r="I10" s="569"/>
      <c r="J10" s="569"/>
    </row>
    <row r="11" customFormat="false" ht="19.5" hidden="false" customHeight="true" outlineLevel="0" collapsed="false">
      <c r="A11" s="570" t="n">
        <v>1</v>
      </c>
      <c r="B11" s="571" t="str">
        <f aca="false">A7</f>
        <v>Servente de Limpeza  com acúmulo Copeira</v>
      </c>
      <c r="C11" s="571"/>
      <c r="D11" s="39" t="n">
        <f aca="false">Dados!D8</f>
        <v>220</v>
      </c>
      <c r="E11" s="572" t="n">
        <f aca="false">Dados!E8</f>
        <v>1633.68</v>
      </c>
      <c r="F11" s="573" t="n">
        <f aca="false">ROUND(E11/220*D11,2)</f>
        <v>1633.68</v>
      </c>
      <c r="G11" s="573" t="n">
        <f aca="false">F11</f>
        <v>1633.68</v>
      </c>
      <c r="H11" s="573"/>
      <c r="I11" s="573"/>
      <c r="J11" s="574"/>
    </row>
    <row r="12" customFormat="false" ht="19.5" hidden="false" customHeight="true" outlineLevel="0" collapsed="false">
      <c r="A12" s="570"/>
      <c r="B12" s="571" t="s">
        <v>613</v>
      </c>
      <c r="C12" s="571"/>
      <c r="D12" s="634" t="n">
        <f aca="false">Dados!G8</f>
        <v>0</v>
      </c>
      <c r="E12" s="572" t="n">
        <f aca="false">Dados!G27</f>
        <v>1518</v>
      </c>
      <c r="F12" s="573" t="n">
        <f aca="false">D12*E12</f>
        <v>0</v>
      </c>
      <c r="G12" s="573" t="n">
        <f aca="false">F12</f>
        <v>0</v>
      </c>
      <c r="H12" s="573"/>
      <c r="I12" s="573"/>
      <c r="J12" s="574" t="n">
        <f aca="false">F12</f>
        <v>0</v>
      </c>
    </row>
    <row r="13" customFormat="false" ht="21" hidden="false" customHeight="true" outlineLevel="0" collapsed="false">
      <c r="A13" s="570"/>
      <c r="B13" s="576" t="s">
        <v>614</v>
      </c>
      <c r="C13" s="577" t="n">
        <f aca="false">Dados!I8</f>
        <v>0.12</v>
      </c>
      <c r="D13" s="577" t="n">
        <f aca="false">Dados!J8</f>
        <v>0.25</v>
      </c>
      <c r="E13" s="578" t="n">
        <f aca="false">Dados!K8</f>
        <v>1633.68</v>
      </c>
      <c r="F13" s="579" t="n">
        <f aca="false">ROUND((E13*D13*C13),2)</f>
        <v>49.01</v>
      </c>
      <c r="G13" s="579" t="n">
        <f aca="false">F13</f>
        <v>49.01</v>
      </c>
      <c r="H13" s="579"/>
      <c r="I13" s="579"/>
      <c r="J13" s="580"/>
    </row>
    <row r="14" customFormat="false" ht="19.5" hidden="false" customHeight="true" outlineLevel="0" collapsed="false">
      <c r="A14" s="570"/>
      <c r="B14" s="581" t="s">
        <v>615</v>
      </c>
      <c r="C14" s="581"/>
      <c r="D14" s="581"/>
      <c r="E14" s="581"/>
      <c r="F14" s="582" t="n">
        <f aca="false">SUM(F11:F13)</f>
        <v>1682.69</v>
      </c>
      <c r="G14" s="582" t="n">
        <f aca="false">SUM(G11:G13)</f>
        <v>1682.69</v>
      </c>
      <c r="H14" s="582" t="n">
        <f aca="false">SUM(H11:H13)</f>
        <v>0</v>
      </c>
      <c r="I14" s="582" t="n">
        <f aca="false">SUM(I11:I13)</f>
        <v>0</v>
      </c>
      <c r="J14" s="583" t="n">
        <f aca="false">SUM(J11:J13)</f>
        <v>0</v>
      </c>
    </row>
    <row r="15" customFormat="false" ht="19.5" hidden="false" customHeight="true" outlineLevel="0" collapsed="false">
      <c r="A15" s="570"/>
      <c r="B15" s="584" t="s">
        <v>616</v>
      </c>
      <c r="C15" s="584"/>
      <c r="D15" s="584"/>
      <c r="E15" s="585" t="n">
        <f aca="false">Encargos!$C$57</f>
        <v>0.764</v>
      </c>
      <c r="F15" s="573" t="n">
        <f aca="false">ROUND((E15*F14),2)</f>
        <v>1285.58</v>
      </c>
      <c r="G15" s="573" t="n">
        <f aca="false">F15</f>
        <v>1285.58</v>
      </c>
      <c r="H15" s="573"/>
      <c r="I15" s="573"/>
      <c r="J15" s="574" t="n">
        <f aca="false">ROUND((E15*J14),2)</f>
        <v>0</v>
      </c>
    </row>
    <row r="16" customFormat="false" ht="19.5" hidden="false" customHeight="true" outlineLevel="0" collapsed="false">
      <c r="A16" s="586" t="s">
        <v>617</v>
      </c>
      <c r="B16" s="586"/>
      <c r="C16" s="586"/>
      <c r="D16" s="586"/>
      <c r="E16" s="586"/>
      <c r="F16" s="587" t="n">
        <f aca="false">SUM(F14:F15)</f>
        <v>2968.27</v>
      </c>
      <c r="G16" s="587" t="n">
        <f aca="false">SUM(G14:G15)</f>
        <v>2968.27</v>
      </c>
      <c r="H16" s="587" t="n">
        <f aca="false">SUM(H14:H15)</f>
        <v>0</v>
      </c>
      <c r="I16" s="587" t="n">
        <f aca="false">SUM(I14:I15)</f>
        <v>0</v>
      </c>
      <c r="J16" s="588" t="n">
        <f aca="false">SUM(J14:J15)</f>
        <v>0</v>
      </c>
    </row>
    <row r="17" customFormat="false" ht="19.5" hidden="false" customHeight="true" outlineLevel="0" collapsed="false">
      <c r="A17" s="589" t="s">
        <v>618</v>
      </c>
      <c r="B17" s="589"/>
      <c r="C17" s="589"/>
      <c r="D17" s="589"/>
      <c r="E17" s="589"/>
      <c r="F17" s="589"/>
      <c r="G17" s="589"/>
      <c r="H17" s="589"/>
      <c r="I17" s="589"/>
      <c r="J17" s="589"/>
    </row>
    <row r="18" customFormat="false" ht="19.5" hidden="false" customHeight="true" outlineLevel="0" collapsed="false">
      <c r="A18" s="590" t="s">
        <v>619</v>
      </c>
      <c r="B18" s="590"/>
      <c r="C18" s="49" t="s">
        <v>501</v>
      </c>
      <c r="D18" s="591" t="s">
        <v>639</v>
      </c>
      <c r="E18" s="591"/>
      <c r="F18" s="574" t="s">
        <v>502</v>
      </c>
      <c r="G18" s="574"/>
      <c r="H18" s="574"/>
      <c r="I18" s="574"/>
      <c r="J18" s="574"/>
    </row>
    <row r="19" customFormat="false" ht="19.5" hidden="false" customHeight="true" outlineLevel="0" collapsed="false">
      <c r="A19" s="592" t="s">
        <v>621</v>
      </c>
      <c r="B19" s="592"/>
      <c r="C19" s="593"/>
      <c r="D19" s="593"/>
      <c r="E19" s="593"/>
      <c r="F19" s="573" t="n">
        <f aca="false">Dados!$N$8</f>
        <v>59.96</v>
      </c>
      <c r="G19" s="573" t="n">
        <f aca="false">F19</f>
        <v>59.96</v>
      </c>
      <c r="H19" s="573"/>
      <c r="I19" s="573"/>
      <c r="J19" s="574"/>
    </row>
    <row r="20" customFormat="false" ht="19.5" hidden="false" customHeight="true" outlineLevel="0" collapsed="false">
      <c r="A20" s="592" t="s">
        <v>622</v>
      </c>
      <c r="B20" s="592"/>
      <c r="C20" s="593"/>
      <c r="D20" s="593"/>
      <c r="E20" s="593"/>
      <c r="F20" s="573" t="n">
        <f aca="false">Dados!$G$30</f>
        <v>5.27</v>
      </c>
      <c r="G20" s="573" t="n">
        <f aca="false">F20</f>
        <v>5.27</v>
      </c>
      <c r="H20" s="573"/>
      <c r="I20" s="573"/>
      <c r="J20" s="574"/>
    </row>
    <row r="21" customFormat="false" ht="23.25" hidden="false" customHeight="true" outlineLevel="0" collapsed="false">
      <c r="A21" s="594" t="s">
        <v>220</v>
      </c>
      <c r="B21" s="594"/>
      <c r="C21" s="593"/>
      <c r="D21" s="593"/>
      <c r="E21" s="593"/>
      <c r="F21" s="573" t="n">
        <f aca="false">Dados!G31</f>
        <v>0</v>
      </c>
      <c r="G21" s="573" t="n">
        <f aca="false">F21</f>
        <v>0</v>
      </c>
      <c r="H21" s="573"/>
      <c r="I21" s="573"/>
      <c r="J21" s="574"/>
    </row>
    <row r="22" customFormat="false" ht="19.5" hidden="false" customHeight="true" outlineLevel="0" collapsed="false">
      <c r="A22" s="592" t="s">
        <v>221</v>
      </c>
      <c r="B22" s="592"/>
      <c r="C22" s="595" t="n">
        <f aca="false">Dados!$G$34</f>
        <v>22</v>
      </c>
      <c r="D22" s="595" t="n">
        <f aca="false">Dados!$G$33</f>
        <v>2</v>
      </c>
      <c r="E22" s="593" t="n">
        <f aca="false">Dados!$G$32</f>
        <v>6</v>
      </c>
      <c r="F22" s="573" t="n">
        <f aca="false">IF(ROUND((E22*D22*C22)-(F11*Dados!$G$35),2)&lt;0,0,ROUND((E22*D22*C22)-(F11*Dados!$G$35),2))</f>
        <v>165.98</v>
      </c>
      <c r="G22" s="573" t="n">
        <f aca="false">F22</f>
        <v>165.98</v>
      </c>
      <c r="H22" s="573"/>
      <c r="I22" s="573" t="n">
        <f aca="false">F22</f>
        <v>165.98</v>
      </c>
      <c r="J22" s="574"/>
    </row>
    <row r="23" customFormat="false" ht="19.5" hidden="false" customHeight="true" outlineLevel="0" collapsed="false">
      <c r="A23" s="592" t="s">
        <v>230</v>
      </c>
      <c r="B23" s="592"/>
      <c r="C23" s="595" t="n">
        <f aca="false">Dados!G37</f>
        <v>22</v>
      </c>
      <c r="D23" s="596" t="n">
        <f aca="false">Dados!G38</f>
        <v>0.2</v>
      </c>
      <c r="E23" s="593" t="n">
        <f aca="false">Dados!$G$36</f>
        <v>29</v>
      </c>
      <c r="F23" s="327" t="n">
        <f aca="false">ROUND((IF(D11&gt;150,((C23*E23)-(C23*(D23*E23))),0)),2)</f>
        <v>510.4</v>
      </c>
      <c r="G23" s="573" t="n">
        <f aca="false">F23</f>
        <v>510.4</v>
      </c>
      <c r="H23" s="573" t="n">
        <f aca="false">$F$23</f>
        <v>510.4</v>
      </c>
      <c r="I23" s="327"/>
      <c r="J23" s="574"/>
    </row>
    <row r="24" customFormat="false" ht="19.5" hidden="false" customHeight="true" outlineLevel="0" collapsed="false">
      <c r="A24" s="592" t="s">
        <v>178</v>
      </c>
      <c r="B24" s="592"/>
      <c r="C24" s="595"/>
      <c r="D24" s="595"/>
      <c r="E24" s="593"/>
      <c r="F24" s="327" t="n">
        <f aca="false">Dados!Q8</f>
        <v>9.88333333333333</v>
      </c>
      <c r="G24" s="573" t="n">
        <f aca="false">F24</f>
        <v>9.88333333333333</v>
      </c>
      <c r="H24" s="573"/>
      <c r="I24" s="327"/>
      <c r="J24" s="574"/>
    </row>
    <row r="25" customFormat="false" ht="19.5" hidden="false" customHeight="true" outlineLevel="0" collapsed="false">
      <c r="A25" s="592" t="s">
        <v>623</v>
      </c>
      <c r="B25" s="592"/>
      <c r="C25" s="595"/>
      <c r="D25" s="593"/>
      <c r="E25" s="593"/>
      <c r="F25" s="573" t="n">
        <f aca="false">Dados!$O$8</f>
        <v>922.281666666667</v>
      </c>
      <c r="G25" s="573"/>
      <c r="H25" s="573"/>
      <c r="I25" s="573"/>
      <c r="J25" s="574"/>
      <c r="L25" s="68"/>
    </row>
    <row r="26" customFormat="false" ht="19.5" hidden="false" customHeight="true" outlineLevel="0" collapsed="false">
      <c r="A26" s="592" t="s">
        <v>624</v>
      </c>
      <c r="B26" s="597"/>
      <c r="C26" s="595"/>
      <c r="D26" s="593"/>
      <c r="E26" s="593"/>
      <c r="F26" s="573" t="n">
        <f aca="false">Dados!P8</f>
        <v>347.639166666667</v>
      </c>
      <c r="G26" s="573"/>
      <c r="H26" s="573"/>
      <c r="I26" s="573"/>
      <c r="J26" s="574"/>
    </row>
    <row r="27" customFormat="false" ht="19.5" hidden="false" customHeight="true" outlineLevel="0" collapsed="false">
      <c r="A27" s="598" t="s">
        <v>625</v>
      </c>
      <c r="B27" s="598"/>
      <c r="C27" s="599"/>
      <c r="D27" s="600"/>
      <c r="E27" s="600"/>
      <c r="F27" s="579" t="n">
        <f aca="false">Dados!$R$8</f>
        <v>0</v>
      </c>
      <c r="G27" s="579" t="n">
        <f aca="false">F27</f>
        <v>0</v>
      </c>
      <c r="H27" s="579"/>
      <c r="I27" s="579"/>
      <c r="J27" s="580"/>
    </row>
    <row r="28" customFormat="false" ht="19.5" hidden="false" customHeight="true" outlineLevel="0" collapsed="false">
      <c r="A28" s="592" t="str">
        <f aca="false">Dados!$B$39</f>
        <v>Outros (inserir somente com a justificativa legal)</v>
      </c>
      <c r="B28" s="592"/>
      <c r="C28" s="595"/>
      <c r="D28" s="595"/>
      <c r="E28" s="593"/>
      <c r="F28" s="327" t="n">
        <f aca="false">Dados!$G$39</f>
        <v>0</v>
      </c>
      <c r="G28" s="573"/>
      <c r="H28" s="573"/>
      <c r="I28" s="327"/>
      <c r="J28" s="574"/>
    </row>
    <row r="29" customFormat="false" ht="18.75" hidden="false" customHeight="true" outlineLevel="0" collapsed="false">
      <c r="A29" s="592" t="str">
        <f aca="false">Dados!$B$40</f>
        <v>Outros (inserir somente com a justificativa legal)</v>
      </c>
      <c r="B29" s="592"/>
      <c r="C29" s="595"/>
      <c r="D29" s="595"/>
      <c r="E29" s="593"/>
      <c r="F29" s="327" t="n">
        <f aca="false">Dados!$G$40</f>
        <v>0</v>
      </c>
      <c r="G29" s="573"/>
      <c r="H29" s="573"/>
      <c r="I29" s="327"/>
      <c r="J29" s="574"/>
    </row>
    <row r="30" customFormat="false" ht="19.5" hidden="false" customHeight="true" outlineLevel="0" collapsed="false">
      <c r="A30" s="601" t="s">
        <v>626</v>
      </c>
      <c r="B30" s="601"/>
      <c r="C30" s="601"/>
      <c r="D30" s="601"/>
      <c r="E30" s="601"/>
      <c r="F30" s="587" t="n">
        <f aca="false">SUM(F19:F29)</f>
        <v>2021.41416666667</v>
      </c>
      <c r="G30" s="587" t="n">
        <f aca="false">SUM(G19:G29)</f>
        <v>751.493333333333</v>
      </c>
      <c r="H30" s="587" t="n">
        <f aca="false">SUM(H19:H29)</f>
        <v>510.4</v>
      </c>
      <c r="I30" s="587" t="n">
        <f aca="false">SUM(I19:I29)</f>
        <v>165.98</v>
      </c>
      <c r="J30" s="588" t="n">
        <f aca="false">SUM(J19:J29)</f>
        <v>0</v>
      </c>
    </row>
    <row r="31" customFormat="false" ht="19.5" hidden="false" customHeight="true" outlineLevel="0" collapsed="false">
      <c r="A31" s="601" t="s">
        <v>627</v>
      </c>
      <c r="B31" s="601"/>
      <c r="C31" s="601"/>
      <c r="D31" s="601"/>
      <c r="E31" s="601"/>
      <c r="F31" s="587" t="n">
        <f aca="false">F16+F30</f>
        <v>4989.68416666667</v>
      </c>
      <c r="G31" s="587" t="n">
        <f aca="false">G16+G30</f>
        <v>3719.76333333333</v>
      </c>
      <c r="H31" s="587" t="n">
        <f aca="false">H16+H30</f>
        <v>510.4</v>
      </c>
      <c r="I31" s="587" t="n">
        <f aca="false">I16+I30</f>
        <v>165.98</v>
      </c>
      <c r="J31" s="588" t="n">
        <f aca="false">J16+J30</f>
        <v>0</v>
      </c>
    </row>
    <row r="32" customFormat="false" ht="19.5" hidden="false" customHeight="true" outlineLevel="0" collapsed="false">
      <c r="A32" s="565" t="s">
        <v>628</v>
      </c>
      <c r="B32" s="565"/>
      <c r="C32" s="565"/>
      <c r="D32" s="565"/>
      <c r="E32" s="565"/>
      <c r="F32" s="565"/>
      <c r="G32" s="565"/>
      <c r="H32" s="565"/>
      <c r="I32" s="565"/>
      <c r="J32" s="565"/>
    </row>
    <row r="33" customFormat="false" ht="19.5" hidden="false" customHeight="true" outlineLevel="0" collapsed="false">
      <c r="A33" s="590" t="s">
        <v>629</v>
      </c>
      <c r="B33" s="590"/>
      <c r="C33" s="590"/>
      <c r="D33" s="602" t="s">
        <v>630</v>
      </c>
      <c r="E33" s="603" t="s">
        <v>502</v>
      </c>
      <c r="F33" s="603"/>
      <c r="G33" s="603"/>
      <c r="H33" s="603"/>
      <c r="I33" s="603"/>
      <c r="J33" s="603"/>
    </row>
    <row r="34" customFormat="false" ht="19.5" hidden="false" customHeight="true" outlineLevel="0" collapsed="false">
      <c r="A34" s="604" t="s">
        <v>631</v>
      </c>
      <c r="B34" s="605"/>
      <c r="C34" s="605"/>
      <c r="D34" s="575" t="n">
        <f aca="false">Dados!$G$43</f>
        <v>0.03</v>
      </c>
      <c r="E34" s="606"/>
      <c r="F34" s="573" t="n">
        <f aca="false">ROUND((F31*$D$34),2)</f>
        <v>149.69</v>
      </c>
      <c r="G34" s="573" t="n">
        <f aca="false">ROUND((G31*$D$34),2)</f>
        <v>111.59</v>
      </c>
      <c r="H34" s="573" t="n">
        <f aca="false">ROUND((H31*$D$34),2)</f>
        <v>15.31</v>
      </c>
      <c r="I34" s="573" t="n">
        <f aca="false">ROUND((I31*$D$34),2)</f>
        <v>4.98</v>
      </c>
      <c r="J34" s="574" t="n">
        <f aca="false">ROUND((J31*$D$34),2)</f>
        <v>0</v>
      </c>
    </row>
    <row r="35" customFormat="false" ht="19.5" hidden="false" customHeight="true" outlineLevel="0" collapsed="false">
      <c r="A35" s="607" t="s">
        <v>632</v>
      </c>
      <c r="B35" s="607"/>
      <c r="C35" s="607"/>
      <c r="D35" s="575"/>
      <c r="E35" s="606"/>
      <c r="F35" s="573" t="n">
        <f aca="false">F31+F34</f>
        <v>5139.37416666667</v>
      </c>
      <c r="G35" s="573" t="n">
        <f aca="false">G31+G34</f>
        <v>3831.35333333333</v>
      </c>
      <c r="H35" s="573" t="n">
        <f aca="false">H31+H34</f>
        <v>525.71</v>
      </c>
      <c r="I35" s="573" t="n">
        <f aca="false">I31+I34</f>
        <v>170.96</v>
      </c>
      <c r="J35" s="574" t="n">
        <f aca="false">J31+J34</f>
        <v>0</v>
      </c>
    </row>
    <row r="36" customFormat="false" ht="19.5" hidden="false" customHeight="true" outlineLevel="0" collapsed="false">
      <c r="A36" s="608" t="s">
        <v>238</v>
      </c>
      <c r="B36" s="609"/>
      <c r="C36" s="609"/>
      <c r="D36" s="610" t="n">
        <f aca="false">Dados!$G$44</f>
        <v>0.0679</v>
      </c>
      <c r="E36" s="611"/>
      <c r="F36" s="579" t="n">
        <f aca="false">ROUND((F35*$D$36),2)</f>
        <v>348.96</v>
      </c>
      <c r="G36" s="579" t="n">
        <f aca="false">ROUND((G35*$D$36),2)</f>
        <v>260.15</v>
      </c>
      <c r="H36" s="579" t="n">
        <f aca="false">ROUND((H35*$D$36),2)</f>
        <v>35.7</v>
      </c>
      <c r="I36" s="579" t="n">
        <f aca="false">ROUND((I35*$D$36),2)</f>
        <v>11.61</v>
      </c>
      <c r="J36" s="580" t="n">
        <f aca="false">ROUND((J35*$D$36),2)</f>
        <v>0</v>
      </c>
    </row>
    <row r="37" customFormat="false" ht="19.5" hidden="false" customHeight="true" outlineLevel="0" collapsed="false">
      <c r="A37" s="612" t="s">
        <v>633</v>
      </c>
      <c r="B37" s="613"/>
      <c r="C37" s="613"/>
      <c r="D37" s="614" t="n">
        <f aca="false">SUM(D34:D36)</f>
        <v>0.0979</v>
      </c>
      <c r="E37" s="615"/>
      <c r="F37" s="587" t="n">
        <f aca="false">F34+F36</f>
        <v>498.65</v>
      </c>
      <c r="G37" s="587" t="n">
        <f aca="false">G34+G36</f>
        <v>371.74</v>
      </c>
      <c r="H37" s="587" t="n">
        <f aca="false">H34+H36</f>
        <v>51.01</v>
      </c>
      <c r="I37" s="587" t="n">
        <f aca="false">I34+I36</f>
        <v>16.59</v>
      </c>
      <c r="J37" s="588" t="n">
        <f aca="false">J34+J36</f>
        <v>0</v>
      </c>
    </row>
    <row r="38" customFormat="false" ht="19.5" hidden="false" customHeight="true" outlineLevel="0" collapsed="false">
      <c r="A38" s="616" t="s">
        <v>634</v>
      </c>
      <c r="B38" s="616"/>
      <c r="C38" s="616"/>
      <c r="D38" s="616"/>
      <c r="E38" s="616"/>
      <c r="F38" s="617" t="n">
        <f aca="false">F31+F37</f>
        <v>5488.33416666667</v>
      </c>
      <c r="G38" s="617" t="n">
        <f aca="false">G31+G37</f>
        <v>4091.50333333333</v>
      </c>
      <c r="H38" s="617" t="n">
        <f aca="false">H31+H37</f>
        <v>561.41</v>
      </c>
      <c r="I38" s="617" t="n">
        <f aca="false">I31+I37</f>
        <v>182.57</v>
      </c>
      <c r="J38" s="618" t="n">
        <f aca="false">J31+J37</f>
        <v>0</v>
      </c>
    </row>
    <row r="39" customFormat="false" ht="19.5" hidden="false" customHeight="true" outlineLevel="0" collapsed="false">
      <c r="A39" s="619" t="s">
        <v>635</v>
      </c>
      <c r="B39" s="619"/>
      <c r="C39" s="619"/>
      <c r="D39" s="619"/>
      <c r="E39" s="619"/>
      <c r="F39" s="619"/>
      <c r="G39" s="619"/>
      <c r="H39" s="619"/>
      <c r="I39" s="619"/>
      <c r="J39" s="619"/>
    </row>
    <row r="40" customFormat="false" ht="19.5" hidden="false" customHeight="true" outlineLevel="0" collapsed="false">
      <c r="A40" s="592" t="s">
        <v>244</v>
      </c>
      <c r="B40" s="592"/>
      <c r="C40" s="592"/>
      <c r="D40" s="575" t="n">
        <f aca="false">Dados!G51</f>
        <v>0.076</v>
      </c>
      <c r="E40" s="573"/>
      <c r="F40" s="573" t="n">
        <f aca="false">ROUND(($F$46*D40),2)</f>
        <v>486.43</v>
      </c>
      <c r="G40" s="573" t="n">
        <f aca="false">ROUND((G46*$D$40),2)</f>
        <v>362.63</v>
      </c>
      <c r="H40" s="573" t="n">
        <f aca="false">ROUND((H46*$D$40),2)</f>
        <v>49.76</v>
      </c>
      <c r="I40" s="573" t="n">
        <f aca="false">ROUND((I46*$D$40),2)</f>
        <v>16.18</v>
      </c>
      <c r="J40" s="574" t="n">
        <f aca="false">ROUND((J46*$D$40),2)</f>
        <v>0</v>
      </c>
    </row>
    <row r="41" customFormat="false" ht="19.5" hidden="false" customHeight="true" outlineLevel="0" collapsed="false">
      <c r="A41" s="592" t="s">
        <v>246</v>
      </c>
      <c r="B41" s="592"/>
      <c r="C41" s="592"/>
      <c r="D41" s="575" t="n">
        <f aca="false">Dados!G52</f>
        <v>0.0165</v>
      </c>
      <c r="E41" s="573"/>
      <c r="F41" s="573" t="n">
        <f aca="false">ROUND((F46*$D$41),2)</f>
        <v>105.61</v>
      </c>
      <c r="G41" s="573" t="n">
        <f aca="false">ROUND((G46*$D$41),2)</f>
        <v>78.73</v>
      </c>
      <c r="H41" s="573" t="n">
        <f aca="false">ROUND((H46*$D$41),2)</f>
        <v>10.8</v>
      </c>
      <c r="I41" s="573" t="n">
        <f aca="false">ROUND((I46*$D$41),2)</f>
        <v>3.51</v>
      </c>
      <c r="J41" s="574" t="n">
        <f aca="false">ROUND((J46*$D$41),2)</f>
        <v>0</v>
      </c>
    </row>
    <row r="42" customFormat="false" ht="19.5" hidden="false" customHeight="true" outlineLevel="0" collapsed="false">
      <c r="A42" s="592" t="s">
        <v>247</v>
      </c>
      <c r="B42" s="592"/>
      <c r="C42" s="592"/>
      <c r="D42" s="575" t="n">
        <f aca="false">Dados!G53</f>
        <v>0.05</v>
      </c>
      <c r="E42" s="573"/>
      <c r="F42" s="573" t="n">
        <f aca="false">ROUND((F46*$D$42),2)</f>
        <v>320.02</v>
      </c>
      <c r="G42" s="573" t="n">
        <f aca="false">ROUND((G46*$D$42),2)</f>
        <v>238.57</v>
      </c>
      <c r="H42" s="573" t="n">
        <f aca="false">ROUND((H46*$D$42),2)</f>
        <v>32.74</v>
      </c>
      <c r="I42" s="573" t="n">
        <f aca="false">ROUND((I46*$D$42),2)</f>
        <v>10.65</v>
      </c>
      <c r="J42" s="574" t="n">
        <f aca="false">ROUND((J46*$D$42),2)</f>
        <v>0</v>
      </c>
    </row>
    <row r="43" customFormat="false" ht="19.5" hidden="false" customHeight="true" outlineLevel="0" collapsed="false">
      <c r="A43" s="592" t="s">
        <v>233</v>
      </c>
      <c r="B43" s="592"/>
      <c r="C43" s="592"/>
      <c r="D43" s="575" t="n">
        <f aca="false">Dados!G54</f>
        <v>0</v>
      </c>
      <c r="E43" s="573"/>
      <c r="F43" s="573" t="n">
        <f aca="false">ROUND((F46*$D$43),2)</f>
        <v>0</v>
      </c>
      <c r="G43" s="573" t="n">
        <f aca="false">ROUND((G46*$D$43),2)</f>
        <v>0</v>
      </c>
      <c r="H43" s="573" t="n">
        <f aca="false">ROUND((H46*$D$43),2)</f>
        <v>0</v>
      </c>
      <c r="I43" s="573" t="n">
        <f aca="false">ROUND((I46*$D$43),2)</f>
        <v>0</v>
      </c>
      <c r="J43" s="574" t="n">
        <f aca="false">ROUND((J46*$D$43),2)</f>
        <v>0</v>
      </c>
    </row>
    <row r="44" customFormat="false" ht="19.5" hidden="false" customHeight="true" outlineLevel="0" collapsed="false">
      <c r="A44" s="620" t="s">
        <v>636</v>
      </c>
      <c r="B44" s="620"/>
      <c r="C44" s="620"/>
      <c r="D44" s="621" t="n">
        <f aca="false">SUM(D40:D43)</f>
        <v>0.1425</v>
      </c>
      <c r="E44" s="622"/>
      <c r="F44" s="623" t="n">
        <f aca="false">SUM(F40:F43)</f>
        <v>912.06</v>
      </c>
      <c r="G44" s="623" t="n">
        <f aca="false">SUM(G40:G43)</f>
        <v>679.93</v>
      </c>
      <c r="H44" s="623" t="n">
        <f aca="false">SUM(H40:H43)</f>
        <v>93.3</v>
      </c>
      <c r="I44" s="623" t="n">
        <f aca="false">SUM(I40:I43)</f>
        <v>30.34</v>
      </c>
      <c r="J44" s="624" t="n">
        <f aca="false">SUM(J40:J42)</f>
        <v>0</v>
      </c>
    </row>
    <row r="45" customFormat="false" ht="19.5" hidden="false" customHeight="true" outlineLevel="0" collapsed="false">
      <c r="A45" s="625" t="str">
        <f aca="false">CONCATENATE("Custo Mensal - ",A7)</f>
        <v>Custo Mensal - Servente de Limpeza  com acúmulo Copeira</v>
      </c>
      <c r="B45" s="625"/>
      <c r="C45" s="625"/>
      <c r="D45" s="625"/>
      <c r="E45" s="625"/>
      <c r="F45" s="626" t="n">
        <f aca="false">ROUND(F38/(1-D44),2)</f>
        <v>6400.39</v>
      </c>
      <c r="G45" s="626" t="n">
        <f aca="false">ROUND(G38/(1-D44),2)</f>
        <v>4771.43</v>
      </c>
      <c r="H45" s="626" t="n">
        <f aca="false">ROUND(H38/(1-D44),2)</f>
        <v>654.71</v>
      </c>
      <c r="I45" s="626" t="n">
        <f aca="false">ROUND(I38/(1-D44),2)</f>
        <v>212.91</v>
      </c>
      <c r="J45" s="627" t="n">
        <f aca="false">ROUND(J38/(1-D44),2)</f>
        <v>0</v>
      </c>
    </row>
    <row r="46" customFormat="false" ht="19.5" hidden="false" customHeight="true" outlineLevel="0" collapsed="false">
      <c r="A46" s="628" t="str">
        <f aca="false">CONCATENATE("Valor do Custo Mensal - ",A7)</f>
        <v>Valor do Custo Mensal - Servente de Limpeza  com acúmulo Copeira</v>
      </c>
      <c r="B46" s="628"/>
      <c r="C46" s="628"/>
      <c r="D46" s="628"/>
      <c r="E46" s="628"/>
      <c r="F46" s="626" t="n">
        <f aca="false">F45</f>
        <v>6400.39</v>
      </c>
      <c r="G46" s="626" t="n">
        <f aca="false">G45</f>
        <v>4771.43</v>
      </c>
      <c r="H46" s="626" t="n">
        <f aca="false">H45</f>
        <v>654.71</v>
      </c>
      <c r="I46" s="626" t="n">
        <f aca="false">I45</f>
        <v>212.91</v>
      </c>
      <c r="J46" s="627" t="n">
        <f aca="false">J45</f>
        <v>0</v>
      </c>
      <c r="K46" s="629"/>
      <c r="L46" s="629"/>
    </row>
    <row r="47" customFormat="false" ht="27.75" hidden="false" customHeight="true" outlineLevel="0" collapsed="false">
      <c r="A47" s="630" t="s">
        <v>637</v>
      </c>
      <c r="B47" s="630"/>
      <c r="C47" s="630"/>
      <c r="D47" s="630"/>
      <c r="E47" s="630"/>
      <c r="F47" s="631" t="n">
        <f aca="false">(F46/F14)</f>
        <v>3.80366555931277</v>
      </c>
      <c r="G47" s="631" t="n">
        <f aca="false">(G46/G14)</f>
        <v>2.83559657453245</v>
      </c>
      <c r="H47" s="632" t="s">
        <v>638</v>
      </c>
      <c r="I47" s="632"/>
      <c r="J47" s="633" t="n">
        <v>0</v>
      </c>
    </row>
    <row r="48" customFormat="false" ht="19.5" hidden="false" customHeight="true" outlineLevel="0" collapsed="false"/>
  </sheetData>
  <sheetProtection algorithmName="SHA-512" hashValue="HPkS8ZjcCWNqPV5466K0szTpgc1OKL8b2R46IjHiNWY1lO+W4hqNMi4BKzm46FUjJeaNLFKjiN0n9oI195nRLQ==" saltValue="6qg3B8H5mGn549jnhj5y3A==" spinCount="100000" sheet="true" objects="true" scenarios="true"/>
  <mergeCells count="50">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7:B27"/>
    <mergeCell ref="A28:B28"/>
    <mergeCell ref="A29:B29"/>
    <mergeCell ref="A30:E30"/>
    <mergeCell ref="A31:E31"/>
    <mergeCell ref="A32:J32"/>
    <mergeCell ref="A33:C33"/>
    <mergeCell ref="E33:J33"/>
    <mergeCell ref="A35:C35"/>
    <mergeCell ref="A38:E38"/>
    <mergeCell ref="A39:J39"/>
    <mergeCell ref="A40:C40"/>
    <mergeCell ref="A41:C41"/>
    <mergeCell ref="A42:C42"/>
    <mergeCell ref="A43:C43"/>
    <mergeCell ref="A44:C44"/>
    <mergeCell ref="A45:E45"/>
    <mergeCell ref="A46:E46"/>
    <mergeCell ref="A47:E47"/>
    <mergeCell ref="H47:I47"/>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8"/>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6796875" defaultRowHeight="14.25" zeroHeight="false" outlineLevelRow="0" outlineLevelCol="0"/>
  <cols>
    <col collapsed="false" customWidth="true" hidden="false" outlineLevel="0" max="1" min="1" style="82" width="10.56"/>
    <col collapsed="false" customWidth="true" hidden="false" outlineLevel="0" max="2" min="2" style="82" width="27.67"/>
    <col collapsed="false" customWidth="true" hidden="false" outlineLevel="0" max="3" min="3" style="82" width="14.44"/>
    <col collapsed="false" customWidth="true" hidden="false" outlineLevel="0" max="5" min="4" style="82" width="15"/>
    <col collapsed="false" customWidth="true" hidden="false" outlineLevel="0" max="6" min="6" style="549" width="16.67"/>
    <col collapsed="false" customWidth="true" hidden="false" outlineLevel="0" max="8" min="7" style="549" width="13.11"/>
    <col collapsed="false" customWidth="true" hidden="false" outlineLevel="0" max="10" min="9" style="549" width="12.56"/>
    <col collapsed="false" customWidth="true" hidden="false" outlineLevel="0" max="257" min="11" style="82" width="9.11"/>
    <col collapsed="false" customWidth="true" hidden="false" outlineLevel="0" max="258" min="258" style="82" width="10.56"/>
    <col collapsed="false" customWidth="true" hidden="false" outlineLevel="0" max="259" min="259" style="82" width="27.67"/>
    <col collapsed="false" customWidth="true" hidden="false" outlineLevel="0" max="260" min="260" style="82" width="14.44"/>
    <col collapsed="false" customWidth="true" hidden="false" outlineLevel="0" max="262" min="261" style="82" width="15"/>
    <col collapsed="false" customWidth="true" hidden="false" outlineLevel="0" max="263" min="263" style="82" width="16.67"/>
    <col collapsed="false" customWidth="true" hidden="false" outlineLevel="0" max="264" min="264" style="82" width="13.11"/>
    <col collapsed="false" customWidth="true" hidden="false" outlineLevel="0" max="266" min="265" style="82" width="12.56"/>
    <col collapsed="false" customWidth="true" hidden="false" outlineLevel="0" max="513" min="267" style="82" width="9.11"/>
    <col collapsed="false" customWidth="true" hidden="false" outlineLevel="0" max="514" min="514" style="82" width="10.56"/>
    <col collapsed="false" customWidth="true" hidden="false" outlineLevel="0" max="515" min="515" style="82" width="27.67"/>
    <col collapsed="false" customWidth="true" hidden="false" outlineLevel="0" max="516" min="516" style="82" width="14.44"/>
    <col collapsed="false" customWidth="true" hidden="false" outlineLevel="0" max="518" min="517" style="82" width="15"/>
    <col collapsed="false" customWidth="true" hidden="false" outlineLevel="0" max="519" min="519" style="82" width="16.67"/>
    <col collapsed="false" customWidth="true" hidden="false" outlineLevel="0" max="520" min="520" style="82" width="13.11"/>
    <col collapsed="false" customWidth="true" hidden="false" outlineLevel="0" max="522" min="521" style="82" width="12.56"/>
    <col collapsed="false" customWidth="true" hidden="false" outlineLevel="0" max="769" min="523" style="82" width="9.11"/>
    <col collapsed="false" customWidth="true" hidden="false" outlineLevel="0" max="770" min="770" style="82" width="10.56"/>
    <col collapsed="false" customWidth="true" hidden="false" outlineLevel="0" max="771" min="771" style="82" width="27.67"/>
    <col collapsed="false" customWidth="true" hidden="false" outlineLevel="0" max="772" min="772" style="82" width="14.44"/>
    <col collapsed="false" customWidth="true" hidden="false" outlineLevel="0" max="774" min="773" style="82" width="15"/>
    <col collapsed="false" customWidth="true" hidden="false" outlineLevel="0" max="775" min="775" style="82" width="16.67"/>
    <col collapsed="false" customWidth="true" hidden="false" outlineLevel="0" max="776" min="776" style="82" width="13.11"/>
    <col collapsed="false" customWidth="true" hidden="false" outlineLevel="0" max="778" min="777" style="82" width="12.56"/>
    <col collapsed="false" customWidth="true" hidden="false" outlineLevel="0" max="1025" min="779" style="82" width="9.11"/>
  </cols>
  <sheetData>
    <row r="1" customFormat="false" ht="14.25" hidden="false" customHeight="false" outlineLevel="0" collapsed="false">
      <c r="A1" s="550"/>
      <c r="B1" s="123" t="str">
        <f aca="false">INSTRUÇÕES!B1</f>
        <v>Tribunal Regional Federal da 6ª Região</v>
      </c>
      <c r="C1" s="551"/>
      <c r="D1" s="551"/>
      <c r="E1" s="551"/>
      <c r="F1" s="552"/>
      <c r="G1" s="553"/>
      <c r="H1" s="553"/>
      <c r="I1" s="552"/>
      <c r="J1" s="554"/>
    </row>
    <row r="2" customFormat="false" ht="14.25" hidden="false" customHeight="false" outlineLevel="0" collapsed="false">
      <c r="A2" s="555"/>
      <c r="B2" s="125" t="str">
        <f aca="false">INSTRUÇÕES!B2</f>
        <v>Seção Judiciária de Minas Gerais</v>
      </c>
      <c r="C2" s="68"/>
      <c r="D2" s="68"/>
      <c r="E2" s="68"/>
      <c r="F2" s="556"/>
      <c r="I2" s="556"/>
      <c r="J2" s="557"/>
    </row>
    <row r="3" customFormat="false" ht="14.25" hidden="false" customHeight="false" outlineLevel="0" collapsed="false">
      <c r="A3" s="207"/>
      <c r="B3" s="558" t="str">
        <f aca="false">INSTRUÇÕES!B3</f>
        <v>Subseção Judiciária de Poços de Caldas</v>
      </c>
      <c r="C3" s="68"/>
      <c r="D3" s="68"/>
      <c r="E3" s="68"/>
      <c r="F3" s="556"/>
      <c r="I3" s="556"/>
      <c r="J3" s="557"/>
    </row>
    <row r="4" customFormat="false" ht="19.5" hidden="false" customHeight="true" outlineLevel="0" collapsed="false">
      <c r="A4" s="529" t="s">
        <v>602</v>
      </c>
      <c r="B4" s="529"/>
      <c r="C4" s="529"/>
      <c r="D4" s="529"/>
      <c r="E4" s="529"/>
      <c r="F4" s="529"/>
      <c r="G4" s="529"/>
      <c r="H4" s="529"/>
      <c r="I4" s="529"/>
      <c r="J4" s="529"/>
    </row>
    <row r="5" customFormat="false" ht="19.5" hidden="false" customHeight="true" outlineLevel="0" collapsed="false">
      <c r="A5" s="559" t="s">
        <v>290</v>
      </c>
      <c r="B5" s="559"/>
      <c r="C5" s="559"/>
      <c r="D5" s="559"/>
      <c r="E5" s="559"/>
      <c r="F5" s="559"/>
      <c r="G5" s="559"/>
      <c r="H5" s="559"/>
      <c r="I5" s="559"/>
      <c r="J5" s="559"/>
    </row>
    <row r="6" customFormat="false" ht="36" hidden="false" customHeight="true" outlineLevel="0" collapsed="false">
      <c r="A6" s="560" t="str">
        <f aca="false">Dados!A4</f>
        <v>Sindicato utilizado - SINSERTH x SINTAPPI. Vigência: 01/04/2025 à 31/03/2026. Sendo a data base da categoria 1 de abril. Com número de registro no MTE MG001973/2025.</v>
      </c>
      <c r="B6" s="560"/>
      <c r="C6" s="560"/>
      <c r="D6" s="560"/>
      <c r="E6" s="560"/>
      <c r="F6" s="560"/>
      <c r="G6" s="560"/>
      <c r="H6" s="560"/>
      <c r="I6" s="560"/>
      <c r="J6" s="560"/>
    </row>
    <row r="7" customFormat="false" ht="19.5" hidden="false" customHeight="true" outlineLevel="0" collapsed="false">
      <c r="A7" s="561" t="str">
        <f aca="false">Dados!C9</f>
        <v>Zelador</v>
      </c>
      <c r="B7" s="561"/>
      <c r="C7" s="561"/>
      <c r="D7" s="561"/>
      <c r="E7" s="561"/>
      <c r="F7" s="562" t="s">
        <v>603</v>
      </c>
      <c r="G7" s="562" t="s">
        <v>604</v>
      </c>
      <c r="H7" s="562" t="s">
        <v>605</v>
      </c>
      <c r="I7" s="562" t="s">
        <v>606</v>
      </c>
      <c r="J7" s="562" t="s">
        <v>607</v>
      </c>
    </row>
    <row r="8" customFormat="false" ht="19.5" hidden="false" customHeight="true" outlineLevel="0" collapsed="false">
      <c r="A8" s="563" t="s">
        <v>608</v>
      </c>
      <c r="B8" s="563"/>
      <c r="C8" s="563"/>
      <c r="D8" s="563"/>
      <c r="E8" s="564" t="s">
        <v>498</v>
      </c>
      <c r="F8" s="562"/>
      <c r="G8" s="562"/>
      <c r="H8" s="562"/>
      <c r="I8" s="562"/>
      <c r="J8" s="562"/>
    </row>
    <row r="9" customFormat="false" ht="19.5" hidden="false" customHeight="true" outlineLevel="0" collapsed="false">
      <c r="A9" s="565" t="s">
        <v>609</v>
      </c>
      <c r="B9" s="565"/>
      <c r="C9" s="565"/>
      <c r="D9" s="565"/>
      <c r="E9" s="565"/>
      <c r="F9" s="565"/>
      <c r="G9" s="565"/>
      <c r="H9" s="565"/>
      <c r="I9" s="565"/>
      <c r="J9" s="565"/>
    </row>
    <row r="10" customFormat="false" ht="24" hidden="false" customHeight="true" outlineLevel="0" collapsed="false">
      <c r="A10" s="216" t="s">
        <v>499</v>
      </c>
      <c r="B10" s="566" t="s">
        <v>610</v>
      </c>
      <c r="C10" s="566"/>
      <c r="D10" s="567" t="s">
        <v>611</v>
      </c>
      <c r="E10" s="568" t="s">
        <v>612</v>
      </c>
      <c r="F10" s="569" t="s">
        <v>502</v>
      </c>
      <c r="G10" s="569"/>
      <c r="H10" s="569"/>
      <c r="I10" s="569"/>
      <c r="J10" s="569"/>
    </row>
    <row r="11" customFormat="false" ht="19.5" hidden="false" customHeight="true" outlineLevel="0" collapsed="false">
      <c r="A11" s="570" t="n">
        <v>1</v>
      </c>
      <c r="B11" s="571" t="str">
        <f aca="false">A7</f>
        <v>Zelador</v>
      </c>
      <c r="C11" s="571"/>
      <c r="D11" s="39" t="n">
        <f aca="false">Dados!$D$9</f>
        <v>220</v>
      </c>
      <c r="E11" s="572" t="n">
        <f aca="false">Dados!$E$9</f>
        <v>2441.1</v>
      </c>
      <c r="F11" s="573" t="n">
        <f aca="false">ROUND(E11/220*D11,2)</f>
        <v>2441.1</v>
      </c>
      <c r="G11" s="573" t="n">
        <f aca="false">F11</f>
        <v>2441.1</v>
      </c>
      <c r="H11" s="573"/>
      <c r="I11" s="573"/>
      <c r="J11" s="574"/>
    </row>
    <row r="12" customFormat="false" ht="19.5" hidden="false" customHeight="true" outlineLevel="0" collapsed="false">
      <c r="A12" s="570"/>
      <c r="B12" s="571" t="s">
        <v>613</v>
      </c>
      <c r="C12" s="571"/>
      <c r="D12" s="634" t="n">
        <f aca="false">Dados!G8</f>
        <v>0</v>
      </c>
      <c r="E12" s="572" t="n">
        <f aca="false">Dados!$G$27</f>
        <v>1518</v>
      </c>
      <c r="F12" s="573" t="n">
        <f aca="false">D12*E12</f>
        <v>0</v>
      </c>
      <c r="G12" s="573" t="n">
        <f aca="false">F12</f>
        <v>0</v>
      </c>
      <c r="H12" s="573"/>
      <c r="I12" s="573"/>
      <c r="J12" s="574" t="n">
        <f aca="false">F12</f>
        <v>0</v>
      </c>
    </row>
    <row r="13" customFormat="false" ht="30.75" hidden="false" customHeight="true" outlineLevel="0" collapsed="false">
      <c r="A13" s="570"/>
      <c r="B13" s="576" t="s">
        <v>614</v>
      </c>
      <c r="C13" s="577" t="n">
        <f aca="false">Dados!$I$9</f>
        <v>0</v>
      </c>
      <c r="D13" s="577" t="n">
        <f aca="false">Dados!$J$9</f>
        <v>0</v>
      </c>
      <c r="E13" s="578" t="n">
        <f aca="false">Dados!$K$9</f>
        <v>0</v>
      </c>
      <c r="F13" s="579" t="n">
        <f aca="false">ROUND((E13*D13*C13),2)</f>
        <v>0</v>
      </c>
      <c r="G13" s="579" t="n">
        <f aca="false">F13</f>
        <v>0</v>
      </c>
      <c r="H13" s="579"/>
      <c r="I13" s="579"/>
      <c r="J13" s="580"/>
    </row>
    <row r="14" customFormat="false" ht="19.5" hidden="false" customHeight="true" outlineLevel="0" collapsed="false">
      <c r="A14" s="570"/>
      <c r="B14" s="581" t="s">
        <v>615</v>
      </c>
      <c r="C14" s="581"/>
      <c r="D14" s="581"/>
      <c r="E14" s="581"/>
      <c r="F14" s="582" t="n">
        <f aca="false">SUM(F11:F13)</f>
        <v>2441.1</v>
      </c>
      <c r="G14" s="582" t="n">
        <f aca="false">SUM(G11:G13)</f>
        <v>2441.1</v>
      </c>
      <c r="H14" s="582" t="n">
        <f aca="false">SUM(H11:H13)</f>
        <v>0</v>
      </c>
      <c r="I14" s="582" t="n">
        <f aca="false">SUM(I11:I13)</f>
        <v>0</v>
      </c>
      <c r="J14" s="583" t="n">
        <f aca="false">SUM(J11:J13)</f>
        <v>0</v>
      </c>
    </row>
    <row r="15" customFormat="false" ht="19.5" hidden="false" customHeight="true" outlineLevel="0" collapsed="false">
      <c r="A15" s="570"/>
      <c r="B15" s="584" t="s">
        <v>616</v>
      </c>
      <c r="C15" s="584"/>
      <c r="D15" s="584"/>
      <c r="E15" s="585" t="n">
        <f aca="false">Encargos!$C$57</f>
        <v>0.764</v>
      </c>
      <c r="F15" s="573" t="n">
        <f aca="false">ROUND((E15*F14),2)</f>
        <v>1865</v>
      </c>
      <c r="G15" s="573" t="n">
        <f aca="false">F15</f>
        <v>1865</v>
      </c>
      <c r="H15" s="573"/>
      <c r="I15" s="573"/>
      <c r="J15" s="574" t="n">
        <f aca="false">ROUND((E15*J14),2)</f>
        <v>0</v>
      </c>
    </row>
    <row r="16" customFormat="false" ht="19.5" hidden="false" customHeight="true" outlineLevel="0" collapsed="false">
      <c r="A16" s="586" t="s">
        <v>617</v>
      </c>
      <c r="B16" s="586"/>
      <c r="C16" s="586"/>
      <c r="D16" s="586"/>
      <c r="E16" s="586"/>
      <c r="F16" s="587" t="n">
        <f aca="false">SUM(F14:F15)</f>
        <v>4306.1</v>
      </c>
      <c r="G16" s="587" t="n">
        <f aca="false">SUM(G14:G15)</f>
        <v>4306.1</v>
      </c>
      <c r="H16" s="587" t="n">
        <f aca="false">SUM(H14:H15)</f>
        <v>0</v>
      </c>
      <c r="I16" s="587" t="n">
        <f aca="false">SUM(I14:I15)</f>
        <v>0</v>
      </c>
      <c r="J16" s="588" t="n">
        <f aca="false">SUM(J14:J15)</f>
        <v>0</v>
      </c>
    </row>
    <row r="17" customFormat="false" ht="19.5" hidden="false" customHeight="true" outlineLevel="0" collapsed="false">
      <c r="A17" s="589" t="s">
        <v>618</v>
      </c>
      <c r="B17" s="589"/>
      <c r="C17" s="589"/>
      <c r="D17" s="589"/>
      <c r="E17" s="589"/>
      <c r="F17" s="589"/>
      <c r="G17" s="589"/>
      <c r="H17" s="589"/>
      <c r="I17" s="589"/>
      <c r="J17" s="589"/>
    </row>
    <row r="18" customFormat="false" ht="19.5" hidden="false" customHeight="true" outlineLevel="0" collapsed="false">
      <c r="A18" s="590" t="s">
        <v>619</v>
      </c>
      <c r="B18" s="590"/>
      <c r="C18" s="49" t="s">
        <v>501</v>
      </c>
      <c r="D18" s="591" t="s">
        <v>639</v>
      </c>
      <c r="E18" s="591"/>
      <c r="F18" s="574" t="s">
        <v>502</v>
      </c>
      <c r="G18" s="574"/>
      <c r="H18" s="574"/>
      <c r="I18" s="574"/>
      <c r="J18" s="574"/>
    </row>
    <row r="19" customFormat="false" ht="19.5" hidden="false" customHeight="true" outlineLevel="0" collapsed="false">
      <c r="A19" s="592" t="s">
        <v>621</v>
      </c>
      <c r="B19" s="592"/>
      <c r="C19" s="593"/>
      <c r="D19" s="593"/>
      <c r="E19" s="593"/>
      <c r="F19" s="573" t="n">
        <f aca="false">Dados!$N$9</f>
        <v>58.92</v>
      </c>
      <c r="G19" s="573" t="n">
        <f aca="false">F19</f>
        <v>58.92</v>
      </c>
      <c r="H19" s="573"/>
      <c r="I19" s="573"/>
      <c r="J19" s="574"/>
    </row>
    <row r="20" customFormat="false" ht="19.5" hidden="false" customHeight="true" outlineLevel="0" collapsed="false">
      <c r="A20" s="592" t="s">
        <v>622</v>
      </c>
      <c r="B20" s="592"/>
      <c r="C20" s="593"/>
      <c r="D20" s="593"/>
      <c r="E20" s="593"/>
      <c r="F20" s="573" t="n">
        <f aca="false">Dados!$G$30</f>
        <v>5.27</v>
      </c>
      <c r="G20" s="573" t="n">
        <f aca="false">F20</f>
        <v>5.27</v>
      </c>
      <c r="H20" s="573"/>
      <c r="I20" s="573"/>
      <c r="J20" s="574"/>
    </row>
    <row r="21" customFormat="false" ht="23.25" hidden="false" customHeight="true" outlineLevel="0" collapsed="false">
      <c r="A21" s="594" t="s">
        <v>220</v>
      </c>
      <c r="B21" s="594"/>
      <c r="C21" s="593"/>
      <c r="D21" s="593"/>
      <c r="E21" s="593"/>
      <c r="F21" s="573" t="n">
        <f aca="false">Dados!G31</f>
        <v>0</v>
      </c>
      <c r="G21" s="573" t="n">
        <f aca="false">F21</f>
        <v>0</v>
      </c>
      <c r="H21" s="573"/>
      <c r="I21" s="573"/>
      <c r="J21" s="574"/>
    </row>
    <row r="22" customFormat="false" ht="19.5" hidden="false" customHeight="true" outlineLevel="0" collapsed="false">
      <c r="A22" s="592" t="s">
        <v>221</v>
      </c>
      <c r="B22" s="592"/>
      <c r="C22" s="595" t="n">
        <f aca="false">Dados!$G$34</f>
        <v>22</v>
      </c>
      <c r="D22" s="595" t="n">
        <f aca="false">Dados!$G$33</f>
        <v>2</v>
      </c>
      <c r="E22" s="593" t="n">
        <f aca="false">Dados!$G$32</f>
        <v>6</v>
      </c>
      <c r="F22" s="573" t="n">
        <f aca="false">IF(ROUND((E22*D22*C22)-(F11*Dados!$G$35),2)&lt;0,0,ROUND((E22*D22*C22)-(F11*Dados!$G$35),2))</f>
        <v>117.53</v>
      </c>
      <c r="G22" s="573" t="n">
        <f aca="false">F22</f>
        <v>117.53</v>
      </c>
      <c r="H22" s="573"/>
      <c r="I22" s="573" t="n">
        <f aca="false">F22</f>
        <v>117.53</v>
      </c>
      <c r="J22" s="574"/>
    </row>
    <row r="23" customFormat="false" ht="19.5" hidden="false" customHeight="true" outlineLevel="0" collapsed="false">
      <c r="A23" s="592" t="s">
        <v>230</v>
      </c>
      <c r="B23" s="592"/>
      <c r="C23" s="595" t="n">
        <f aca="false">Dados!G37</f>
        <v>22</v>
      </c>
      <c r="D23" s="596" t="n">
        <f aca="false">Dados!G38</f>
        <v>0.2</v>
      </c>
      <c r="E23" s="593" t="n">
        <f aca="false">Dados!$G$36</f>
        <v>29</v>
      </c>
      <c r="F23" s="327" t="n">
        <f aca="false">ROUND((IF(D11&gt;150,((C23*E23)-(C23*(D23*E23))),0)),2)</f>
        <v>510.4</v>
      </c>
      <c r="G23" s="573" t="n">
        <f aca="false">F23</f>
        <v>510.4</v>
      </c>
      <c r="H23" s="573" t="n">
        <f aca="false">$F$23</f>
        <v>510.4</v>
      </c>
      <c r="I23" s="327"/>
      <c r="J23" s="574"/>
    </row>
    <row r="24" customFormat="false" ht="19.5" hidden="false" customHeight="true" outlineLevel="0" collapsed="false">
      <c r="A24" s="592" t="s">
        <v>178</v>
      </c>
      <c r="B24" s="592"/>
      <c r="C24" s="595"/>
      <c r="D24" s="593"/>
      <c r="E24" s="593"/>
      <c r="F24" s="573" t="n">
        <f aca="false">Dados!Q9</f>
        <v>45.3633333333333</v>
      </c>
      <c r="G24" s="573" t="n">
        <f aca="false">F24</f>
        <v>45.3633333333333</v>
      </c>
      <c r="H24" s="573"/>
      <c r="I24" s="573"/>
      <c r="J24" s="573"/>
      <c r="L24" s="68"/>
    </row>
    <row r="25" customFormat="false" ht="14.25" hidden="false" customHeight="false" outlineLevel="0" collapsed="false">
      <c r="A25" s="592" t="s">
        <v>623</v>
      </c>
      <c r="B25" s="592"/>
      <c r="C25" s="595"/>
      <c r="D25" s="593"/>
      <c r="E25" s="593"/>
      <c r="F25" s="573" t="n">
        <v>0</v>
      </c>
      <c r="G25" s="635"/>
      <c r="H25" s="635"/>
      <c r="I25" s="635"/>
      <c r="J25" s="635"/>
    </row>
    <row r="26" customFormat="false" ht="19.5" hidden="false" customHeight="true" outlineLevel="0" collapsed="false">
      <c r="A26" s="592" t="s">
        <v>624</v>
      </c>
      <c r="B26" s="597"/>
      <c r="C26" s="595"/>
      <c r="D26" s="593"/>
      <c r="E26" s="593"/>
      <c r="F26" s="573"/>
      <c r="G26" s="573"/>
      <c r="H26" s="573"/>
      <c r="I26" s="573"/>
      <c r="J26" s="573"/>
    </row>
    <row r="27" customFormat="false" ht="19.5" hidden="false" customHeight="true" outlineLevel="0" collapsed="false">
      <c r="A27" s="598" t="s">
        <v>625</v>
      </c>
      <c r="B27" s="598"/>
      <c r="C27" s="599"/>
      <c r="D27" s="600"/>
      <c r="E27" s="600"/>
      <c r="F27" s="573" t="n">
        <f aca="false">Dados!R9</f>
        <v>25.64</v>
      </c>
      <c r="G27" s="573" t="n">
        <f aca="false">F27</f>
        <v>25.64</v>
      </c>
      <c r="H27" s="573"/>
      <c r="I27" s="573"/>
      <c r="J27" s="573"/>
    </row>
    <row r="28" customFormat="false" ht="19.5" hidden="false" customHeight="true" outlineLevel="0" collapsed="false">
      <c r="A28" s="592" t="str">
        <f aca="false">Dados!$B$39</f>
        <v>Outros (inserir somente com a justificativa legal)</v>
      </c>
      <c r="B28" s="592"/>
      <c r="C28" s="595"/>
      <c r="D28" s="595"/>
      <c r="E28" s="593"/>
      <c r="F28" s="327" t="n">
        <f aca="false">Dados!$G$39</f>
        <v>0</v>
      </c>
      <c r="G28" s="573"/>
      <c r="H28" s="573"/>
      <c r="I28" s="327"/>
      <c r="J28" s="573"/>
    </row>
    <row r="29" customFormat="false" ht="19.5" hidden="false" customHeight="true" outlineLevel="0" collapsed="false">
      <c r="A29" s="592" t="str">
        <f aca="false">Dados!$B$40</f>
        <v>Outros (inserir somente com a justificativa legal)</v>
      </c>
      <c r="B29" s="592"/>
      <c r="C29" s="595"/>
      <c r="D29" s="595"/>
      <c r="E29" s="593"/>
      <c r="F29" s="327" t="n">
        <f aca="false">Dados!$G$40</f>
        <v>0</v>
      </c>
      <c r="G29" s="573"/>
      <c r="H29" s="573"/>
      <c r="I29" s="327"/>
      <c r="J29" s="574"/>
    </row>
    <row r="30" customFormat="false" ht="19.5" hidden="false" customHeight="true" outlineLevel="0" collapsed="false">
      <c r="A30" s="601" t="s">
        <v>626</v>
      </c>
      <c r="B30" s="601"/>
      <c r="C30" s="601"/>
      <c r="D30" s="601"/>
      <c r="E30" s="601"/>
      <c r="F30" s="587" t="n">
        <f aca="false">SUM(F19:F29)</f>
        <v>763.123333333333</v>
      </c>
      <c r="G30" s="587" t="n">
        <f aca="false">SUM(G19:G29)</f>
        <v>763.123333333333</v>
      </c>
      <c r="H30" s="587" t="n">
        <f aca="false">SUM(H19:H29)</f>
        <v>510.4</v>
      </c>
      <c r="I30" s="587" t="n">
        <f aca="false">SUM(I19:I29)</f>
        <v>117.53</v>
      </c>
      <c r="J30" s="588" t="n">
        <f aca="false">SUM(J19:J29)</f>
        <v>0</v>
      </c>
    </row>
    <row r="31" customFormat="false" ht="19.5" hidden="false" customHeight="true" outlineLevel="0" collapsed="false">
      <c r="A31" s="601" t="s">
        <v>627</v>
      </c>
      <c r="B31" s="601"/>
      <c r="C31" s="601"/>
      <c r="D31" s="601"/>
      <c r="E31" s="601"/>
      <c r="F31" s="587" t="n">
        <f aca="false">F16+F30</f>
        <v>5069.22333333333</v>
      </c>
      <c r="G31" s="587" t="n">
        <f aca="false">G16+G30</f>
        <v>5069.22333333333</v>
      </c>
      <c r="H31" s="587" t="n">
        <f aca="false">H16+H30</f>
        <v>510.4</v>
      </c>
      <c r="I31" s="587" t="n">
        <f aca="false">I16+I30</f>
        <v>117.53</v>
      </c>
      <c r="J31" s="588" t="n">
        <f aca="false">J16+J30</f>
        <v>0</v>
      </c>
    </row>
    <row r="32" customFormat="false" ht="19.5" hidden="false" customHeight="true" outlineLevel="0" collapsed="false">
      <c r="A32" s="565" t="s">
        <v>628</v>
      </c>
      <c r="B32" s="565"/>
      <c r="C32" s="565"/>
      <c r="D32" s="565"/>
      <c r="E32" s="565"/>
      <c r="F32" s="565"/>
      <c r="G32" s="565"/>
      <c r="H32" s="565"/>
      <c r="I32" s="565"/>
      <c r="J32" s="565"/>
    </row>
    <row r="33" customFormat="false" ht="19.5" hidden="false" customHeight="true" outlineLevel="0" collapsed="false">
      <c r="A33" s="590" t="s">
        <v>629</v>
      </c>
      <c r="B33" s="590"/>
      <c r="C33" s="590"/>
      <c r="D33" s="602" t="s">
        <v>630</v>
      </c>
      <c r="E33" s="603" t="s">
        <v>502</v>
      </c>
      <c r="F33" s="603"/>
      <c r="G33" s="603"/>
      <c r="H33" s="603"/>
      <c r="I33" s="603"/>
      <c r="J33" s="603"/>
    </row>
    <row r="34" customFormat="false" ht="19.5" hidden="false" customHeight="true" outlineLevel="0" collapsed="false">
      <c r="A34" s="604" t="s">
        <v>631</v>
      </c>
      <c r="B34" s="605"/>
      <c r="C34" s="605"/>
      <c r="D34" s="575" t="n">
        <f aca="false">Dados!$G$43</f>
        <v>0.03</v>
      </c>
      <c r="E34" s="606"/>
      <c r="F34" s="573" t="n">
        <f aca="false">ROUND((F31*$D$34),2)</f>
        <v>152.08</v>
      </c>
      <c r="G34" s="573" t="n">
        <f aca="false">ROUND((G31*$D$34),2)</f>
        <v>152.08</v>
      </c>
      <c r="H34" s="573" t="n">
        <f aca="false">ROUND((H31*$D$34),2)</f>
        <v>15.31</v>
      </c>
      <c r="I34" s="573" t="n">
        <f aca="false">ROUND((I31*$D$34),2)</f>
        <v>3.53</v>
      </c>
      <c r="J34" s="574" t="n">
        <f aca="false">ROUND((J31*$D$34),2)</f>
        <v>0</v>
      </c>
    </row>
    <row r="35" customFormat="false" ht="19.5" hidden="false" customHeight="true" outlineLevel="0" collapsed="false">
      <c r="A35" s="607" t="s">
        <v>632</v>
      </c>
      <c r="B35" s="607"/>
      <c r="C35" s="607"/>
      <c r="D35" s="575"/>
      <c r="E35" s="606"/>
      <c r="F35" s="573" t="n">
        <f aca="false">F31+F34</f>
        <v>5221.30333333333</v>
      </c>
      <c r="G35" s="573" t="n">
        <f aca="false">G31+G34</f>
        <v>5221.30333333333</v>
      </c>
      <c r="H35" s="573" t="n">
        <f aca="false">H31+H34</f>
        <v>525.71</v>
      </c>
      <c r="I35" s="573" t="n">
        <f aca="false">I31+I34</f>
        <v>121.06</v>
      </c>
      <c r="J35" s="574" t="n">
        <f aca="false">J31+J34</f>
        <v>0</v>
      </c>
    </row>
    <row r="36" customFormat="false" ht="19.5" hidden="false" customHeight="true" outlineLevel="0" collapsed="false">
      <c r="A36" s="608" t="s">
        <v>238</v>
      </c>
      <c r="B36" s="609"/>
      <c r="C36" s="609"/>
      <c r="D36" s="610" t="n">
        <f aca="false">Dados!$G$44</f>
        <v>0.0679</v>
      </c>
      <c r="E36" s="611"/>
      <c r="F36" s="579" t="n">
        <f aca="false">ROUND((F35*$D$36),2)</f>
        <v>354.53</v>
      </c>
      <c r="G36" s="579" t="n">
        <f aca="false">ROUND((G35*$D$36),2)</f>
        <v>354.53</v>
      </c>
      <c r="H36" s="579" t="n">
        <f aca="false">ROUND((H35*$D$36),2)</f>
        <v>35.7</v>
      </c>
      <c r="I36" s="579" t="n">
        <f aca="false">ROUND((I35*$D$36),2)</f>
        <v>8.22</v>
      </c>
      <c r="J36" s="580" t="n">
        <f aca="false">ROUND((J35*$D$36),2)</f>
        <v>0</v>
      </c>
    </row>
    <row r="37" customFormat="false" ht="19.5" hidden="false" customHeight="true" outlineLevel="0" collapsed="false">
      <c r="A37" s="612" t="s">
        <v>633</v>
      </c>
      <c r="B37" s="613"/>
      <c r="C37" s="613"/>
      <c r="D37" s="614" t="n">
        <f aca="false">SUM(D34:D36)</f>
        <v>0.0979</v>
      </c>
      <c r="E37" s="615"/>
      <c r="F37" s="587" t="n">
        <f aca="false">F34+F36</f>
        <v>506.61</v>
      </c>
      <c r="G37" s="587" t="n">
        <f aca="false">G34+G36</f>
        <v>506.61</v>
      </c>
      <c r="H37" s="587" t="n">
        <f aca="false">H34+H36</f>
        <v>51.01</v>
      </c>
      <c r="I37" s="587" t="n">
        <f aca="false">I34+I36</f>
        <v>11.75</v>
      </c>
      <c r="J37" s="588" t="n">
        <f aca="false">J34+J36</f>
        <v>0</v>
      </c>
    </row>
    <row r="38" customFormat="false" ht="19.5" hidden="false" customHeight="true" outlineLevel="0" collapsed="false">
      <c r="A38" s="616" t="s">
        <v>634</v>
      </c>
      <c r="B38" s="616"/>
      <c r="C38" s="616"/>
      <c r="D38" s="616"/>
      <c r="E38" s="616"/>
      <c r="F38" s="617" t="n">
        <f aca="false">F31+F37</f>
        <v>5575.83333333333</v>
      </c>
      <c r="G38" s="617" t="n">
        <f aca="false">G31+G37</f>
        <v>5575.83333333333</v>
      </c>
      <c r="H38" s="617" t="n">
        <f aca="false">H31+H37</f>
        <v>561.41</v>
      </c>
      <c r="I38" s="617" t="n">
        <f aca="false">I31+I37</f>
        <v>129.28</v>
      </c>
      <c r="J38" s="618" t="n">
        <f aca="false">J31+J37</f>
        <v>0</v>
      </c>
    </row>
    <row r="39" customFormat="false" ht="19.5" hidden="false" customHeight="true" outlineLevel="0" collapsed="false">
      <c r="A39" s="619" t="s">
        <v>635</v>
      </c>
      <c r="B39" s="619"/>
      <c r="C39" s="619"/>
      <c r="D39" s="619"/>
      <c r="E39" s="619"/>
      <c r="F39" s="619"/>
      <c r="G39" s="619"/>
      <c r="H39" s="619"/>
      <c r="I39" s="619"/>
      <c r="J39" s="619"/>
    </row>
    <row r="40" customFormat="false" ht="19.5" hidden="false" customHeight="true" outlineLevel="0" collapsed="false">
      <c r="A40" s="592" t="s">
        <v>244</v>
      </c>
      <c r="B40" s="592"/>
      <c r="C40" s="592"/>
      <c r="D40" s="575" t="n">
        <f aca="false">Dados!G51</f>
        <v>0.076</v>
      </c>
      <c r="E40" s="573"/>
      <c r="F40" s="573" t="n">
        <f aca="false">ROUND(($F$46*D40),2)</f>
        <v>494.18</v>
      </c>
      <c r="G40" s="573" t="n">
        <f aca="false">ROUND((G46*$D$40),2)</f>
        <v>494.18</v>
      </c>
      <c r="H40" s="573" t="n">
        <f aca="false">ROUND((H46*$D$40),2)</f>
        <v>49.76</v>
      </c>
      <c r="I40" s="573" t="n">
        <f aca="false">ROUND((I46*$D$40),2)</f>
        <v>11.46</v>
      </c>
      <c r="J40" s="574" t="n">
        <f aca="false">ROUND((J46*$D$40),2)</f>
        <v>0</v>
      </c>
    </row>
    <row r="41" customFormat="false" ht="19.5" hidden="false" customHeight="true" outlineLevel="0" collapsed="false">
      <c r="A41" s="592" t="s">
        <v>246</v>
      </c>
      <c r="B41" s="592"/>
      <c r="C41" s="592"/>
      <c r="D41" s="575" t="n">
        <f aca="false">Dados!G52</f>
        <v>0.0165</v>
      </c>
      <c r="E41" s="573"/>
      <c r="F41" s="573" t="n">
        <f aca="false">ROUND((F46*$D$41),2)</f>
        <v>107.29</v>
      </c>
      <c r="G41" s="573" t="n">
        <f aca="false">ROUND((G46*$D$41),2)</f>
        <v>107.29</v>
      </c>
      <c r="H41" s="573" t="n">
        <f aca="false">ROUND((H46*$D$41),2)</f>
        <v>10.8</v>
      </c>
      <c r="I41" s="573" t="n">
        <f aca="false">ROUND((I46*$D$41),2)</f>
        <v>2.49</v>
      </c>
      <c r="J41" s="574" t="n">
        <f aca="false">ROUND((J46*$D$41),2)</f>
        <v>0</v>
      </c>
    </row>
    <row r="42" customFormat="false" ht="19.5" hidden="false" customHeight="true" outlineLevel="0" collapsed="false">
      <c r="A42" s="592" t="s">
        <v>247</v>
      </c>
      <c r="B42" s="592"/>
      <c r="C42" s="592"/>
      <c r="D42" s="575" t="n">
        <f aca="false">Dados!G53</f>
        <v>0.05</v>
      </c>
      <c r="E42" s="573"/>
      <c r="F42" s="573" t="n">
        <f aca="false">ROUND((F46*$D$42),2)</f>
        <v>325.12</v>
      </c>
      <c r="G42" s="573" t="n">
        <f aca="false">ROUND((G46*$D$42),2)</f>
        <v>325.12</v>
      </c>
      <c r="H42" s="573" t="n">
        <f aca="false">ROUND((H46*$D$42),2)</f>
        <v>32.74</v>
      </c>
      <c r="I42" s="573" t="n">
        <f aca="false">ROUND((I46*$D$42),2)</f>
        <v>7.54</v>
      </c>
      <c r="J42" s="574" t="n">
        <f aca="false">ROUND((J46*$D$42),2)</f>
        <v>0</v>
      </c>
    </row>
    <row r="43" customFormat="false" ht="19.5" hidden="false" customHeight="true" outlineLevel="0" collapsed="false">
      <c r="A43" s="592" t="s">
        <v>233</v>
      </c>
      <c r="B43" s="592"/>
      <c r="C43" s="592"/>
      <c r="D43" s="575" t="n">
        <f aca="false">Dados!G54</f>
        <v>0</v>
      </c>
      <c r="E43" s="573"/>
      <c r="F43" s="573" t="n">
        <f aca="false">ROUND((F46*$D$43),2)</f>
        <v>0</v>
      </c>
      <c r="G43" s="573" t="n">
        <f aca="false">ROUND((G46*$D$43),2)</f>
        <v>0</v>
      </c>
      <c r="H43" s="573" t="n">
        <f aca="false">ROUND((H46*$D$43),2)</f>
        <v>0</v>
      </c>
      <c r="I43" s="573" t="n">
        <f aca="false">ROUND((I46*$D$43),2)</f>
        <v>0</v>
      </c>
      <c r="J43" s="574" t="n">
        <f aca="false">ROUND((J46*$D$43),2)</f>
        <v>0</v>
      </c>
    </row>
    <row r="44" customFormat="false" ht="19.5" hidden="false" customHeight="true" outlineLevel="0" collapsed="false">
      <c r="A44" s="620" t="s">
        <v>636</v>
      </c>
      <c r="B44" s="620"/>
      <c r="C44" s="620"/>
      <c r="D44" s="621" t="n">
        <f aca="false">SUM(D40:D43)</f>
        <v>0.1425</v>
      </c>
      <c r="E44" s="622"/>
      <c r="F44" s="623" t="n">
        <f aca="false">SUM(F40:F43)</f>
        <v>926.59</v>
      </c>
      <c r="G44" s="623" t="n">
        <f aca="false">SUM(G40:G43)</f>
        <v>926.59</v>
      </c>
      <c r="H44" s="623" t="n">
        <f aca="false">SUM(H40:H43)</f>
        <v>93.3</v>
      </c>
      <c r="I44" s="623" t="n">
        <f aca="false">SUM(I40:I43)</f>
        <v>21.49</v>
      </c>
      <c r="J44" s="624" t="n">
        <f aca="false">SUM(J40:J42)</f>
        <v>0</v>
      </c>
    </row>
    <row r="45" customFormat="false" ht="19.5" hidden="false" customHeight="true" outlineLevel="0" collapsed="false">
      <c r="A45" s="625" t="str">
        <f aca="false">CONCATENATE("Custo Mensal - ",A7)</f>
        <v>Custo Mensal - Zelador</v>
      </c>
      <c r="B45" s="625"/>
      <c r="C45" s="625"/>
      <c r="D45" s="625"/>
      <c r="E45" s="625"/>
      <c r="F45" s="626" t="n">
        <f aca="false">ROUND(F38/(1-D44),2)</f>
        <v>6502.43</v>
      </c>
      <c r="G45" s="626" t="n">
        <f aca="false">ROUND(G38/(1-D44),2)</f>
        <v>6502.43</v>
      </c>
      <c r="H45" s="626" t="n">
        <f aca="false">ROUND(H38/(1-D44),2)</f>
        <v>654.71</v>
      </c>
      <c r="I45" s="626" t="n">
        <f aca="false">ROUND(I38/(1-D44),2)</f>
        <v>150.76</v>
      </c>
      <c r="J45" s="627" t="n">
        <f aca="false">ROUND(J38/(1-D44),2)</f>
        <v>0</v>
      </c>
    </row>
    <row r="46" customFormat="false" ht="19.5" hidden="false" customHeight="true" outlineLevel="0" collapsed="false">
      <c r="A46" s="628" t="str">
        <f aca="false">CONCATENATE("Valor do Custo Mensal - ",A7)</f>
        <v>Valor do Custo Mensal - Zelador</v>
      </c>
      <c r="B46" s="628"/>
      <c r="C46" s="628"/>
      <c r="D46" s="628"/>
      <c r="E46" s="628"/>
      <c r="F46" s="626" t="n">
        <f aca="false">F45</f>
        <v>6502.43</v>
      </c>
      <c r="G46" s="626" t="n">
        <f aca="false">G45</f>
        <v>6502.43</v>
      </c>
      <c r="H46" s="626" t="n">
        <f aca="false">H45</f>
        <v>654.71</v>
      </c>
      <c r="I46" s="626" t="n">
        <f aca="false">I45</f>
        <v>150.76</v>
      </c>
      <c r="J46" s="627" t="n">
        <f aca="false">J45</f>
        <v>0</v>
      </c>
      <c r="K46" s="629"/>
      <c r="L46" s="629"/>
    </row>
    <row r="47" customFormat="false" ht="27.75" hidden="false" customHeight="true" outlineLevel="0" collapsed="false">
      <c r="A47" s="630" t="s">
        <v>637</v>
      </c>
      <c r="B47" s="630"/>
      <c r="C47" s="630"/>
      <c r="D47" s="630"/>
      <c r="E47" s="630"/>
      <c r="F47" s="631" t="n">
        <f aca="false">(F46/F14)</f>
        <v>2.66372946622424</v>
      </c>
      <c r="G47" s="631" t="n">
        <f aca="false">(G46/G14)</f>
        <v>2.66372946622424</v>
      </c>
      <c r="H47" s="632" t="s">
        <v>638</v>
      </c>
      <c r="I47" s="632"/>
      <c r="J47" s="633" t="n">
        <v>0</v>
      </c>
    </row>
    <row r="48" customFormat="false" ht="19.5" hidden="false" customHeight="true" outlineLevel="0" collapsed="false"/>
  </sheetData>
  <sheetProtection algorithmName="SHA-512" hashValue="0sMc+ctiHmHguUWeIH2PrLw81dYlSGkVkKJPPMZ6IK6/CzP3FzkCCmt4Buc9tv1OzS7SjW7Z+SdtF+arRd4Djg==" saltValue="ykax+gtVnl/w0nH2aFHjTQ==" spinCount="100000" sheet="true" objects="true" scenarios="true"/>
  <mergeCells count="50">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7:B27"/>
    <mergeCell ref="A28:B28"/>
    <mergeCell ref="A29:B29"/>
    <mergeCell ref="A30:E30"/>
    <mergeCell ref="A31:E31"/>
    <mergeCell ref="A32:J32"/>
    <mergeCell ref="A33:C33"/>
    <mergeCell ref="E33:J33"/>
    <mergeCell ref="A35:C35"/>
    <mergeCell ref="A38:E38"/>
    <mergeCell ref="A39:J39"/>
    <mergeCell ref="A40:C40"/>
    <mergeCell ref="A41:C41"/>
    <mergeCell ref="A42:C42"/>
    <mergeCell ref="A43:C43"/>
    <mergeCell ref="A44:C44"/>
    <mergeCell ref="A45:E45"/>
    <mergeCell ref="A46:E46"/>
    <mergeCell ref="A47:E47"/>
    <mergeCell ref="H47:I47"/>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8"/>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6796875" defaultRowHeight="14.25" zeroHeight="false" outlineLevelRow="0" outlineLevelCol="0"/>
  <cols>
    <col collapsed="false" customWidth="true" hidden="false" outlineLevel="0" max="1" min="1" style="82" width="10.56"/>
    <col collapsed="false" customWidth="true" hidden="false" outlineLevel="0" max="2" min="2" style="82" width="27.67"/>
    <col collapsed="false" customWidth="true" hidden="false" outlineLevel="0" max="3" min="3" style="82" width="14.44"/>
    <col collapsed="false" customWidth="true" hidden="false" outlineLevel="0" max="5" min="4" style="82" width="15"/>
    <col collapsed="false" customWidth="true" hidden="false" outlineLevel="0" max="6" min="6" style="549" width="16.67"/>
    <col collapsed="false" customWidth="true" hidden="false" outlineLevel="0" max="8" min="7" style="549" width="13.11"/>
    <col collapsed="false" customWidth="true" hidden="false" outlineLevel="0" max="9" min="9" style="549" width="12.56"/>
    <col collapsed="false" customWidth="true" hidden="false" outlineLevel="0" max="10" min="10" style="549" width="13.88"/>
    <col collapsed="false" customWidth="true" hidden="false" outlineLevel="0" max="257" min="11" style="82" width="9.11"/>
    <col collapsed="false" customWidth="true" hidden="false" outlineLevel="0" max="258" min="258" style="82" width="10.56"/>
    <col collapsed="false" customWidth="true" hidden="false" outlineLevel="0" max="259" min="259" style="82" width="27.67"/>
    <col collapsed="false" customWidth="true" hidden="false" outlineLevel="0" max="260" min="260" style="82" width="14.44"/>
    <col collapsed="false" customWidth="true" hidden="false" outlineLevel="0" max="262" min="261" style="82" width="15"/>
    <col collapsed="false" customWidth="true" hidden="false" outlineLevel="0" max="263" min="263" style="82" width="16.67"/>
    <col collapsed="false" customWidth="true" hidden="false" outlineLevel="0" max="264" min="264" style="82" width="13.11"/>
    <col collapsed="false" customWidth="true" hidden="false" outlineLevel="0" max="266" min="265" style="82" width="12.56"/>
    <col collapsed="false" customWidth="true" hidden="false" outlineLevel="0" max="513" min="267" style="82" width="9.11"/>
    <col collapsed="false" customWidth="true" hidden="false" outlineLevel="0" max="514" min="514" style="82" width="10.56"/>
    <col collapsed="false" customWidth="true" hidden="false" outlineLevel="0" max="515" min="515" style="82" width="27.67"/>
    <col collapsed="false" customWidth="true" hidden="false" outlineLevel="0" max="516" min="516" style="82" width="14.44"/>
    <col collapsed="false" customWidth="true" hidden="false" outlineLevel="0" max="518" min="517" style="82" width="15"/>
    <col collapsed="false" customWidth="true" hidden="false" outlineLevel="0" max="519" min="519" style="82" width="16.67"/>
    <col collapsed="false" customWidth="true" hidden="false" outlineLevel="0" max="520" min="520" style="82" width="13.11"/>
    <col collapsed="false" customWidth="true" hidden="false" outlineLevel="0" max="522" min="521" style="82" width="12.56"/>
    <col collapsed="false" customWidth="true" hidden="false" outlineLevel="0" max="769" min="523" style="82" width="9.11"/>
    <col collapsed="false" customWidth="true" hidden="false" outlineLevel="0" max="770" min="770" style="82" width="10.56"/>
    <col collapsed="false" customWidth="true" hidden="false" outlineLevel="0" max="771" min="771" style="82" width="27.67"/>
    <col collapsed="false" customWidth="true" hidden="false" outlineLevel="0" max="772" min="772" style="82" width="14.44"/>
    <col collapsed="false" customWidth="true" hidden="false" outlineLevel="0" max="774" min="773" style="82" width="15"/>
    <col collapsed="false" customWidth="true" hidden="false" outlineLevel="0" max="775" min="775" style="82" width="16.67"/>
    <col collapsed="false" customWidth="true" hidden="false" outlineLevel="0" max="776" min="776" style="82" width="13.11"/>
    <col collapsed="false" customWidth="true" hidden="false" outlineLevel="0" max="778" min="777" style="82" width="12.56"/>
    <col collapsed="false" customWidth="true" hidden="false" outlineLevel="0" max="1025" min="779" style="82" width="9.11"/>
  </cols>
  <sheetData>
    <row r="1" customFormat="false" ht="14.25" hidden="false" customHeight="false" outlineLevel="0" collapsed="false">
      <c r="A1" s="550"/>
      <c r="B1" s="123" t="str">
        <f aca="false">INSTRUÇÕES!B1</f>
        <v>Tribunal Regional Federal da 6ª Região</v>
      </c>
      <c r="C1" s="551"/>
      <c r="D1" s="551"/>
      <c r="E1" s="551"/>
      <c r="F1" s="552"/>
      <c r="G1" s="553"/>
      <c r="H1" s="553"/>
      <c r="I1" s="552"/>
      <c r="J1" s="554"/>
    </row>
    <row r="2" customFormat="false" ht="14.25" hidden="false" customHeight="false" outlineLevel="0" collapsed="false">
      <c r="A2" s="555"/>
      <c r="B2" s="125" t="str">
        <f aca="false">INSTRUÇÕES!B2</f>
        <v>Seção Judiciária de Minas Gerais</v>
      </c>
      <c r="C2" s="68"/>
      <c r="D2" s="68"/>
      <c r="E2" s="68"/>
      <c r="F2" s="556"/>
      <c r="I2" s="556"/>
      <c r="J2" s="557"/>
    </row>
    <row r="3" customFormat="false" ht="14.25" hidden="false" customHeight="false" outlineLevel="0" collapsed="false">
      <c r="A3" s="207"/>
      <c r="B3" s="558" t="str">
        <f aca="false">INSTRUÇÕES!B3</f>
        <v>Subseção Judiciária de Poços de Caldas</v>
      </c>
      <c r="C3" s="68"/>
      <c r="D3" s="68"/>
      <c r="E3" s="68"/>
      <c r="F3" s="556"/>
      <c r="I3" s="556"/>
      <c r="J3" s="557"/>
    </row>
    <row r="4" customFormat="false" ht="19.5" hidden="false" customHeight="true" outlineLevel="0" collapsed="false">
      <c r="A4" s="529" t="s">
        <v>602</v>
      </c>
      <c r="B4" s="529"/>
      <c r="C4" s="529"/>
      <c r="D4" s="529"/>
      <c r="E4" s="529"/>
      <c r="F4" s="529"/>
      <c r="G4" s="529"/>
      <c r="H4" s="529"/>
      <c r="I4" s="529"/>
      <c r="J4" s="529"/>
    </row>
    <row r="5" customFormat="false" ht="19.5" hidden="false" customHeight="true" outlineLevel="0" collapsed="false">
      <c r="A5" s="559" t="s">
        <v>290</v>
      </c>
      <c r="B5" s="559"/>
      <c r="C5" s="559"/>
      <c r="D5" s="559"/>
      <c r="E5" s="559"/>
      <c r="F5" s="559"/>
      <c r="G5" s="559"/>
      <c r="H5" s="559"/>
      <c r="I5" s="559"/>
      <c r="J5" s="559"/>
    </row>
    <row r="6" s="1" customFormat="true" ht="36" hidden="false" customHeight="true" outlineLevel="0" collapsed="false">
      <c r="A6" s="560" t="str">
        <f aca="false">Dados!A4</f>
        <v>Sindicato utilizado - SINSERTH x SINTAPPI. Vigência: 01/04/2025 à 31/03/2026. Sendo a data base da categoria 1 de abril. Com número de registro no MTE MG001973/2025.</v>
      </c>
      <c r="B6" s="560"/>
      <c r="C6" s="560"/>
      <c r="D6" s="560"/>
      <c r="E6" s="560"/>
      <c r="F6" s="560"/>
      <c r="G6" s="560"/>
      <c r="H6" s="560"/>
      <c r="I6" s="560"/>
      <c r="J6" s="560"/>
    </row>
    <row r="7" customFormat="false" ht="19.5" hidden="false" customHeight="true" outlineLevel="0" collapsed="false">
      <c r="A7" s="561" t="str">
        <f aca="false">Dados!C10</f>
        <v>Auxiliar Administrativo</v>
      </c>
      <c r="B7" s="561"/>
      <c r="C7" s="561"/>
      <c r="D7" s="561"/>
      <c r="E7" s="561"/>
      <c r="F7" s="562" t="s">
        <v>603</v>
      </c>
      <c r="G7" s="562" t="s">
        <v>604</v>
      </c>
      <c r="H7" s="562" t="s">
        <v>605</v>
      </c>
      <c r="I7" s="562" t="s">
        <v>606</v>
      </c>
      <c r="J7" s="562" t="s">
        <v>607</v>
      </c>
    </row>
    <row r="8" customFormat="false" ht="19.5" hidden="false" customHeight="true" outlineLevel="0" collapsed="false">
      <c r="A8" s="563" t="s">
        <v>640</v>
      </c>
      <c r="B8" s="563"/>
      <c r="C8" s="563"/>
      <c r="D8" s="563"/>
      <c r="E8" s="564" t="s">
        <v>498</v>
      </c>
      <c r="F8" s="562"/>
      <c r="G8" s="562"/>
      <c r="H8" s="562"/>
      <c r="I8" s="562"/>
      <c r="J8" s="562"/>
    </row>
    <row r="9" customFormat="false" ht="19.5" hidden="false" customHeight="true" outlineLevel="0" collapsed="false">
      <c r="A9" s="565" t="s">
        <v>609</v>
      </c>
      <c r="B9" s="565"/>
      <c r="C9" s="565"/>
      <c r="D9" s="565"/>
      <c r="E9" s="565"/>
      <c r="F9" s="565"/>
      <c r="G9" s="565"/>
      <c r="H9" s="565"/>
      <c r="I9" s="565"/>
      <c r="J9" s="565"/>
    </row>
    <row r="10" customFormat="false" ht="24" hidden="false" customHeight="true" outlineLevel="0" collapsed="false">
      <c r="A10" s="216" t="s">
        <v>499</v>
      </c>
      <c r="B10" s="566" t="s">
        <v>610</v>
      </c>
      <c r="C10" s="566"/>
      <c r="D10" s="567" t="s">
        <v>611</v>
      </c>
      <c r="E10" s="568" t="s">
        <v>612</v>
      </c>
      <c r="F10" s="569" t="s">
        <v>502</v>
      </c>
      <c r="G10" s="569"/>
      <c r="H10" s="569"/>
      <c r="I10" s="569"/>
      <c r="J10" s="569"/>
    </row>
    <row r="11" customFormat="false" ht="19.5" hidden="false" customHeight="true" outlineLevel="0" collapsed="false">
      <c r="A11" s="570" t="n">
        <v>1</v>
      </c>
      <c r="B11" s="571" t="str">
        <f aca="false">A7</f>
        <v>Auxiliar Administrativo</v>
      </c>
      <c r="C11" s="571"/>
      <c r="D11" s="39" t="n">
        <f aca="false">Dados!$D$10</f>
        <v>150</v>
      </c>
      <c r="E11" s="572" t="n">
        <f aca="false">Dados!$E$10</f>
        <v>2048</v>
      </c>
      <c r="F11" s="573" t="n">
        <f aca="false">ROUND(E11/220*D11,2)</f>
        <v>1396.36</v>
      </c>
      <c r="G11" s="573" t="n">
        <f aca="false">F11</f>
        <v>1396.36</v>
      </c>
      <c r="H11" s="573"/>
      <c r="I11" s="573"/>
      <c r="J11" s="574"/>
    </row>
    <row r="12" customFormat="false" ht="19.5" hidden="false" customHeight="true" outlineLevel="0" collapsed="false">
      <c r="A12" s="570"/>
      <c r="B12" s="571" t="s">
        <v>613</v>
      </c>
      <c r="C12" s="571"/>
      <c r="D12" s="634" t="n">
        <f aca="false">Dados!G8</f>
        <v>0</v>
      </c>
      <c r="E12" s="572" t="n">
        <f aca="false">Dados!$G$27</f>
        <v>1518</v>
      </c>
      <c r="F12" s="573" t="n">
        <f aca="false">D12*E12</f>
        <v>0</v>
      </c>
      <c r="G12" s="573" t="n">
        <f aca="false">F12</f>
        <v>0</v>
      </c>
      <c r="H12" s="573"/>
      <c r="I12" s="573"/>
      <c r="J12" s="574" t="n">
        <f aca="false">F12</f>
        <v>0</v>
      </c>
    </row>
    <row r="13" customFormat="false" ht="21.75" hidden="false" customHeight="true" outlineLevel="0" collapsed="false">
      <c r="A13" s="570"/>
      <c r="B13" s="576" t="s">
        <v>614</v>
      </c>
      <c r="C13" s="577" t="n">
        <f aca="false">Dados!$I$10</f>
        <v>0</v>
      </c>
      <c r="D13" s="577" t="n">
        <f aca="false">Dados!$J$10</f>
        <v>0</v>
      </c>
      <c r="E13" s="578" t="n">
        <f aca="false">Dados!$K$10</f>
        <v>0</v>
      </c>
      <c r="F13" s="579" t="n">
        <f aca="false">ROUND((E13*D13*C13),2)</f>
        <v>0</v>
      </c>
      <c r="G13" s="579" t="n">
        <f aca="false">F13</f>
        <v>0</v>
      </c>
      <c r="H13" s="579"/>
      <c r="I13" s="579"/>
      <c r="J13" s="580"/>
    </row>
    <row r="14" customFormat="false" ht="19.5" hidden="false" customHeight="true" outlineLevel="0" collapsed="false">
      <c r="A14" s="570"/>
      <c r="B14" s="581" t="s">
        <v>615</v>
      </c>
      <c r="C14" s="581"/>
      <c r="D14" s="581"/>
      <c r="E14" s="581"/>
      <c r="F14" s="582" t="n">
        <f aca="false">SUM(F11:F13)</f>
        <v>1396.36</v>
      </c>
      <c r="G14" s="582" t="n">
        <f aca="false">SUM(G11:G13)</f>
        <v>1396.36</v>
      </c>
      <c r="H14" s="582" t="n">
        <f aca="false">SUM(H11:H13)</f>
        <v>0</v>
      </c>
      <c r="I14" s="582" t="n">
        <f aca="false">SUM(I11:I13)</f>
        <v>0</v>
      </c>
      <c r="J14" s="583" t="n">
        <f aca="false">SUM(J11:J13)</f>
        <v>0</v>
      </c>
    </row>
    <row r="15" customFormat="false" ht="19.5" hidden="false" customHeight="true" outlineLevel="0" collapsed="false">
      <c r="A15" s="570"/>
      <c r="B15" s="584" t="s">
        <v>616</v>
      </c>
      <c r="C15" s="584"/>
      <c r="D15" s="584"/>
      <c r="E15" s="585" t="n">
        <f aca="false">Encargos!$C$57</f>
        <v>0.764</v>
      </c>
      <c r="F15" s="573" t="n">
        <f aca="false">ROUND((E15*F14),2)</f>
        <v>1066.82</v>
      </c>
      <c r="G15" s="573" t="n">
        <f aca="false">F15</f>
        <v>1066.82</v>
      </c>
      <c r="H15" s="573"/>
      <c r="I15" s="573"/>
      <c r="J15" s="574" t="n">
        <f aca="false">ROUND((E15*J14),2)</f>
        <v>0</v>
      </c>
    </row>
    <row r="16" customFormat="false" ht="19.5" hidden="false" customHeight="true" outlineLevel="0" collapsed="false">
      <c r="A16" s="586" t="s">
        <v>617</v>
      </c>
      <c r="B16" s="586"/>
      <c r="C16" s="586"/>
      <c r="D16" s="586"/>
      <c r="E16" s="586"/>
      <c r="F16" s="587" t="n">
        <f aca="false">SUM(F14:F15)</f>
        <v>2463.18</v>
      </c>
      <c r="G16" s="587" t="n">
        <f aca="false">SUM(G14:G15)</f>
        <v>2463.18</v>
      </c>
      <c r="H16" s="587" t="n">
        <f aca="false">SUM(H14:H15)</f>
        <v>0</v>
      </c>
      <c r="I16" s="587" t="n">
        <f aca="false">SUM(I14:I15)</f>
        <v>0</v>
      </c>
      <c r="J16" s="588" t="n">
        <f aca="false">SUM(J14:J15)</f>
        <v>0</v>
      </c>
    </row>
    <row r="17" customFormat="false" ht="19.5" hidden="false" customHeight="true" outlineLevel="0" collapsed="false">
      <c r="A17" s="589" t="s">
        <v>618</v>
      </c>
      <c r="B17" s="589"/>
      <c r="C17" s="589"/>
      <c r="D17" s="589"/>
      <c r="E17" s="589"/>
      <c r="F17" s="589"/>
      <c r="G17" s="589"/>
      <c r="H17" s="589"/>
      <c r="I17" s="589"/>
      <c r="J17" s="589"/>
    </row>
    <row r="18" customFormat="false" ht="19.5" hidden="false" customHeight="true" outlineLevel="0" collapsed="false">
      <c r="A18" s="590" t="s">
        <v>619</v>
      </c>
      <c r="B18" s="590"/>
      <c r="C18" s="49" t="s">
        <v>501</v>
      </c>
      <c r="D18" s="591" t="s">
        <v>639</v>
      </c>
      <c r="E18" s="591"/>
      <c r="F18" s="574" t="s">
        <v>502</v>
      </c>
      <c r="G18" s="574"/>
      <c r="H18" s="574"/>
      <c r="I18" s="574"/>
      <c r="J18" s="574"/>
    </row>
    <row r="19" customFormat="false" ht="19.5" hidden="false" customHeight="true" outlineLevel="0" collapsed="false">
      <c r="A19" s="592" t="s">
        <v>621</v>
      </c>
      <c r="B19" s="592"/>
      <c r="C19" s="593"/>
      <c r="D19" s="593"/>
      <c r="E19" s="593"/>
      <c r="F19" s="573" t="n">
        <f aca="false">Dados!$N$10</f>
        <v>58.88</v>
      </c>
      <c r="G19" s="573" t="n">
        <f aca="false">F19</f>
        <v>58.88</v>
      </c>
      <c r="H19" s="573"/>
      <c r="I19" s="573"/>
      <c r="J19" s="574"/>
    </row>
    <row r="20" customFormat="false" ht="19.5" hidden="false" customHeight="true" outlineLevel="0" collapsed="false">
      <c r="A20" s="592" t="s">
        <v>622</v>
      </c>
      <c r="B20" s="592"/>
      <c r="C20" s="593"/>
      <c r="D20" s="593"/>
      <c r="E20" s="593"/>
      <c r="F20" s="573" t="n">
        <f aca="false">Dados!$G$30</f>
        <v>5.27</v>
      </c>
      <c r="G20" s="573" t="n">
        <f aca="false">F20</f>
        <v>5.27</v>
      </c>
      <c r="H20" s="573"/>
      <c r="I20" s="573"/>
      <c r="J20" s="574"/>
    </row>
    <row r="21" customFormat="false" ht="23.25" hidden="false" customHeight="true" outlineLevel="0" collapsed="false">
      <c r="A21" s="594" t="s">
        <v>220</v>
      </c>
      <c r="B21" s="594"/>
      <c r="C21" s="593"/>
      <c r="D21" s="593"/>
      <c r="E21" s="593"/>
      <c r="F21" s="573" t="n">
        <f aca="false">Dados!G31</f>
        <v>0</v>
      </c>
      <c r="G21" s="573" t="n">
        <f aca="false">F21</f>
        <v>0</v>
      </c>
      <c r="H21" s="573"/>
      <c r="I21" s="573"/>
      <c r="J21" s="574"/>
    </row>
    <row r="22" customFormat="false" ht="19.5" hidden="false" customHeight="true" outlineLevel="0" collapsed="false">
      <c r="A22" s="592" t="s">
        <v>221</v>
      </c>
      <c r="B22" s="592"/>
      <c r="C22" s="595" t="n">
        <f aca="false">Dados!$G$34</f>
        <v>22</v>
      </c>
      <c r="D22" s="595" t="n">
        <f aca="false">Dados!$G$33</f>
        <v>2</v>
      </c>
      <c r="E22" s="593" t="n">
        <f aca="false">Dados!$G$32</f>
        <v>6</v>
      </c>
      <c r="F22" s="573" t="n">
        <f aca="false">IF(ROUND((E22*D22*C22)-(F11*Dados!$G$35),2)&lt;0,0,ROUND((E22*D22*C22)-(F11*Dados!$G$35),2))</f>
        <v>180.22</v>
      </c>
      <c r="G22" s="573" t="n">
        <f aca="false">F22</f>
        <v>180.22</v>
      </c>
      <c r="H22" s="573"/>
      <c r="I22" s="573" t="n">
        <f aca="false">F22</f>
        <v>180.22</v>
      </c>
      <c r="J22" s="574"/>
    </row>
    <row r="23" customFormat="false" ht="19.5" hidden="false" customHeight="true" outlineLevel="0" collapsed="false">
      <c r="A23" s="592" t="s">
        <v>230</v>
      </c>
      <c r="B23" s="592"/>
      <c r="C23" s="595" t="n">
        <f aca="false">Dados!G37</f>
        <v>22</v>
      </c>
      <c r="D23" s="596" t="n">
        <f aca="false">Dados!G38</f>
        <v>0.2</v>
      </c>
      <c r="E23" s="593" t="n">
        <f aca="false">Dados!$G$36</f>
        <v>29</v>
      </c>
      <c r="F23" s="327" t="n">
        <f aca="false">ROUND((IF(D11&gt;150,((C23*E23)-(C23*(D23*E23))),0)),2)</f>
        <v>0</v>
      </c>
      <c r="G23" s="573" t="n">
        <f aca="false">F23</f>
        <v>0</v>
      </c>
      <c r="H23" s="573" t="n">
        <f aca="false">$F$23</f>
        <v>0</v>
      </c>
      <c r="I23" s="327"/>
      <c r="J23" s="574"/>
    </row>
    <row r="24" customFormat="false" ht="19.5" hidden="false" customHeight="true" outlineLevel="0" collapsed="false">
      <c r="A24" s="592" t="s">
        <v>178</v>
      </c>
      <c r="B24" s="592"/>
      <c r="C24" s="595"/>
      <c r="D24" s="593"/>
      <c r="E24" s="593"/>
      <c r="F24" s="573" t="n">
        <v>0</v>
      </c>
      <c r="G24" s="573"/>
      <c r="H24" s="573"/>
      <c r="I24" s="327"/>
      <c r="J24" s="574"/>
    </row>
    <row r="25" customFormat="false" ht="19.5" hidden="false" customHeight="true" outlineLevel="0" collapsed="false">
      <c r="A25" s="592" t="s">
        <v>623</v>
      </c>
      <c r="B25" s="592"/>
      <c r="C25" s="595"/>
      <c r="D25" s="593"/>
      <c r="E25" s="593"/>
      <c r="F25" s="573"/>
      <c r="G25" s="573"/>
      <c r="H25" s="573"/>
      <c r="I25" s="573"/>
      <c r="J25" s="574"/>
      <c r="L25" s="68"/>
    </row>
    <row r="26" customFormat="false" ht="19.5" hidden="false" customHeight="true" outlineLevel="0" collapsed="false">
      <c r="A26" s="592" t="s">
        <v>624</v>
      </c>
      <c r="B26" s="597"/>
      <c r="C26" s="595"/>
      <c r="D26" s="593"/>
      <c r="E26" s="593"/>
      <c r="F26" s="573"/>
      <c r="G26" s="573"/>
      <c r="H26" s="573"/>
      <c r="I26" s="573"/>
      <c r="J26" s="574"/>
    </row>
    <row r="27" customFormat="false" ht="19.5" hidden="false" customHeight="true" outlineLevel="0" collapsed="false">
      <c r="A27" s="598" t="s">
        <v>625</v>
      </c>
      <c r="B27" s="598"/>
      <c r="C27" s="599"/>
      <c r="D27" s="600"/>
      <c r="E27" s="600"/>
      <c r="F27" s="579"/>
      <c r="G27" s="579"/>
      <c r="H27" s="579"/>
      <c r="I27" s="579"/>
      <c r="J27" s="580"/>
    </row>
    <row r="28" customFormat="false" ht="19.5" hidden="false" customHeight="true" outlineLevel="0" collapsed="false">
      <c r="A28" s="592" t="str">
        <f aca="false">Dados!$B$39</f>
        <v>Outros (inserir somente com a justificativa legal)</v>
      </c>
      <c r="B28" s="592"/>
      <c r="C28" s="595"/>
      <c r="D28" s="595"/>
      <c r="E28" s="593"/>
      <c r="F28" s="327" t="n">
        <f aca="false">Dados!$G$39</f>
        <v>0</v>
      </c>
      <c r="G28" s="573"/>
      <c r="H28" s="573"/>
      <c r="I28" s="327"/>
      <c r="J28" s="574"/>
    </row>
    <row r="29" customFormat="false" ht="19.5" hidden="false" customHeight="true" outlineLevel="0" collapsed="false">
      <c r="A29" s="592" t="str">
        <f aca="false">Dados!$B$40</f>
        <v>Outros (inserir somente com a justificativa legal)</v>
      </c>
      <c r="B29" s="592"/>
      <c r="C29" s="595"/>
      <c r="D29" s="595"/>
      <c r="E29" s="593"/>
      <c r="F29" s="327" t="n">
        <f aca="false">Dados!$G$40</f>
        <v>0</v>
      </c>
      <c r="G29" s="573"/>
      <c r="H29" s="573"/>
      <c r="I29" s="327"/>
      <c r="J29" s="574"/>
    </row>
    <row r="30" customFormat="false" ht="19.5" hidden="false" customHeight="true" outlineLevel="0" collapsed="false">
      <c r="A30" s="601" t="s">
        <v>626</v>
      </c>
      <c r="B30" s="601"/>
      <c r="C30" s="601"/>
      <c r="D30" s="601"/>
      <c r="E30" s="601"/>
      <c r="F30" s="587" t="n">
        <f aca="false">SUM(F19:F29)</f>
        <v>244.37</v>
      </c>
      <c r="G30" s="587" t="n">
        <f aca="false">SUM(G19:G29)</f>
        <v>244.37</v>
      </c>
      <c r="H30" s="587" t="n">
        <f aca="false">SUM(H19:H29)</f>
        <v>0</v>
      </c>
      <c r="I30" s="587" t="n">
        <f aca="false">SUM(I19:I29)</f>
        <v>180.22</v>
      </c>
      <c r="J30" s="588" t="n">
        <f aca="false">SUM(J19:J29)</f>
        <v>0</v>
      </c>
    </row>
    <row r="31" customFormat="false" ht="19.5" hidden="false" customHeight="true" outlineLevel="0" collapsed="false">
      <c r="A31" s="601" t="s">
        <v>627</v>
      </c>
      <c r="B31" s="601"/>
      <c r="C31" s="601"/>
      <c r="D31" s="601"/>
      <c r="E31" s="601"/>
      <c r="F31" s="587" t="n">
        <f aca="false">F16+F30</f>
        <v>2707.55</v>
      </c>
      <c r="G31" s="587" t="n">
        <f aca="false">G16+G30</f>
        <v>2707.55</v>
      </c>
      <c r="H31" s="587" t="n">
        <f aca="false">H16+H30</f>
        <v>0</v>
      </c>
      <c r="I31" s="587" t="n">
        <f aca="false">I16+I30</f>
        <v>180.22</v>
      </c>
      <c r="J31" s="588" t="n">
        <f aca="false">J16+J30</f>
        <v>0</v>
      </c>
    </row>
    <row r="32" customFormat="false" ht="19.5" hidden="false" customHeight="true" outlineLevel="0" collapsed="false">
      <c r="A32" s="565" t="s">
        <v>628</v>
      </c>
      <c r="B32" s="565"/>
      <c r="C32" s="565"/>
      <c r="D32" s="565"/>
      <c r="E32" s="565"/>
      <c r="F32" s="565"/>
      <c r="G32" s="565"/>
      <c r="H32" s="565"/>
      <c r="I32" s="565"/>
      <c r="J32" s="565"/>
    </row>
    <row r="33" customFormat="false" ht="19.5" hidden="false" customHeight="true" outlineLevel="0" collapsed="false">
      <c r="A33" s="590" t="s">
        <v>629</v>
      </c>
      <c r="B33" s="590"/>
      <c r="C33" s="590"/>
      <c r="D33" s="602" t="s">
        <v>630</v>
      </c>
      <c r="E33" s="603" t="s">
        <v>502</v>
      </c>
      <c r="F33" s="603"/>
      <c r="G33" s="603"/>
      <c r="H33" s="603"/>
      <c r="I33" s="603"/>
      <c r="J33" s="603"/>
    </row>
    <row r="34" customFormat="false" ht="19.5" hidden="false" customHeight="true" outlineLevel="0" collapsed="false">
      <c r="A34" s="604" t="s">
        <v>631</v>
      </c>
      <c r="B34" s="605"/>
      <c r="C34" s="605"/>
      <c r="D34" s="575" t="n">
        <f aca="false">Dados!$G$43</f>
        <v>0.03</v>
      </c>
      <c r="E34" s="606"/>
      <c r="F34" s="573" t="n">
        <f aca="false">ROUND((F31*$D$34),2)</f>
        <v>81.23</v>
      </c>
      <c r="G34" s="573" t="n">
        <f aca="false">ROUND((G31*$D$34),2)</f>
        <v>81.23</v>
      </c>
      <c r="H34" s="573" t="n">
        <f aca="false">ROUND((H31*$D$34),2)</f>
        <v>0</v>
      </c>
      <c r="I34" s="573" t="n">
        <f aca="false">ROUND((I31*$D$34),2)</f>
        <v>5.41</v>
      </c>
      <c r="J34" s="574" t="n">
        <f aca="false">ROUND((J31*$D$34),2)</f>
        <v>0</v>
      </c>
    </row>
    <row r="35" customFormat="false" ht="19.5" hidden="false" customHeight="true" outlineLevel="0" collapsed="false">
      <c r="A35" s="607" t="s">
        <v>632</v>
      </c>
      <c r="B35" s="607"/>
      <c r="C35" s="607"/>
      <c r="D35" s="575"/>
      <c r="E35" s="606"/>
      <c r="F35" s="573" t="n">
        <f aca="false">F31+F34</f>
        <v>2788.78</v>
      </c>
      <c r="G35" s="573" t="n">
        <f aca="false">G31+G34</f>
        <v>2788.78</v>
      </c>
      <c r="H35" s="573" t="n">
        <f aca="false">H31+H34</f>
        <v>0</v>
      </c>
      <c r="I35" s="573" t="n">
        <f aca="false">I31+I34</f>
        <v>185.63</v>
      </c>
      <c r="J35" s="574" t="n">
        <f aca="false">J31+J34</f>
        <v>0</v>
      </c>
    </row>
    <row r="36" customFormat="false" ht="19.5" hidden="false" customHeight="true" outlineLevel="0" collapsed="false">
      <c r="A36" s="608" t="s">
        <v>238</v>
      </c>
      <c r="B36" s="609"/>
      <c r="C36" s="609"/>
      <c r="D36" s="610" t="n">
        <f aca="false">Dados!$G$44</f>
        <v>0.0679</v>
      </c>
      <c r="E36" s="611"/>
      <c r="F36" s="579" t="n">
        <f aca="false">ROUND((F35*$D$36),2)</f>
        <v>189.36</v>
      </c>
      <c r="G36" s="579" t="n">
        <f aca="false">ROUND((G35*$D$36),2)</f>
        <v>189.36</v>
      </c>
      <c r="H36" s="579" t="n">
        <f aca="false">ROUND((H35*$D$36),2)</f>
        <v>0</v>
      </c>
      <c r="I36" s="579" t="n">
        <f aca="false">ROUND((I35*$D$36),2)</f>
        <v>12.6</v>
      </c>
      <c r="J36" s="580" t="n">
        <f aca="false">ROUND((J35*$D$36),2)</f>
        <v>0</v>
      </c>
    </row>
    <row r="37" customFormat="false" ht="19.5" hidden="false" customHeight="true" outlineLevel="0" collapsed="false">
      <c r="A37" s="612" t="s">
        <v>633</v>
      </c>
      <c r="B37" s="613"/>
      <c r="C37" s="613"/>
      <c r="D37" s="614" t="n">
        <f aca="false">SUM(D34:D36)</f>
        <v>0.0979</v>
      </c>
      <c r="E37" s="615"/>
      <c r="F37" s="587" t="n">
        <f aca="false">F34+F36</f>
        <v>270.59</v>
      </c>
      <c r="G37" s="587" t="n">
        <f aca="false">G34+G36</f>
        <v>270.59</v>
      </c>
      <c r="H37" s="587" t="n">
        <f aca="false">H34+H36</f>
        <v>0</v>
      </c>
      <c r="I37" s="587" t="n">
        <f aca="false">I34+I36</f>
        <v>18.01</v>
      </c>
      <c r="J37" s="588" t="n">
        <f aca="false">J34+J36</f>
        <v>0</v>
      </c>
    </row>
    <row r="38" customFormat="false" ht="19.5" hidden="false" customHeight="true" outlineLevel="0" collapsed="false">
      <c r="A38" s="616" t="s">
        <v>634</v>
      </c>
      <c r="B38" s="616"/>
      <c r="C38" s="616"/>
      <c r="D38" s="616"/>
      <c r="E38" s="616"/>
      <c r="F38" s="617" t="n">
        <f aca="false">F31+F37</f>
        <v>2978.14</v>
      </c>
      <c r="G38" s="617" t="n">
        <f aca="false">G31+G37</f>
        <v>2978.14</v>
      </c>
      <c r="H38" s="617" t="n">
        <f aca="false">H31+H37</f>
        <v>0</v>
      </c>
      <c r="I38" s="617" t="n">
        <f aca="false">I31+I37</f>
        <v>198.23</v>
      </c>
      <c r="J38" s="618" t="n">
        <f aca="false">J31+J37</f>
        <v>0</v>
      </c>
    </row>
    <row r="39" customFormat="false" ht="19.5" hidden="false" customHeight="true" outlineLevel="0" collapsed="false">
      <c r="A39" s="619" t="s">
        <v>635</v>
      </c>
      <c r="B39" s="619"/>
      <c r="C39" s="619"/>
      <c r="D39" s="619"/>
      <c r="E39" s="619"/>
      <c r="F39" s="619"/>
      <c r="G39" s="619"/>
      <c r="H39" s="619"/>
      <c r="I39" s="619"/>
      <c r="J39" s="619"/>
    </row>
    <row r="40" customFormat="false" ht="19.5" hidden="false" customHeight="true" outlineLevel="0" collapsed="false">
      <c r="A40" s="592" t="s">
        <v>244</v>
      </c>
      <c r="B40" s="592"/>
      <c r="C40" s="592"/>
      <c r="D40" s="575" t="n">
        <f aca="false">Dados!G51</f>
        <v>0.076</v>
      </c>
      <c r="E40" s="573"/>
      <c r="F40" s="573" t="n">
        <f aca="false">ROUND(($F$46*D40),2)</f>
        <v>263.95</v>
      </c>
      <c r="G40" s="573" t="n">
        <f aca="false">ROUND((G46*$D$40),2)</f>
        <v>263.95</v>
      </c>
      <c r="H40" s="573" t="n">
        <f aca="false">ROUND((H46*$D$40),2)</f>
        <v>0</v>
      </c>
      <c r="I40" s="573" t="n">
        <f aca="false">ROUND((I46*$D$40),2)</f>
        <v>17.57</v>
      </c>
      <c r="J40" s="574" t="n">
        <f aca="false">ROUND((J46*$D$40),2)</f>
        <v>0</v>
      </c>
    </row>
    <row r="41" customFormat="false" ht="19.5" hidden="false" customHeight="true" outlineLevel="0" collapsed="false">
      <c r="A41" s="592" t="s">
        <v>246</v>
      </c>
      <c r="B41" s="592"/>
      <c r="C41" s="592"/>
      <c r="D41" s="575" t="n">
        <f aca="false">Dados!G52</f>
        <v>0.0165</v>
      </c>
      <c r="E41" s="573"/>
      <c r="F41" s="573" t="n">
        <f aca="false">ROUND((F46*$D$41),2)</f>
        <v>57.31</v>
      </c>
      <c r="G41" s="573" t="n">
        <f aca="false">ROUND((G46*$D$41),2)</f>
        <v>57.31</v>
      </c>
      <c r="H41" s="573" t="n">
        <f aca="false">ROUND((H46*$D$41),2)</f>
        <v>0</v>
      </c>
      <c r="I41" s="573" t="n">
        <f aca="false">ROUND((I46*$D$41),2)</f>
        <v>3.81</v>
      </c>
      <c r="J41" s="574" t="n">
        <f aca="false">ROUND((J46*$D$41),2)</f>
        <v>0</v>
      </c>
    </row>
    <row r="42" customFormat="false" ht="19.5" hidden="false" customHeight="true" outlineLevel="0" collapsed="false">
      <c r="A42" s="592" t="s">
        <v>247</v>
      </c>
      <c r="B42" s="592"/>
      <c r="C42" s="592"/>
      <c r="D42" s="575" t="n">
        <f aca="false">Dados!G53</f>
        <v>0.05</v>
      </c>
      <c r="E42" s="573"/>
      <c r="F42" s="573" t="n">
        <f aca="false">ROUND((F46*$D$42),2)</f>
        <v>173.65</v>
      </c>
      <c r="G42" s="573" t="n">
        <f aca="false">ROUND((G46*$D$42),2)</f>
        <v>173.65</v>
      </c>
      <c r="H42" s="573" t="n">
        <f aca="false">ROUND((H46*$D$42),2)</f>
        <v>0</v>
      </c>
      <c r="I42" s="573" t="n">
        <f aca="false">ROUND((I46*$D$42),2)</f>
        <v>11.56</v>
      </c>
      <c r="J42" s="574" t="n">
        <f aca="false">ROUND((J46*$D$42),2)</f>
        <v>0</v>
      </c>
    </row>
    <row r="43" customFormat="false" ht="19.5" hidden="false" customHeight="true" outlineLevel="0" collapsed="false">
      <c r="A43" s="592" t="s">
        <v>233</v>
      </c>
      <c r="B43" s="592"/>
      <c r="C43" s="592"/>
      <c r="D43" s="575" t="n">
        <f aca="false">Dados!G54</f>
        <v>0</v>
      </c>
      <c r="E43" s="573"/>
      <c r="F43" s="573" t="n">
        <f aca="false">ROUND((F46*$D$43),2)</f>
        <v>0</v>
      </c>
      <c r="G43" s="573" t="n">
        <f aca="false">ROUND((G46*$D$43),2)</f>
        <v>0</v>
      </c>
      <c r="H43" s="573" t="n">
        <f aca="false">ROUND((H46*$D$43),2)</f>
        <v>0</v>
      </c>
      <c r="I43" s="573" t="n">
        <f aca="false">ROUND((I46*$D$43),2)</f>
        <v>0</v>
      </c>
      <c r="J43" s="574" t="n">
        <f aca="false">ROUND((J46*$D$43),2)</f>
        <v>0</v>
      </c>
    </row>
    <row r="44" customFormat="false" ht="19.5" hidden="false" customHeight="true" outlineLevel="0" collapsed="false">
      <c r="A44" s="620" t="s">
        <v>636</v>
      </c>
      <c r="B44" s="620"/>
      <c r="C44" s="620"/>
      <c r="D44" s="621" t="n">
        <f aca="false">SUM(D40:D43)</f>
        <v>0.1425</v>
      </c>
      <c r="E44" s="622"/>
      <c r="F44" s="623" t="n">
        <f aca="false">SUM(F40:F43)</f>
        <v>494.91</v>
      </c>
      <c r="G44" s="623" t="n">
        <f aca="false">SUM(G40:G43)</f>
        <v>494.91</v>
      </c>
      <c r="H44" s="623" t="n">
        <f aca="false">SUM(H40:H43)</f>
        <v>0</v>
      </c>
      <c r="I44" s="623" t="n">
        <f aca="false">SUM(I40:I43)</f>
        <v>32.94</v>
      </c>
      <c r="J44" s="624" t="n">
        <f aca="false">SUM(J40:J42)</f>
        <v>0</v>
      </c>
    </row>
    <row r="45" customFormat="false" ht="19.5" hidden="false" customHeight="true" outlineLevel="0" collapsed="false">
      <c r="A45" s="625" t="str">
        <f aca="false">CONCATENATE("Custo Mensal - ",A7)</f>
        <v>Custo Mensal - Auxiliar Administrativo</v>
      </c>
      <c r="B45" s="625"/>
      <c r="C45" s="625"/>
      <c r="D45" s="625"/>
      <c r="E45" s="625"/>
      <c r="F45" s="626" t="n">
        <f aca="false">ROUND(F38/(1-D44),2)</f>
        <v>3473.05</v>
      </c>
      <c r="G45" s="626" t="n">
        <f aca="false">ROUND(G38/(1-D44),2)</f>
        <v>3473.05</v>
      </c>
      <c r="H45" s="626" t="n">
        <f aca="false">ROUND(H38/(1-D44),2)</f>
        <v>0</v>
      </c>
      <c r="I45" s="626" t="n">
        <f aca="false">ROUND(I38/(1-D44),2)</f>
        <v>231.17</v>
      </c>
      <c r="J45" s="627" t="n">
        <f aca="false">ROUND(J38/(1-D44),2)</f>
        <v>0</v>
      </c>
    </row>
    <row r="46" customFormat="false" ht="19.5" hidden="false" customHeight="true" outlineLevel="0" collapsed="false">
      <c r="A46" s="628" t="str">
        <f aca="false">CONCATENATE("Valor do Custo Mensal - ",A7)</f>
        <v>Valor do Custo Mensal - Auxiliar Administrativo</v>
      </c>
      <c r="B46" s="628"/>
      <c r="C46" s="628"/>
      <c r="D46" s="628"/>
      <c r="E46" s="628"/>
      <c r="F46" s="626" t="n">
        <f aca="false">F45</f>
        <v>3473.05</v>
      </c>
      <c r="G46" s="626" t="n">
        <f aca="false">G45</f>
        <v>3473.05</v>
      </c>
      <c r="H46" s="626" t="n">
        <f aca="false">H45</f>
        <v>0</v>
      </c>
      <c r="I46" s="626" t="n">
        <f aca="false">I45</f>
        <v>231.17</v>
      </c>
      <c r="J46" s="627" t="n">
        <f aca="false">J45</f>
        <v>0</v>
      </c>
      <c r="K46" s="629"/>
      <c r="L46" s="629"/>
    </row>
    <row r="47" customFormat="false" ht="27.75" hidden="false" customHeight="true" outlineLevel="0" collapsed="false">
      <c r="A47" s="630" t="s">
        <v>637</v>
      </c>
      <c r="B47" s="630"/>
      <c r="C47" s="630"/>
      <c r="D47" s="630"/>
      <c r="E47" s="630"/>
      <c r="F47" s="631" t="n">
        <f aca="false">(F46/F14)</f>
        <v>2.48721676358532</v>
      </c>
      <c r="G47" s="631" t="n">
        <f aca="false">(G46/G14)</f>
        <v>2.48721676358532</v>
      </c>
      <c r="H47" s="632" t="s">
        <v>638</v>
      </c>
      <c r="I47" s="632"/>
      <c r="J47" s="633" t="n">
        <v>0</v>
      </c>
    </row>
    <row r="48" customFormat="false" ht="19.5" hidden="false" customHeight="true" outlineLevel="0" collapsed="false"/>
  </sheetData>
  <sheetProtection algorithmName="SHA-512" hashValue="J65a6KWNYCnRNXf3pbM76q4973MMy1SPfBoFS+1lcuxJag2s90hLyAMtBIwDLP8eMax5TDFfId3QdXrDybLn7w==" saltValue="0DIXgDUKOWbPY8qHNxmdWQ==" spinCount="100000" sheet="true" objects="true" scenarios="true"/>
  <mergeCells count="50">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7:B27"/>
    <mergeCell ref="A28:B28"/>
    <mergeCell ref="A29:B29"/>
    <mergeCell ref="A30:E30"/>
    <mergeCell ref="A31:E31"/>
    <mergeCell ref="A32:J32"/>
    <mergeCell ref="A33:C33"/>
    <mergeCell ref="E33:J33"/>
    <mergeCell ref="A35:C35"/>
    <mergeCell ref="A38:E38"/>
    <mergeCell ref="A39:J39"/>
    <mergeCell ref="A40:C40"/>
    <mergeCell ref="A41:C41"/>
    <mergeCell ref="A42:C42"/>
    <mergeCell ref="A43:C43"/>
    <mergeCell ref="A44:C44"/>
    <mergeCell ref="A45:E45"/>
    <mergeCell ref="A46:E46"/>
    <mergeCell ref="A47:E47"/>
    <mergeCell ref="H47:I47"/>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33"/>
  <sheetViews>
    <sheetView showFormulas="false" showGridLines="false" showRowColHeaders="true" showZeros="true" rightToLeft="false" tabSelected="true" showOutlineSymbols="true" defaultGridColor="true" view="pageBreakPreview" topLeftCell="A1" colorId="64" zoomScale="100" zoomScaleNormal="130" zoomScalePageLayoutView="100" workbookViewId="0">
      <selection pane="topLeft" activeCell="A1" activeCellId="0" sqref="A1"/>
    </sheetView>
  </sheetViews>
  <sheetFormatPr defaultColWidth="8.66796875" defaultRowHeight="14.25" zeroHeight="false" outlineLevelRow="0" outlineLevelCol="0"/>
  <cols>
    <col collapsed="false" customWidth="true" hidden="false" outlineLevel="0" max="1" min="1" style="82" width="7.33"/>
    <col collapsed="false" customWidth="true" hidden="false" outlineLevel="0" max="3" min="2" style="82" width="9.11"/>
    <col collapsed="false" customWidth="true" hidden="false" outlineLevel="0" max="4" min="4" style="82" width="33"/>
    <col collapsed="false" customWidth="true" hidden="false" outlineLevel="0" max="5" min="5" style="82" width="9.44"/>
    <col collapsed="false" customWidth="true" hidden="false" outlineLevel="0" max="6" min="6" style="82" width="12.44"/>
    <col collapsed="false" customWidth="true" hidden="false" outlineLevel="0" max="7" min="7" style="82" width="13.44"/>
    <col collapsed="false" customWidth="true" hidden="false" outlineLevel="0" max="8" min="8" style="82" width="8.11"/>
    <col collapsed="false" customWidth="true" hidden="false" outlineLevel="0" max="9" min="9" style="82" width="11.56"/>
    <col collapsed="false" customWidth="true" hidden="false" outlineLevel="0" max="1024" min="10" style="82" width="9.11"/>
  </cols>
  <sheetData>
    <row r="1" customFormat="false" ht="14.25" hidden="false" customHeight="false" outlineLevel="0" collapsed="false">
      <c r="A1" s="122"/>
      <c r="B1" s="123" t="str">
        <f aca="false">INSTRUÇÕES!B1</f>
        <v>Tribunal Regional Federal da 6ª Região</v>
      </c>
      <c r="C1" s="123"/>
      <c r="D1" s="123"/>
      <c r="E1" s="123"/>
      <c r="F1" s="123"/>
      <c r="G1" s="123"/>
      <c r="H1" s="123"/>
      <c r="I1" s="204"/>
    </row>
    <row r="2" customFormat="false" ht="14.25" hidden="false" customHeight="false" outlineLevel="0" collapsed="false">
      <c r="A2" s="124"/>
      <c r="B2" s="125" t="str">
        <f aca="false">INSTRUÇÕES!B2</f>
        <v>Seção Judiciária de Minas Gerais</v>
      </c>
      <c r="C2" s="125"/>
      <c r="D2" s="125"/>
      <c r="E2" s="125"/>
      <c r="F2" s="125"/>
      <c r="G2" s="125"/>
      <c r="H2" s="125"/>
      <c r="I2" s="206"/>
    </row>
    <row r="3" customFormat="false" ht="14.25" hidden="false" customHeight="false" outlineLevel="0" collapsed="false">
      <c r="A3" s="124"/>
      <c r="B3" s="82" t="str">
        <f aca="false">INSTRUÇÕES!B3</f>
        <v>Subseção Judiciária de Poços de Caldas</v>
      </c>
      <c r="C3" s="558"/>
      <c r="D3" s="558"/>
      <c r="E3" s="558"/>
      <c r="F3" s="558"/>
      <c r="G3" s="558"/>
      <c r="H3" s="558"/>
      <c r="I3" s="636"/>
    </row>
    <row r="4" s="312" customFormat="true" ht="31.5" hidden="false" customHeight="true" outlineLevel="0" collapsed="false">
      <c r="A4" s="637" t="s">
        <v>641</v>
      </c>
      <c r="B4" s="637"/>
      <c r="C4" s="637"/>
      <c r="D4" s="637"/>
      <c r="E4" s="637"/>
      <c r="F4" s="637"/>
      <c r="G4" s="637"/>
      <c r="H4" s="637"/>
      <c r="I4" s="637"/>
      <c r="J4" s="638"/>
      <c r="K4" s="638"/>
      <c r="L4" s="638"/>
      <c r="M4" s="638"/>
    </row>
    <row r="5" s="644" customFormat="true" ht="41.25" hidden="false" customHeight="true" outlineLevel="0" collapsed="false">
      <c r="A5" s="639" t="s">
        <v>642</v>
      </c>
      <c r="B5" s="639"/>
      <c r="C5" s="639"/>
      <c r="D5" s="639"/>
      <c r="E5" s="640" t="s">
        <v>630</v>
      </c>
      <c r="F5" s="641" t="str">
        <f aca="false">Dados!C7</f>
        <v>Servente de Limpeza 40% Insalubridade</v>
      </c>
      <c r="G5" s="642" t="str">
        <f aca="false">Dados!C8</f>
        <v>Servente de Limpeza  com acúmulo Copeira</v>
      </c>
      <c r="H5" s="642" t="str">
        <f aca="false">Dados!C9</f>
        <v>Zelador</v>
      </c>
      <c r="I5" s="643" t="str">
        <f aca="false">Dados!C10</f>
        <v>Auxiliar Administrativo</v>
      </c>
    </row>
    <row r="6" s="134" customFormat="true" ht="22.5" hidden="false" customHeight="true" outlineLevel="0" collapsed="false">
      <c r="A6" s="645" t="s">
        <v>643</v>
      </c>
      <c r="B6" s="646" t="s">
        <v>329</v>
      </c>
      <c r="C6" s="646"/>
      <c r="D6" s="646"/>
      <c r="E6" s="640"/>
      <c r="F6" s="647" t="s">
        <v>644</v>
      </c>
      <c r="G6" s="647"/>
      <c r="H6" s="647"/>
      <c r="I6" s="647"/>
    </row>
    <row r="7" customFormat="false" ht="14.25" hidden="false" customHeight="true" outlineLevel="0" collapsed="false">
      <c r="A7" s="648" t="n">
        <v>1</v>
      </c>
      <c r="B7" s="649" t="s">
        <v>645</v>
      </c>
      <c r="C7" s="649"/>
      <c r="D7" s="649"/>
      <c r="E7" s="649"/>
      <c r="F7" s="650" t="n">
        <f aca="false">Dados!M7</f>
        <v>2240.88</v>
      </c>
      <c r="G7" s="650" t="n">
        <f aca="false">Dados!M8</f>
        <v>1682.69</v>
      </c>
      <c r="H7" s="650" t="n">
        <f aca="false">Dados!M9</f>
        <v>2441.1</v>
      </c>
      <c r="I7" s="651" t="n">
        <f aca="false">Dados!M10</f>
        <v>1396.36</v>
      </c>
    </row>
    <row r="8" customFormat="false" ht="14.25" hidden="false" customHeight="false" outlineLevel="0" collapsed="false">
      <c r="A8" s="652" t="s">
        <v>646</v>
      </c>
      <c r="B8" s="653" t="s">
        <v>330</v>
      </c>
      <c r="C8" s="653"/>
      <c r="D8" s="653"/>
      <c r="E8" s="585" t="n">
        <f aca="false">Encargos!C39</f>
        <v>0.0909</v>
      </c>
      <c r="F8" s="654" t="n">
        <f aca="false">ROUND(F7*$E$8,2)</f>
        <v>203.7</v>
      </c>
      <c r="G8" s="654" t="n">
        <f aca="false">ROUND(G7*$E$8,2)</f>
        <v>152.96</v>
      </c>
      <c r="H8" s="654" t="n">
        <f aca="false">ROUND(H7*$E$8,2)</f>
        <v>221.9</v>
      </c>
      <c r="I8" s="655" t="n">
        <f aca="false">ROUND(I7*$E$8,2)</f>
        <v>126.93</v>
      </c>
    </row>
    <row r="9" customFormat="false" ht="14.25" hidden="false" customHeight="false" outlineLevel="0" collapsed="false">
      <c r="A9" s="590" t="s">
        <v>647</v>
      </c>
      <c r="B9" s="597" t="s">
        <v>336</v>
      </c>
      <c r="C9" s="597"/>
      <c r="D9" s="597"/>
      <c r="E9" s="656" t="n">
        <f aca="false">E8*Encargos!C18</f>
        <v>0.0361782</v>
      </c>
      <c r="F9" s="657" t="n">
        <f aca="false">ROUND(F7*$E$9,2)</f>
        <v>81.07</v>
      </c>
      <c r="G9" s="657" t="n">
        <f aca="false">ROUND(G7*$E$9,2)</f>
        <v>60.88</v>
      </c>
      <c r="H9" s="657" t="n">
        <f aca="false">ROUND(H7*$E$9,2)</f>
        <v>88.31</v>
      </c>
      <c r="I9" s="658" t="n">
        <f aca="false">ROUND(I7*$E$9,2)</f>
        <v>50.52</v>
      </c>
    </row>
    <row r="10" customFormat="false" ht="12.75" hidden="false" customHeight="true" outlineLevel="0" collapsed="false">
      <c r="A10" s="659" t="s">
        <v>648</v>
      </c>
      <c r="B10" s="659"/>
      <c r="C10" s="659"/>
      <c r="D10" s="659"/>
      <c r="E10" s="660" t="n">
        <f aca="false">SUM(E8:E9)</f>
        <v>0.1270782</v>
      </c>
      <c r="F10" s="661" t="n">
        <f aca="false">SUM(F8:F9)</f>
        <v>284.77</v>
      </c>
      <c r="G10" s="661" t="n">
        <f aca="false">SUM(G8:G9)</f>
        <v>213.84</v>
      </c>
      <c r="H10" s="661" t="n">
        <f aca="false">SUM(H8:H9)</f>
        <v>310.21</v>
      </c>
      <c r="I10" s="662" t="n">
        <f aca="false">SUM(I8:I9)</f>
        <v>177.45</v>
      </c>
    </row>
    <row r="11" customFormat="false" ht="12.75" hidden="false" customHeight="true" outlineLevel="0" collapsed="false">
      <c r="A11" s="659" t="s">
        <v>649</v>
      </c>
      <c r="B11" s="659"/>
      <c r="C11" s="659"/>
      <c r="D11" s="659"/>
      <c r="E11" s="659"/>
      <c r="F11" s="661" t="n">
        <f aca="false">F10*12</f>
        <v>3417.24</v>
      </c>
      <c r="G11" s="661" t="n">
        <f aca="false">G10*12</f>
        <v>2566.08</v>
      </c>
      <c r="H11" s="661" t="n">
        <f aca="false">H10*12</f>
        <v>3722.52</v>
      </c>
      <c r="I11" s="662" t="n">
        <f aca="false">I10*12</f>
        <v>2129.4</v>
      </c>
    </row>
    <row r="12" customFormat="false" ht="14.25" hidden="false" customHeight="false" outlineLevel="0" collapsed="false">
      <c r="A12" s="663" t="n">
        <v>2</v>
      </c>
      <c r="B12" s="664" t="s">
        <v>650</v>
      </c>
      <c r="C12" s="664"/>
      <c r="D12" s="664"/>
      <c r="E12" s="664"/>
      <c r="F12" s="665" t="s">
        <v>498</v>
      </c>
      <c r="G12" s="665"/>
      <c r="H12" s="665"/>
      <c r="I12" s="665"/>
    </row>
    <row r="13" customFormat="false" ht="14.25" hidden="false" customHeight="false" outlineLevel="0" collapsed="false">
      <c r="A13" s="590" t="s">
        <v>646</v>
      </c>
      <c r="B13" s="597" t="s">
        <v>651</v>
      </c>
      <c r="C13" s="597"/>
      <c r="D13" s="597"/>
      <c r="E13" s="666"/>
      <c r="F13" s="667" t="n">
        <f aca="false">'Servente Insalubre'!$F$23</f>
        <v>510.4</v>
      </c>
      <c r="G13" s="667" t="n">
        <f aca="false">'Servente acúmulo de Copa'!$F$23</f>
        <v>510.4</v>
      </c>
      <c r="H13" s="667" t="n">
        <f aca="false">Zelador!$F$23</f>
        <v>510.4</v>
      </c>
      <c r="I13" s="668" t="n">
        <f aca="false">'Aux Adm'!$F$23</f>
        <v>0</v>
      </c>
    </row>
    <row r="14" customFormat="false" ht="14.25" hidden="false" customHeight="false" outlineLevel="0" collapsed="false">
      <c r="A14" s="590" t="s">
        <v>652</v>
      </c>
      <c r="B14" s="597" t="s">
        <v>653</v>
      </c>
      <c r="C14" s="597"/>
      <c r="D14" s="597"/>
      <c r="E14" s="666"/>
      <c r="F14" s="667" t="n">
        <f aca="false">'Servente Insalubre'!$F$22</f>
        <v>165.98</v>
      </c>
      <c r="G14" s="667" t="n">
        <f aca="false">'Servente acúmulo de Copa'!$F$22</f>
        <v>165.98</v>
      </c>
      <c r="H14" s="667" t="n">
        <f aca="false">Zelador!$F$22</f>
        <v>117.53</v>
      </c>
      <c r="I14" s="668" t="n">
        <f aca="false">'Aux Adm'!$F$22</f>
        <v>180.22</v>
      </c>
    </row>
    <row r="15" customFormat="false" ht="14.25" hidden="false" customHeight="false" outlineLevel="0" collapsed="false">
      <c r="A15" s="590" t="s">
        <v>654</v>
      </c>
      <c r="B15" s="666" t="s">
        <v>655</v>
      </c>
      <c r="C15" s="666"/>
      <c r="D15" s="666"/>
      <c r="E15" s="666"/>
      <c r="F15" s="667" t="n">
        <v>0</v>
      </c>
      <c r="G15" s="667" t="n">
        <v>0</v>
      </c>
      <c r="H15" s="667" t="n">
        <v>0</v>
      </c>
      <c r="I15" s="668" t="n">
        <v>0</v>
      </c>
    </row>
    <row r="16" customFormat="false" ht="14.25" hidden="false" customHeight="false" outlineLevel="0" collapsed="false">
      <c r="A16" s="669" t="s">
        <v>656</v>
      </c>
      <c r="B16" s="669"/>
      <c r="C16" s="669"/>
      <c r="D16" s="669"/>
      <c r="E16" s="669"/>
      <c r="F16" s="670" t="n">
        <f aca="false">SUM(F13:F15)</f>
        <v>676.38</v>
      </c>
      <c r="G16" s="670" t="n">
        <f aca="false">SUM(G13:G15)</f>
        <v>676.38</v>
      </c>
      <c r="H16" s="670" t="n">
        <f aca="false">SUM(H13:H15)</f>
        <v>627.93</v>
      </c>
      <c r="I16" s="671" t="n">
        <f aca="false">SUM(I13:I15)</f>
        <v>180.22</v>
      </c>
    </row>
    <row r="17" customFormat="false" ht="12.75" hidden="false" customHeight="true" outlineLevel="0" collapsed="false">
      <c r="A17" s="663" t="n">
        <v>5</v>
      </c>
      <c r="B17" s="672" t="s">
        <v>657</v>
      </c>
      <c r="C17" s="672"/>
      <c r="D17" s="672"/>
      <c r="E17" s="673" t="s">
        <v>630</v>
      </c>
      <c r="F17" s="665" t="s">
        <v>498</v>
      </c>
      <c r="G17" s="665"/>
      <c r="H17" s="665"/>
      <c r="I17" s="665"/>
    </row>
    <row r="18" customFormat="false" ht="12.75" hidden="false" customHeight="true" outlineLevel="0" collapsed="false">
      <c r="A18" s="590" t="s">
        <v>646</v>
      </c>
      <c r="B18" s="674" t="s">
        <v>658</v>
      </c>
      <c r="C18" s="674"/>
      <c r="D18" s="674"/>
      <c r="E18" s="675" t="n">
        <f aca="false">Dados!$G$43</f>
        <v>0.03</v>
      </c>
      <c r="F18" s="676" t="n">
        <f aca="false">ROUND(($E$18*F31),2)</f>
        <v>122.81</v>
      </c>
      <c r="G18" s="676" t="n">
        <f aca="false">ROUND(($E$18*G31),2)</f>
        <v>97.27</v>
      </c>
      <c r="H18" s="676" t="n">
        <f aca="false">ROUND(($E$18*H31),2)</f>
        <v>130.51</v>
      </c>
      <c r="I18" s="677" t="n">
        <f aca="false">ROUND(($E$18*I31),2)</f>
        <v>69.29</v>
      </c>
    </row>
    <row r="19" customFormat="false" ht="12.75" hidden="false" customHeight="true" outlineLevel="0" collapsed="false">
      <c r="A19" s="590" t="s">
        <v>652</v>
      </c>
      <c r="B19" s="674" t="s">
        <v>238</v>
      </c>
      <c r="C19" s="674"/>
      <c r="D19" s="674"/>
      <c r="E19" s="675" t="n">
        <f aca="false">Dados!$G$44</f>
        <v>0.0679</v>
      </c>
      <c r="F19" s="676" t="n">
        <f aca="false">ROUND(($E$19*(F18+F31)),2)</f>
        <v>286.3</v>
      </c>
      <c r="G19" s="676" t="n">
        <f aca="false">ROUND(($E$19*(G18+G31)),2)</f>
        <v>226.77</v>
      </c>
      <c r="H19" s="676" t="n">
        <f aca="false">ROUND(($E$19*(H18+H31)),2)</f>
        <v>304.26</v>
      </c>
      <c r="I19" s="677" t="n">
        <f aca="false">ROUND(($E$19*(I18+I31)),2)</f>
        <v>161.53</v>
      </c>
    </row>
    <row r="20" customFormat="false" ht="12.75" hidden="false" customHeight="true" outlineLevel="0" collapsed="false">
      <c r="A20" s="678" t="s">
        <v>654</v>
      </c>
      <c r="B20" s="679" t="s">
        <v>659</v>
      </c>
      <c r="C20" s="679"/>
      <c r="D20" s="679"/>
      <c r="E20" s="680" t="n">
        <f aca="false">SUM(E21:E24)</f>
        <v>0.1425</v>
      </c>
      <c r="F20" s="681" t="n">
        <f aca="false">ROUND((((F31+F18+F19)/(1-$E$20))-(F31+F18+F19)),2)</f>
        <v>748.27</v>
      </c>
      <c r="G20" s="681" t="n">
        <f aca="false">ROUND((((G31+G18+G19)/(1-$E$20))-(G31+G18+G19)),2)</f>
        <v>592.68</v>
      </c>
      <c r="H20" s="681" t="n">
        <f aca="false">ROUND((((H31+H18+H19)/(1-$E$20))-(H31+H18+H19)),2)</f>
        <v>795.21</v>
      </c>
      <c r="I20" s="682" t="n">
        <f aca="false">ROUND((((I31+I18+I19)/(1-$E$20))-(I31+I18+I19)),2)</f>
        <v>422.17</v>
      </c>
    </row>
    <row r="21" customFormat="false" ht="12.75" hidden="false" customHeight="true" outlineLevel="0" collapsed="false">
      <c r="A21" s="683" t="s">
        <v>660</v>
      </c>
      <c r="B21" s="674" t="s">
        <v>661</v>
      </c>
      <c r="C21" s="674"/>
      <c r="D21" s="674"/>
      <c r="E21" s="675" t="n">
        <f aca="false">Dados!G51+Dados!G52</f>
        <v>0.0925</v>
      </c>
      <c r="F21" s="676" t="n">
        <f aca="false">ROUND($E$21*F33,2)</f>
        <v>485.72</v>
      </c>
      <c r="G21" s="676" t="n">
        <f aca="false">ROUND($E$21*G33,2)</f>
        <v>384.72</v>
      </c>
      <c r="H21" s="676" t="n">
        <f aca="false">ROUND($E$21*H33,2)</f>
        <v>516.19</v>
      </c>
      <c r="I21" s="677" t="n">
        <f aca="false">ROUND($E$21*I33,2)</f>
        <v>274.04</v>
      </c>
    </row>
    <row r="22" customFormat="false" ht="12.75" hidden="false" customHeight="true" outlineLevel="0" collapsed="false">
      <c r="A22" s="590" t="s">
        <v>662</v>
      </c>
      <c r="B22" s="674" t="s">
        <v>663</v>
      </c>
      <c r="C22" s="674"/>
      <c r="D22" s="674"/>
      <c r="E22" s="675" t="n">
        <v>0</v>
      </c>
      <c r="F22" s="676" t="n">
        <f aca="false">ROUND($E$22*F33,2)</f>
        <v>0</v>
      </c>
      <c r="G22" s="676" t="n">
        <f aca="false">ROUND($E$22*G33,2)</f>
        <v>0</v>
      </c>
      <c r="H22" s="676" t="n">
        <f aca="false">ROUND($E$22*H33,2)</f>
        <v>0</v>
      </c>
      <c r="I22" s="677" t="n">
        <f aca="false">ROUND($E$22*I33,2)</f>
        <v>0</v>
      </c>
    </row>
    <row r="23" customFormat="false" ht="12.75" hidden="false" customHeight="true" outlineLevel="0" collapsed="false">
      <c r="A23" s="590" t="s">
        <v>664</v>
      </c>
      <c r="B23" s="674" t="s">
        <v>665</v>
      </c>
      <c r="C23" s="674"/>
      <c r="D23" s="674"/>
      <c r="E23" s="675" t="n">
        <f aca="false">Dados!G53</f>
        <v>0.05</v>
      </c>
      <c r="F23" s="676" t="n">
        <f aca="false">ROUND($E$23*F33,2)</f>
        <v>262.55</v>
      </c>
      <c r="G23" s="676" t="n">
        <f aca="false">ROUND($E$23*G33,2)</f>
        <v>207.96</v>
      </c>
      <c r="H23" s="676" t="n">
        <f aca="false">ROUND($E$23*H33,2)</f>
        <v>279.02</v>
      </c>
      <c r="I23" s="677" t="n">
        <f aca="false">ROUND($E$23*I33,2)</f>
        <v>148.13</v>
      </c>
    </row>
    <row r="24" customFormat="false" ht="14.25" hidden="false" customHeight="false" outlineLevel="0" collapsed="false">
      <c r="A24" s="590" t="s">
        <v>666</v>
      </c>
      <c r="B24" s="674" t="str">
        <f aca="false">Dados!B54</f>
        <v>Outros (inserir somente com a justificativa legal)</v>
      </c>
      <c r="C24" s="674"/>
      <c r="D24" s="674"/>
      <c r="E24" s="675" t="n">
        <f aca="false">Dados!G54</f>
        <v>0</v>
      </c>
      <c r="F24" s="676" t="n">
        <f aca="false">ROUND($E$24*F33,2)</f>
        <v>0</v>
      </c>
      <c r="G24" s="676" t="n">
        <f aca="false">ROUND($E$24*G33,2)</f>
        <v>0</v>
      </c>
      <c r="H24" s="676" t="n">
        <f aca="false">ROUND($E$24*H33,2)</f>
        <v>0</v>
      </c>
      <c r="I24" s="677" t="n">
        <f aca="false">ROUND($E$24*I33,2)</f>
        <v>0</v>
      </c>
    </row>
    <row r="25" customFormat="false" ht="14.25" hidden="false" customHeight="false" outlineLevel="0" collapsed="false">
      <c r="A25" s="684" t="s">
        <v>667</v>
      </c>
      <c r="B25" s="576"/>
      <c r="C25" s="576"/>
      <c r="D25" s="576"/>
      <c r="E25" s="576"/>
      <c r="F25" s="685" t="n">
        <f aca="false">SUM(F18:F20)</f>
        <v>1157.38</v>
      </c>
      <c r="G25" s="685" t="n">
        <f aca="false">SUM(G18:G20)</f>
        <v>916.72</v>
      </c>
      <c r="H25" s="685" t="n">
        <f aca="false">SUM(H18:H20)</f>
        <v>1229.98</v>
      </c>
      <c r="I25" s="686" t="n">
        <f aca="false">SUM(I18:I20)</f>
        <v>652.99</v>
      </c>
    </row>
    <row r="26" customFormat="false" ht="19.5" hidden="false" customHeight="true" outlineLevel="0" collapsed="false">
      <c r="A26" s="687" t="s">
        <v>668</v>
      </c>
      <c r="B26" s="687"/>
      <c r="C26" s="687"/>
      <c r="D26" s="687"/>
      <c r="E26" s="687"/>
      <c r="F26" s="687"/>
      <c r="G26" s="687"/>
      <c r="H26" s="687"/>
      <c r="I26" s="687"/>
    </row>
    <row r="27" customFormat="false" ht="18" hidden="false" customHeight="true" outlineLevel="0" collapsed="false">
      <c r="A27" s="688" t="s">
        <v>669</v>
      </c>
      <c r="B27" s="688"/>
      <c r="C27" s="688"/>
      <c r="D27" s="688"/>
      <c r="E27" s="688"/>
      <c r="F27" s="688"/>
      <c r="G27" s="688"/>
      <c r="H27" s="688"/>
      <c r="I27" s="688"/>
    </row>
    <row r="28" customFormat="false" ht="14.25" hidden="false" customHeight="true" outlineLevel="0" collapsed="false">
      <c r="A28" s="689" t="s">
        <v>670</v>
      </c>
      <c r="B28" s="690"/>
      <c r="C28" s="690"/>
      <c r="D28" s="690"/>
      <c r="E28" s="690"/>
      <c r="F28" s="691" t="s">
        <v>498</v>
      </c>
      <c r="G28" s="691"/>
      <c r="H28" s="691"/>
      <c r="I28" s="691"/>
    </row>
    <row r="29" customFormat="false" ht="14.25" hidden="false" customHeight="false" outlineLevel="0" collapsed="false">
      <c r="A29" s="590" t="s">
        <v>646</v>
      </c>
      <c r="B29" s="666" t="s">
        <v>671</v>
      </c>
      <c r="C29" s="666"/>
      <c r="D29" s="666"/>
      <c r="E29" s="666"/>
      <c r="F29" s="692" t="n">
        <f aca="false">F11</f>
        <v>3417.24</v>
      </c>
      <c r="G29" s="692" t="n">
        <f aca="false">G11</f>
        <v>2566.08</v>
      </c>
      <c r="H29" s="692" t="n">
        <f aca="false">H11</f>
        <v>3722.52</v>
      </c>
      <c r="I29" s="693" t="n">
        <f aca="false">I11</f>
        <v>2129.4</v>
      </c>
    </row>
    <row r="30" customFormat="false" ht="14.25" hidden="false" customHeight="false" outlineLevel="0" collapsed="false">
      <c r="A30" s="590" t="s">
        <v>652</v>
      </c>
      <c r="B30" s="666" t="s">
        <v>650</v>
      </c>
      <c r="C30" s="666"/>
      <c r="D30" s="666"/>
      <c r="E30" s="666"/>
      <c r="F30" s="692" t="n">
        <f aca="false">F16</f>
        <v>676.38</v>
      </c>
      <c r="G30" s="692" t="n">
        <f aca="false">G16</f>
        <v>676.38</v>
      </c>
      <c r="H30" s="692" t="n">
        <f aca="false">H16</f>
        <v>627.93</v>
      </c>
      <c r="I30" s="693" t="n">
        <f aca="false">I16</f>
        <v>180.22</v>
      </c>
    </row>
    <row r="31" customFormat="false" ht="14.25" hidden="false" customHeight="false" outlineLevel="0" collapsed="false">
      <c r="A31" s="669" t="s">
        <v>672</v>
      </c>
      <c r="B31" s="669"/>
      <c r="C31" s="669"/>
      <c r="D31" s="669"/>
      <c r="E31" s="694"/>
      <c r="F31" s="695" t="n">
        <f aca="false">SUM(F29:F30)</f>
        <v>4093.62</v>
      </c>
      <c r="G31" s="695" t="n">
        <f aca="false">SUM(G29:G30)</f>
        <v>3242.46</v>
      </c>
      <c r="H31" s="695" t="n">
        <f aca="false">SUM(H29:H30)</f>
        <v>4350.45</v>
      </c>
      <c r="I31" s="696" t="n">
        <f aca="false">SUM(I29:I30)</f>
        <v>2309.62</v>
      </c>
    </row>
    <row r="32" customFormat="false" ht="14.25" hidden="false" customHeight="false" outlineLevel="0" collapsed="false">
      <c r="A32" s="570" t="s">
        <v>673</v>
      </c>
      <c r="B32" s="697" t="s">
        <v>674</v>
      </c>
      <c r="C32" s="697"/>
      <c r="D32" s="697"/>
      <c r="E32" s="697"/>
      <c r="F32" s="698" t="n">
        <f aca="false">F25</f>
        <v>1157.38</v>
      </c>
      <c r="G32" s="698" t="n">
        <f aca="false">G25</f>
        <v>916.72</v>
      </c>
      <c r="H32" s="698" t="n">
        <f aca="false">H25</f>
        <v>1229.98</v>
      </c>
      <c r="I32" s="699" t="n">
        <f aca="false">I25</f>
        <v>652.99</v>
      </c>
    </row>
    <row r="33" customFormat="false" ht="19.5" hidden="false" customHeight="true" outlineLevel="0" collapsed="false">
      <c r="A33" s="700" t="s">
        <v>675</v>
      </c>
      <c r="B33" s="701"/>
      <c r="C33" s="701"/>
      <c r="D33" s="701"/>
      <c r="E33" s="701"/>
      <c r="F33" s="702" t="n">
        <f aca="false">SUM(F31:F32)</f>
        <v>5251</v>
      </c>
      <c r="G33" s="702" t="n">
        <f aca="false">SUM(G31:G32)</f>
        <v>4159.18</v>
      </c>
      <c r="H33" s="702" t="n">
        <f aca="false">SUM(H31:H32)</f>
        <v>5580.43</v>
      </c>
      <c r="I33" s="703" t="n">
        <f aca="false">SUM(I31:I32)</f>
        <v>2962.61</v>
      </c>
    </row>
  </sheetData>
  <sheetProtection algorithmName="SHA-512" hashValue="1tMyQ90VVaFdf3OE1eIBKT9iHTTyivnKeqC+i3t4hnuBYkzUNwobX6VdXcKJsoy9vVztTf2d5Mfi0L9RWl06eA==" saltValue="M+Kjet8MBCtA9ZomAvSXPQ==" spinCount="100000" sheet="true" objects="true" scenarios="true"/>
  <mergeCells count="27">
    <mergeCell ref="A4:I4"/>
    <mergeCell ref="A5:D5"/>
    <mergeCell ref="E5:E6"/>
    <mergeCell ref="B6:D6"/>
    <mergeCell ref="F6:I6"/>
    <mergeCell ref="B7:E7"/>
    <mergeCell ref="B8:D8"/>
    <mergeCell ref="B9:D9"/>
    <mergeCell ref="A10:D10"/>
    <mergeCell ref="A11:E11"/>
    <mergeCell ref="F12:I12"/>
    <mergeCell ref="B13:D13"/>
    <mergeCell ref="B14:D14"/>
    <mergeCell ref="A16:E16"/>
    <mergeCell ref="B17:D17"/>
    <mergeCell ref="F17:I17"/>
    <mergeCell ref="B18:D18"/>
    <mergeCell ref="B19:D19"/>
    <mergeCell ref="B20:D20"/>
    <mergeCell ref="B21:D21"/>
    <mergeCell ref="B22:D22"/>
    <mergeCell ref="B23:D23"/>
    <mergeCell ref="B24:D24"/>
    <mergeCell ref="A26:I26"/>
    <mergeCell ref="A27:I27"/>
    <mergeCell ref="F28:I28"/>
    <mergeCell ref="A31:D31"/>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I23"/>
  <sheetViews>
    <sheetView showFormulas="false" showGridLines="false" showRowColHeaders="true" showZeros="true" rightToLeft="false" tabSelected="false" showOutlineSymbols="true" defaultGridColor="true" view="pageBreakPreview" topLeftCell="A1" colorId="64" zoomScale="140" zoomScaleNormal="100" zoomScalePageLayoutView="140" workbookViewId="0">
      <selection pane="topLeft" activeCell="A1" activeCellId="0" sqref="A1"/>
    </sheetView>
  </sheetViews>
  <sheetFormatPr defaultColWidth="8.66796875" defaultRowHeight="14.25" zeroHeight="false" outlineLevelRow="0" outlineLevelCol="0"/>
  <cols>
    <col collapsed="false" customWidth="true" hidden="false" outlineLevel="0" max="1" min="1" style="0" width="7.88"/>
    <col collapsed="false" customWidth="true" hidden="false" outlineLevel="0" max="2" min="2" style="0" width="7.33"/>
    <col collapsed="false" customWidth="true" hidden="false" outlineLevel="0" max="3" min="3" style="0" width="4.44"/>
    <col collapsed="false" customWidth="true" hidden="false" outlineLevel="0" max="4" min="4" style="0" width="7.56"/>
    <col collapsed="false" customWidth="true" hidden="false" outlineLevel="0" max="5" min="5" style="0" width="5.44"/>
    <col collapsed="false" customWidth="true" hidden="false" outlineLevel="0" max="6" min="6" style="0" width="8.34"/>
    <col collapsed="false" customWidth="true" hidden="false" outlineLevel="0" max="7" min="7" style="0" width="7.44"/>
    <col collapsed="false" customWidth="true" hidden="false" outlineLevel="0" max="8" min="8" style="0" width="3.34"/>
    <col collapsed="false" customWidth="true" hidden="false" outlineLevel="0" max="9" min="9" style="0" width="7.33"/>
    <col collapsed="false" customWidth="true" hidden="false" outlineLevel="0" max="10" min="10" style="0" width="4.44"/>
    <col collapsed="false" customWidth="true" hidden="false" outlineLevel="0" max="11" min="11" style="0" width="7.56"/>
    <col collapsed="false" customWidth="true" hidden="false" outlineLevel="0" max="12" min="12" style="0" width="5.44"/>
    <col collapsed="false" customWidth="true" hidden="false" outlineLevel="0" max="13" min="13" style="0" width="8.34"/>
    <col collapsed="false" customWidth="true" hidden="false" outlineLevel="0" max="14" min="14" style="0" width="7.44"/>
    <col collapsed="false" customWidth="true" hidden="false" outlineLevel="0" max="15" min="15" style="0" width="3"/>
    <col collapsed="false" customWidth="true" hidden="false" outlineLevel="0" max="16" min="16" style="0" width="7.33"/>
    <col collapsed="false" customWidth="true" hidden="false" outlineLevel="0" max="17" min="17" style="0" width="4.44"/>
    <col collapsed="false" customWidth="true" hidden="false" outlineLevel="0" max="18" min="18" style="0" width="7.56"/>
    <col collapsed="false" customWidth="true" hidden="false" outlineLevel="0" max="19" min="19" style="0" width="5.44"/>
    <col collapsed="false" customWidth="true" hidden="false" outlineLevel="0" max="20" min="20" style="0" width="8.34"/>
    <col collapsed="false" customWidth="true" hidden="false" outlineLevel="0" max="21" min="21" style="0" width="7.44"/>
    <col collapsed="false" customWidth="true" hidden="false" outlineLevel="0" max="22" min="22" style="0" width="3"/>
    <col collapsed="false" customWidth="true" hidden="false" outlineLevel="0" max="23" min="23" style="0" width="7.33"/>
    <col collapsed="false" customWidth="true" hidden="false" outlineLevel="0" max="24" min="24" style="0" width="4.44"/>
    <col collapsed="false" customWidth="true" hidden="false" outlineLevel="0" max="25" min="25" style="0" width="7.56"/>
    <col collapsed="false" customWidth="true" hidden="false" outlineLevel="0" max="26" min="26" style="0" width="5.44"/>
    <col collapsed="false" customWidth="true" hidden="false" outlineLevel="0" max="27" min="27" style="0" width="8.34"/>
    <col collapsed="false" customWidth="true" hidden="false" outlineLevel="0" max="28" min="28" style="0" width="7.44"/>
    <col collapsed="false" customWidth="true" hidden="false" outlineLevel="0" max="29" min="29" style="0" width="3"/>
    <col collapsed="false" customWidth="true" hidden="false" outlineLevel="0" max="30" min="30" style="0" width="7.33"/>
    <col collapsed="false" customWidth="true" hidden="false" outlineLevel="0" max="31" min="31" style="0" width="4.44"/>
    <col collapsed="false" customWidth="true" hidden="false" outlineLevel="0" max="257" min="257" style="0" width="1.44"/>
    <col collapsed="false" customWidth="true" hidden="false" outlineLevel="0" max="258" min="258" style="0" width="7.33"/>
    <col collapsed="false" customWidth="true" hidden="false" outlineLevel="0" max="259" min="259" style="0" width="4.44"/>
    <col collapsed="false" customWidth="true" hidden="false" outlineLevel="0" max="260" min="260" style="0" width="7.56"/>
    <col collapsed="false" customWidth="true" hidden="false" outlineLevel="0" max="261" min="261" style="0" width="5.44"/>
    <col collapsed="false" customWidth="true" hidden="false" outlineLevel="0" max="262" min="262" style="0" width="8.34"/>
    <col collapsed="false" customWidth="true" hidden="false" outlineLevel="0" max="263" min="263" style="0" width="7.44"/>
    <col collapsed="false" customWidth="true" hidden="false" outlineLevel="0" max="264" min="264" style="0" width="3.34"/>
    <col collapsed="false" customWidth="true" hidden="false" outlineLevel="0" max="265" min="265" style="0" width="7.33"/>
    <col collapsed="false" customWidth="true" hidden="false" outlineLevel="0" max="266" min="266" style="0" width="4.44"/>
    <col collapsed="false" customWidth="true" hidden="false" outlineLevel="0" max="267" min="267" style="0" width="7.56"/>
    <col collapsed="false" customWidth="true" hidden="false" outlineLevel="0" max="268" min="268" style="0" width="5.44"/>
    <col collapsed="false" customWidth="true" hidden="false" outlineLevel="0" max="269" min="269" style="0" width="8.34"/>
    <col collapsed="false" customWidth="true" hidden="false" outlineLevel="0" max="270" min="270" style="0" width="7.44"/>
    <col collapsed="false" customWidth="true" hidden="false" outlineLevel="0" max="271" min="271" style="0" width="3"/>
    <col collapsed="false" customWidth="true" hidden="false" outlineLevel="0" max="272" min="272" style="0" width="7.33"/>
    <col collapsed="false" customWidth="true" hidden="false" outlineLevel="0" max="273" min="273" style="0" width="4.44"/>
    <col collapsed="false" customWidth="true" hidden="false" outlineLevel="0" max="274" min="274" style="0" width="7.56"/>
    <col collapsed="false" customWidth="true" hidden="false" outlineLevel="0" max="275" min="275" style="0" width="5.44"/>
    <col collapsed="false" customWidth="true" hidden="false" outlineLevel="0" max="276" min="276" style="0" width="8.34"/>
    <col collapsed="false" customWidth="true" hidden="false" outlineLevel="0" max="277" min="277" style="0" width="7.44"/>
    <col collapsed="false" customWidth="true" hidden="false" outlineLevel="0" max="278" min="278" style="0" width="3"/>
    <col collapsed="false" customWidth="true" hidden="false" outlineLevel="0" max="279" min="279" style="0" width="7.33"/>
    <col collapsed="false" customWidth="true" hidden="false" outlineLevel="0" max="280" min="280" style="0" width="4.44"/>
    <col collapsed="false" customWidth="true" hidden="false" outlineLevel="0" max="281" min="281" style="0" width="7.56"/>
    <col collapsed="false" customWidth="true" hidden="false" outlineLevel="0" max="282" min="282" style="0" width="5.44"/>
    <col collapsed="false" customWidth="true" hidden="false" outlineLevel="0" max="283" min="283" style="0" width="8.34"/>
    <col collapsed="false" customWidth="true" hidden="false" outlineLevel="0" max="284" min="284" style="0" width="7.44"/>
    <col collapsed="false" customWidth="true" hidden="false" outlineLevel="0" max="285" min="285" style="0" width="3"/>
    <col collapsed="false" customWidth="true" hidden="false" outlineLevel="0" max="286" min="286" style="0" width="7.33"/>
    <col collapsed="false" customWidth="true" hidden="false" outlineLevel="0" max="287" min="287" style="0" width="4.44"/>
    <col collapsed="false" customWidth="true" hidden="false" outlineLevel="0" max="513" min="513" style="0" width="1.44"/>
    <col collapsed="false" customWidth="true" hidden="false" outlineLevel="0" max="514" min="514" style="0" width="7.33"/>
    <col collapsed="false" customWidth="true" hidden="false" outlineLevel="0" max="515" min="515" style="0" width="4.44"/>
    <col collapsed="false" customWidth="true" hidden="false" outlineLevel="0" max="516" min="516" style="0" width="7.56"/>
    <col collapsed="false" customWidth="true" hidden="false" outlineLevel="0" max="517" min="517" style="0" width="5.44"/>
    <col collapsed="false" customWidth="true" hidden="false" outlineLevel="0" max="518" min="518" style="0" width="8.34"/>
    <col collapsed="false" customWidth="true" hidden="false" outlineLevel="0" max="519" min="519" style="0" width="7.44"/>
    <col collapsed="false" customWidth="true" hidden="false" outlineLevel="0" max="520" min="520" style="0" width="3.34"/>
    <col collapsed="false" customWidth="true" hidden="false" outlineLevel="0" max="521" min="521" style="0" width="7.33"/>
    <col collapsed="false" customWidth="true" hidden="false" outlineLevel="0" max="522" min="522" style="0" width="4.44"/>
    <col collapsed="false" customWidth="true" hidden="false" outlineLevel="0" max="523" min="523" style="0" width="7.56"/>
    <col collapsed="false" customWidth="true" hidden="false" outlineLevel="0" max="524" min="524" style="0" width="5.44"/>
    <col collapsed="false" customWidth="true" hidden="false" outlineLevel="0" max="525" min="525" style="0" width="8.34"/>
    <col collapsed="false" customWidth="true" hidden="false" outlineLevel="0" max="526" min="526" style="0" width="7.44"/>
    <col collapsed="false" customWidth="true" hidden="false" outlineLevel="0" max="527" min="527" style="0" width="3"/>
    <col collapsed="false" customWidth="true" hidden="false" outlineLevel="0" max="528" min="528" style="0" width="7.33"/>
    <col collapsed="false" customWidth="true" hidden="false" outlineLevel="0" max="529" min="529" style="0" width="4.44"/>
    <col collapsed="false" customWidth="true" hidden="false" outlineLevel="0" max="530" min="530" style="0" width="7.56"/>
    <col collapsed="false" customWidth="true" hidden="false" outlineLevel="0" max="531" min="531" style="0" width="5.44"/>
    <col collapsed="false" customWidth="true" hidden="false" outlineLevel="0" max="532" min="532" style="0" width="8.34"/>
    <col collapsed="false" customWidth="true" hidden="false" outlineLevel="0" max="533" min="533" style="0" width="7.44"/>
    <col collapsed="false" customWidth="true" hidden="false" outlineLevel="0" max="534" min="534" style="0" width="3"/>
    <col collapsed="false" customWidth="true" hidden="false" outlineLevel="0" max="535" min="535" style="0" width="7.33"/>
    <col collapsed="false" customWidth="true" hidden="false" outlineLevel="0" max="536" min="536" style="0" width="4.44"/>
    <col collapsed="false" customWidth="true" hidden="false" outlineLevel="0" max="537" min="537" style="0" width="7.56"/>
    <col collapsed="false" customWidth="true" hidden="false" outlineLevel="0" max="538" min="538" style="0" width="5.44"/>
    <col collapsed="false" customWidth="true" hidden="false" outlineLevel="0" max="539" min="539" style="0" width="8.34"/>
    <col collapsed="false" customWidth="true" hidden="false" outlineLevel="0" max="540" min="540" style="0" width="7.44"/>
    <col collapsed="false" customWidth="true" hidden="false" outlineLevel="0" max="541" min="541" style="0" width="3"/>
    <col collapsed="false" customWidth="true" hidden="false" outlineLevel="0" max="542" min="542" style="0" width="7.33"/>
    <col collapsed="false" customWidth="true" hidden="false" outlineLevel="0" max="543" min="543" style="0" width="4.44"/>
    <col collapsed="false" customWidth="true" hidden="false" outlineLevel="0" max="769" min="769" style="0" width="1.44"/>
    <col collapsed="false" customWidth="true" hidden="false" outlineLevel="0" max="770" min="770" style="0" width="7.33"/>
    <col collapsed="false" customWidth="true" hidden="false" outlineLevel="0" max="771" min="771" style="0" width="4.44"/>
    <col collapsed="false" customWidth="true" hidden="false" outlineLevel="0" max="772" min="772" style="0" width="7.56"/>
    <col collapsed="false" customWidth="true" hidden="false" outlineLevel="0" max="773" min="773" style="0" width="5.44"/>
    <col collapsed="false" customWidth="true" hidden="false" outlineLevel="0" max="774" min="774" style="0" width="8.34"/>
    <col collapsed="false" customWidth="true" hidden="false" outlineLevel="0" max="775" min="775" style="0" width="7.44"/>
    <col collapsed="false" customWidth="true" hidden="false" outlineLevel="0" max="776" min="776" style="0" width="3.34"/>
    <col collapsed="false" customWidth="true" hidden="false" outlineLevel="0" max="777" min="777" style="0" width="7.33"/>
    <col collapsed="false" customWidth="true" hidden="false" outlineLevel="0" max="778" min="778" style="0" width="4.44"/>
    <col collapsed="false" customWidth="true" hidden="false" outlineLevel="0" max="779" min="779" style="0" width="7.56"/>
    <col collapsed="false" customWidth="true" hidden="false" outlineLevel="0" max="780" min="780" style="0" width="5.44"/>
    <col collapsed="false" customWidth="true" hidden="false" outlineLevel="0" max="781" min="781" style="0" width="8.34"/>
    <col collapsed="false" customWidth="true" hidden="false" outlineLevel="0" max="782" min="782" style="0" width="7.44"/>
    <col collapsed="false" customWidth="true" hidden="false" outlineLevel="0" max="783" min="783" style="0" width="3"/>
    <col collapsed="false" customWidth="true" hidden="false" outlineLevel="0" max="784" min="784" style="0" width="7.33"/>
    <col collapsed="false" customWidth="true" hidden="false" outlineLevel="0" max="785" min="785" style="0" width="4.44"/>
    <col collapsed="false" customWidth="true" hidden="false" outlineLevel="0" max="786" min="786" style="0" width="7.56"/>
    <col collapsed="false" customWidth="true" hidden="false" outlineLevel="0" max="787" min="787" style="0" width="5.44"/>
    <col collapsed="false" customWidth="true" hidden="false" outlineLevel="0" max="788" min="788" style="0" width="8.34"/>
    <col collapsed="false" customWidth="true" hidden="false" outlineLevel="0" max="789" min="789" style="0" width="7.44"/>
    <col collapsed="false" customWidth="true" hidden="false" outlineLevel="0" max="790" min="790" style="0" width="3"/>
    <col collapsed="false" customWidth="true" hidden="false" outlineLevel="0" max="791" min="791" style="0" width="7.33"/>
    <col collapsed="false" customWidth="true" hidden="false" outlineLevel="0" max="792" min="792" style="0" width="4.44"/>
    <col collapsed="false" customWidth="true" hidden="false" outlineLevel="0" max="793" min="793" style="0" width="7.56"/>
    <col collapsed="false" customWidth="true" hidden="false" outlineLevel="0" max="794" min="794" style="0" width="5.44"/>
    <col collapsed="false" customWidth="true" hidden="false" outlineLevel="0" max="795" min="795" style="0" width="8.34"/>
    <col collapsed="false" customWidth="true" hidden="false" outlineLevel="0" max="796" min="796" style="0" width="7.44"/>
    <col collapsed="false" customWidth="true" hidden="false" outlineLevel="0" max="797" min="797" style="0" width="3"/>
    <col collapsed="false" customWidth="true" hidden="false" outlineLevel="0" max="798" min="798" style="0" width="7.33"/>
    <col collapsed="false" customWidth="true" hidden="false" outlineLevel="0" max="799" min="799" style="0" width="4.44"/>
  </cols>
  <sheetData>
    <row r="1" customFormat="false" ht="14.25" hidden="false" customHeight="false" outlineLevel="0" collapsed="false">
      <c r="A1" s="125"/>
      <c r="B1" s="125" t="s">
        <v>85</v>
      </c>
    </row>
    <row r="2" customFormat="false" ht="14.25" hidden="false" customHeight="false" outlineLevel="0" collapsed="false">
      <c r="A2" s="125"/>
      <c r="B2" s="125" t="s">
        <v>86</v>
      </c>
    </row>
    <row r="3" customFormat="false" ht="14.25" hidden="false" customHeight="false" outlineLevel="0" collapsed="false">
      <c r="A3" s="558"/>
      <c r="B3" s="82" t="s">
        <v>676</v>
      </c>
    </row>
    <row r="4" customFormat="false" ht="6" hidden="false" customHeight="true" outlineLevel="0" collapsed="false"/>
    <row r="5" customFormat="false" ht="6" hidden="false" customHeight="true" outlineLevel="0" collapsed="false"/>
    <row r="6" customFormat="false" ht="15.75" hidden="false" customHeight="true" outlineLevel="0" collapsed="false">
      <c r="B6" s="704" t="s">
        <v>259</v>
      </c>
      <c r="C6" s="704"/>
      <c r="D6" s="704"/>
      <c r="E6" s="704"/>
      <c r="F6" s="704"/>
      <c r="G6" s="704"/>
      <c r="I6" s="704" t="s">
        <v>263</v>
      </c>
      <c r="J6" s="704"/>
      <c r="K6" s="704"/>
      <c r="L6" s="704"/>
      <c r="M6" s="704"/>
      <c r="N6" s="704"/>
      <c r="P6" s="704" t="s">
        <v>264</v>
      </c>
      <c r="Q6" s="704"/>
      <c r="R6" s="704"/>
      <c r="S6" s="704"/>
      <c r="T6" s="704"/>
      <c r="U6" s="704"/>
      <c r="W6" s="704" t="s">
        <v>265</v>
      </c>
      <c r="X6" s="704"/>
      <c r="Y6" s="704"/>
      <c r="Z6" s="704"/>
      <c r="AA6" s="704"/>
      <c r="AB6" s="704"/>
      <c r="AD6" s="704" t="s">
        <v>266</v>
      </c>
      <c r="AE6" s="704"/>
      <c r="AF6" s="704"/>
      <c r="AG6" s="704"/>
      <c r="AH6" s="704"/>
      <c r="AI6" s="704"/>
    </row>
    <row r="7" customFormat="false" ht="14.25" hidden="false" customHeight="false" outlineLevel="0" collapsed="false">
      <c r="B7" s="705" t="s">
        <v>677</v>
      </c>
      <c r="C7" s="706"/>
      <c r="D7" s="706"/>
      <c r="E7" s="706"/>
      <c r="F7" s="706"/>
      <c r="G7" s="706"/>
      <c r="I7" s="705" t="s">
        <v>677</v>
      </c>
      <c r="J7" s="706"/>
      <c r="K7" s="706"/>
      <c r="L7" s="706"/>
      <c r="M7" s="706"/>
      <c r="N7" s="706"/>
      <c r="P7" s="705" t="s">
        <v>677</v>
      </c>
      <c r="Q7" s="706"/>
      <c r="R7" s="706"/>
      <c r="S7" s="706"/>
      <c r="T7" s="706"/>
      <c r="U7" s="706"/>
      <c r="W7" s="705" t="s">
        <v>677</v>
      </c>
      <c r="X7" s="706"/>
      <c r="Y7" s="706"/>
      <c r="Z7" s="706"/>
      <c r="AA7" s="706"/>
      <c r="AB7" s="706"/>
      <c r="AD7" s="705" t="s">
        <v>677</v>
      </c>
      <c r="AE7" s="706"/>
      <c r="AF7" s="706"/>
      <c r="AG7" s="706"/>
      <c r="AH7" s="706"/>
      <c r="AI7" s="706"/>
    </row>
    <row r="8" customFormat="false" ht="25.5" hidden="false" customHeight="true" outlineLevel="0" collapsed="false">
      <c r="B8" s="274" t="s">
        <v>678</v>
      </c>
      <c r="C8" s="274"/>
      <c r="D8" s="274" t="s">
        <v>679</v>
      </c>
      <c r="E8" s="274" t="s">
        <v>680</v>
      </c>
      <c r="F8" s="274" t="s">
        <v>681</v>
      </c>
      <c r="G8" s="274" t="s">
        <v>682</v>
      </c>
      <c r="I8" s="274" t="s">
        <v>678</v>
      </c>
      <c r="J8" s="274"/>
      <c r="K8" s="274" t="s">
        <v>679</v>
      </c>
      <c r="L8" s="274" t="s">
        <v>680</v>
      </c>
      <c r="M8" s="274" t="s">
        <v>681</v>
      </c>
      <c r="N8" s="274" t="s">
        <v>682</v>
      </c>
      <c r="P8" s="274" t="s">
        <v>678</v>
      </c>
      <c r="Q8" s="274"/>
      <c r="R8" s="274" t="s">
        <v>679</v>
      </c>
      <c r="S8" s="274" t="s">
        <v>680</v>
      </c>
      <c r="T8" s="274" t="s">
        <v>681</v>
      </c>
      <c r="U8" s="274" t="s">
        <v>682</v>
      </c>
      <c r="W8" s="274" t="s">
        <v>678</v>
      </c>
      <c r="X8" s="274"/>
      <c r="Y8" s="274" t="s">
        <v>679</v>
      </c>
      <c r="Z8" s="274" t="s">
        <v>680</v>
      </c>
      <c r="AA8" s="274" t="s">
        <v>681</v>
      </c>
      <c r="AB8" s="274" t="s">
        <v>682</v>
      </c>
      <c r="AD8" s="274" t="s">
        <v>678</v>
      </c>
      <c r="AE8" s="274"/>
      <c r="AF8" s="274" t="s">
        <v>679</v>
      </c>
      <c r="AG8" s="274" t="s">
        <v>680</v>
      </c>
      <c r="AH8" s="274" t="s">
        <v>681</v>
      </c>
      <c r="AI8" s="274" t="s">
        <v>682</v>
      </c>
    </row>
    <row r="9" customFormat="false" ht="14.25" hidden="false" customHeight="false" outlineLevel="0" collapsed="false">
      <c r="B9" s="707" t="s">
        <v>683</v>
      </c>
      <c r="C9" s="707" t="s">
        <v>684</v>
      </c>
      <c r="D9" s="707" t="s">
        <v>685</v>
      </c>
      <c r="E9" s="707"/>
      <c r="F9" s="707" t="s">
        <v>686</v>
      </c>
      <c r="G9" s="708" t="n">
        <v>100</v>
      </c>
      <c r="I9" s="707" t="s">
        <v>683</v>
      </c>
      <c r="J9" s="707" t="s">
        <v>684</v>
      </c>
      <c r="K9" s="707" t="s">
        <v>685</v>
      </c>
      <c r="L9" s="707"/>
      <c r="M9" s="707" t="s">
        <v>686</v>
      </c>
      <c r="N9" s="708" t="n">
        <v>100</v>
      </c>
      <c r="P9" s="707" t="s">
        <v>683</v>
      </c>
      <c r="Q9" s="707" t="s">
        <v>684</v>
      </c>
      <c r="R9" s="707" t="s">
        <v>685</v>
      </c>
      <c r="S9" s="707"/>
      <c r="T9" s="707" t="s">
        <v>686</v>
      </c>
      <c r="U9" s="708" t="n">
        <v>100</v>
      </c>
      <c r="W9" s="707" t="s">
        <v>683</v>
      </c>
      <c r="X9" s="707" t="s">
        <v>684</v>
      </c>
      <c r="Y9" s="707" t="s">
        <v>685</v>
      </c>
      <c r="Z9" s="707"/>
      <c r="AA9" s="707" t="s">
        <v>686</v>
      </c>
      <c r="AB9" s="708" t="n">
        <v>100</v>
      </c>
      <c r="AD9" s="707" t="s">
        <v>683</v>
      </c>
      <c r="AE9" s="707" t="s">
        <v>684</v>
      </c>
      <c r="AF9" s="707" t="s">
        <v>685</v>
      </c>
      <c r="AG9" s="707"/>
      <c r="AH9" s="707" t="s">
        <v>686</v>
      </c>
      <c r="AI9" s="708" t="n">
        <v>100</v>
      </c>
    </row>
    <row r="10" customFormat="false" ht="14.25" hidden="false" customHeight="false" outlineLevel="0" collapsed="false">
      <c r="B10" s="707" t="n">
        <v>2023</v>
      </c>
      <c r="C10" s="709" t="s">
        <v>687</v>
      </c>
      <c r="D10" s="710"/>
      <c r="E10" s="711" t="n">
        <v>25</v>
      </c>
      <c r="F10" s="710" t="n">
        <f aca="false">D10/30*E10</f>
        <v>0</v>
      </c>
      <c r="G10" s="712" t="n">
        <f aca="false">(G9*F10)+G9</f>
        <v>100</v>
      </c>
      <c r="I10" s="707" t="n">
        <f aca="false">B10+1</f>
        <v>2024</v>
      </c>
      <c r="J10" s="709" t="str">
        <f aca="false">$C$10</f>
        <v>AGO</v>
      </c>
      <c r="K10" s="710"/>
      <c r="L10" s="711" t="n">
        <f aca="false">$E$10</f>
        <v>25</v>
      </c>
      <c r="M10" s="710" t="n">
        <f aca="false">K10/30*L10</f>
        <v>0</v>
      </c>
      <c r="N10" s="712" t="n">
        <f aca="false">(N9*M10)+N9</f>
        <v>100</v>
      </c>
      <c r="P10" s="707" t="n">
        <f aca="false">I10+1</f>
        <v>2025</v>
      </c>
      <c r="Q10" s="709" t="str">
        <f aca="false">$C$10</f>
        <v>AGO</v>
      </c>
      <c r="R10" s="710"/>
      <c r="S10" s="711" t="n">
        <f aca="false">$E$10</f>
        <v>25</v>
      </c>
      <c r="T10" s="710" t="n">
        <f aca="false">R10/30*S10</f>
        <v>0</v>
      </c>
      <c r="U10" s="712" t="n">
        <f aca="false">(U9*T10)+U9</f>
        <v>100</v>
      </c>
      <c r="W10" s="707" t="n">
        <f aca="false">P10+1</f>
        <v>2026</v>
      </c>
      <c r="X10" s="709" t="str">
        <f aca="false">$C$10</f>
        <v>AGO</v>
      </c>
      <c r="Y10" s="710"/>
      <c r="Z10" s="711" t="n">
        <f aca="false">$E$10</f>
        <v>25</v>
      </c>
      <c r="AA10" s="710" t="n">
        <f aca="false">Y10/30*Z10</f>
        <v>0</v>
      </c>
      <c r="AB10" s="712" t="n">
        <f aca="false">(AB9*AA10)+AB9</f>
        <v>100</v>
      </c>
      <c r="AD10" s="707" t="n">
        <f aca="false">W10+1</f>
        <v>2027</v>
      </c>
      <c r="AE10" s="709" t="str">
        <f aca="false">$C$10</f>
        <v>AGO</v>
      </c>
      <c r="AF10" s="710"/>
      <c r="AG10" s="711" t="n">
        <f aca="false">$E$10</f>
        <v>25</v>
      </c>
      <c r="AH10" s="710" t="n">
        <f aca="false">AF10/30*AG10</f>
        <v>0</v>
      </c>
      <c r="AI10" s="712" t="n">
        <f aca="false">(AI9*AH10)+AI9</f>
        <v>100</v>
      </c>
    </row>
    <row r="11" customFormat="false" ht="14.25" hidden="false" customHeight="false" outlineLevel="0" collapsed="false">
      <c r="B11" s="707" t="n">
        <v>2023</v>
      </c>
      <c r="C11" s="709" t="s">
        <v>688</v>
      </c>
      <c r="D11" s="710"/>
      <c r="E11" s="711"/>
      <c r="F11" s="710" t="n">
        <f aca="false">D11/30*E11</f>
        <v>0</v>
      </c>
      <c r="G11" s="712" t="n">
        <f aca="false">(G10*F11)+G10</f>
        <v>100</v>
      </c>
      <c r="I11" s="707" t="n">
        <f aca="false">B11+1</f>
        <v>2024</v>
      </c>
      <c r="J11" s="709" t="str">
        <f aca="false">$C$11</f>
        <v>SET</v>
      </c>
      <c r="K11" s="710"/>
      <c r="L11" s="711"/>
      <c r="M11" s="710" t="n">
        <f aca="false">K11/30*L11</f>
        <v>0</v>
      </c>
      <c r="N11" s="712" t="n">
        <f aca="false">(N10*M11)+N10</f>
        <v>100</v>
      </c>
      <c r="P11" s="707" t="n">
        <f aca="false">I11+1</f>
        <v>2025</v>
      </c>
      <c r="Q11" s="709" t="str">
        <f aca="false">$C$11</f>
        <v>SET</v>
      </c>
      <c r="R11" s="710"/>
      <c r="S11" s="711"/>
      <c r="T11" s="710" t="n">
        <f aca="false">R11/30*S11</f>
        <v>0</v>
      </c>
      <c r="U11" s="712" t="n">
        <f aca="false">(U10*T11)+U10</f>
        <v>100</v>
      </c>
      <c r="W11" s="707" t="n">
        <f aca="false">P11+1</f>
        <v>2026</v>
      </c>
      <c r="X11" s="709" t="str">
        <f aca="false">$C$11</f>
        <v>SET</v>
      </c>
      <c r="Y11" s="710"/>
      <c r="Z11" s="711"/>
      <c r="AA11" s="710" t="n">
        <f aca="false">Y11/30*Z11</f>
        <v>0</v>
      </c>
      <c r="AB11" s="712" t="n">
        <f aca="false">(AB10*AA11)+AB10</f>
        <v>100</v>
      </c>
      <c r="AD11" s="707" t="n">
        <f aca="false">W11+1</f>
        <v>2027</v>
      </c>
      <c r="AE11" s="709" t="str">
        <f aca="false">$C$11</f>
        <v>SET</v>
      </c>
      <c r="AF11" s="710"/>
      <c r="AG11" s="711"/>
      <c r="AH11" s="710" t="n">
        <f aca="false">AF11/30*AG11</f>
        <v>0</v>
      </c>
      <c r="AI11" s="712" t="n">
        <f aca="false">(AI10*AH11)+AI10</f>
        <v>100</v>
      </c>
    </row>
    <row r="12" customFormat="false" ht="14.25" hidden="false" customHeight="false" outlineLevel="0" collapsed="false">
      <c r="B12" s="707" t="n">
        <v>2023</v>
      </c>
      <c r="C12" s="709" t="s">
        <v>689</v>
      </c>
      <c r="D12" s="710"/>
      <c r="E12" s="711"/>
      <c r="F12" s="710" t="n">
        <f aca="false">D12/30*E12</f>
        <v>0</v>
      </c>
      <c r="G12" s="712" t="n">
        <f aca="false">(G11*F12)+G11</f>
        <v>100</v>
      </c>
      <c r="I12" s="707" t="n">
        <f aca="false">B12+1</f>
        <v>2024</v>
      </c>
      <c r="J12" s="709" t="str">
        <f aca="false">$C$12</f>
        <v>OUT</v>
      </c>
      <c r="K12" s="710"/>
      <c r="L12" s="711"/>
      <c r="M12" s="710" t="n">
        <f aca="false">K12/30*L12</f>
        <v>0</v>
      </c>
      <c r="N12" s="712" t="n">
        <f aca="false">(N11*M12)+N11</f>
        <v>100</v>
      </c>
      <c r="P12" s="707" t="n">
        <f aca="false">I12+1</f>
        <v>2025</v>
      </c>
      <c r="Q12" s="709" t="str">
        <f aca="false">$C$12</f>
        <v>OUT</v>
      </c>
      <c r="R12" s="710"/>
      <c r="S12" s="711"/>
      <c r="T12" s="710" t="n">
        <f aca="false">R12/30*S12</f>
        <v>0</v>
      </c>
      <c r="U12" s="712" t="n">
        <f aca="false">(U11*T12)+U11</f>
        <v>100</v>
      </c>
      <c r="W12" s="707" t="n">
        <f aca="false">P12+1</f>
        <v>2026</v>
      </c>
      <c r="X12" s="709" t="str">
        <f aca="false">$C$12</f>
        <v>OUT</v>
      </c>
      <c r="Y12" s="710"/>
      <c r="Z12" s="711"/>
      <c r="AA12" s="710" t="n">
        <f aca="false">Y12/30*Z12</f>
        <v>0</v>
      </c>
      <c r="AB12" s="712" t="n">
        <f aca="false">(AB11*AA12)+AB11</f>
        <v>100</v>
      </c>
      <c r="AD12" s="707" t="n">
        <f aca="false">W12+1</f>
        <v>2027</v>
      </c>
      <c r="AE12" s="709" t="str">
        <f aca="false">$C$12</f>
        <v>OUT</v>
      </c>
      <c r="AF12" s="710"/>
      <c r="AG12" s="711"/>
      <c r="AH12" s="710" t="n">
        <f aca="false">AF12/30*AG12</f>
        <v>0</v>
      </c>
      <c r="AI12" s="712" t="n">
        <f aca="false">(AI11*AH12)+AI11</f>
        <v>100</v>
      </c>
    </row>
    <row r="13" customFormat="false" ht="14.25" hidden="false" customHeight="false" outlineLevel="0" collapsed="false">
      <c r="B13" s="707" t="n">
        <v>2023</v>
      </c>
      <c r="C13" s="709" t="s">
        <v>690</v>
      </c>
      <c r="D13" s="710"/>
      <c r="E13" s="711"/>
      <c r="F13" s="710" t="n">
        <f aca="false">D13/30*E13</f>
        <v>0</v>
      </c>
      <c r="G13" s="712" t="n">
        <f aca="false">(G12*F13)+G12</f>
        <v>100</v>
      </c>
      <c r="I13" s="707" t="n">
        <f aca="false">B13+1</f>
        <v>2024</v>
      </c>
      <c r="J13" s="709" t="str">
        <f aca="false">$C$13</f>
        <v>NOV</v>
      </c>
      <c r="K13" s="710"/>
      <c r="L13" s="711"/>
      <c r="M13" s="710" t="n">
        <f aca="false">K13/30*L13</f>
        <v>0</v>
      </c>
      <c r="N13" s="712" t="n">
        <f aca="false">(N12*M13)+N12</f>
        <v>100</v>
      </c>
      <c r="P13" s="707" t="n">
        <f aca="false">I13+1</f>
        <v>2025</v>
      </c>
      <c r="Q13" s="709" t="str">
        <f aca="false">$C$13</f>
        <v>NOV</v>
      </c>
      <c r="R13" s="710"/>
      <c r="S13" s="711"/>
      <c r="T13" s="710" t="n">
        <f aca="false">R13/30*S13</f>
        <v>0</v>
      </c>
      <c r="U13" s="712" t="n">
        <f aca="false">(U12*T13)+U12</f>
        <v>100</v>
      </c>
      <c r="W13" s="707" t="n">
        <f aca="false">P13+1</f>
        <v>2026</v>
      </c>
      <c r="X13" s="709" t="str">
        <f aca="false">$C$13</f>
        <v>NOV</v>
      </c>
      <c r="Y13" s="710"/>
      <c r="Z13" s="711"/>
      <c r="AA13" s="710" t="n">
        <f aca="false">Y13/30*Z13</f>
        <v>0</v>
      </c>
      <c r="AB13" s="712" t="n">
        <f aca="false">(AB12*AA13)+AB12</f>
        <v>100</v>
      </c>
      <c r="AD13" s="707" t="n">
        <f aca="false">W13+1</f>
        <v>2027</v>
      </c>
      <c r="AE13" s="709" t="str">
        <f aca="false">$C$13</f>
        <v>NOV</v>
      </c>
      <c r="AF13" s="710"/>
      <c r="AG13" s="711"/>
      <c r="AH13" s="710" t="n">
        <f aca="false">AF13/30*AG13</f>
        <v>0</v>
      </c>
      <c r="AI13" s="712" t="n">
        <f aca="false">(AI12*AH13)+AI12</f>
        <v>100</v>
      </c>
    </row>
    <row r="14" customFormat="false" ht="14.25" hidden="false" customHeight="false" outlineLevel="0" collapsed="false">
      <c r="B14" s="707" t="n">
        <v>2023</v>
      </c>
      <c r="C14" s="709" t="s">
        <v>691</v>
      </c>
      <c r="D14" s="710"/>
      <c r="E14" s="711"/>
      <c r="F14" s="710" t="n">
        <f aca="false">D14/30*E14</f>
        <v>0</v>
      </c>
      <c r="G14" s="712" t="n">
        <f aca="false">(G13*F14)+G13</f>
        <v>100</v>
      </c>
      <c r="I14" s="707" t="n">
        <f aca="false">B14+1</f>
        <v>2024</v>
      </c>
      <c r="J14" s="709" t="str">
        <f aca="false">$C$14</f>
        <v>DEZ</v>
      </c>
      <c r="K14" s="710"/>
      <c r="L14" s="711"/>
      <c r="M14" s="710" t="n">
        <f aca="false">K14/30*L14</f>
        <v>0</v>
      </c>
      <c r="N14" s="712" t="n">
        <f aca="false">(N13*M14)+N13</f>
        <v>100</v>
      </c>
      <c r="P14" s="707" t="n">
        <f aca="false">I14+1</f>
        <v>2025</v>
      </c>
      <c r="Q14" s="709" t="str">
        <f aca="false">$C$14</f>
        <v>DEZ</v>
      </c>
      <c r="R14" s="710"/>
      <c r="S14" s="711"/>
      <c r="T14" s="710" t="n">
        <f aca="false">R14/30*S14</f>
        <v>0</v>
      </c>
      <c r="U14" s="712" t="n">
        <f aca="false">(U13*T14)+U13</f>
        <v>100</v>
      </c>
      <c r="W14" s="707" t="n">
        <f aca="false">P14+1</f>
        <v>2026</v>
      </c>
      <c r="X14" s="709" t="str">
        <f aca="false">$C$14</f>
        <v>DEZ</v>
      </c>
      <c r="Y14" s="710"/>
      <c r="Z14" s="711"/>
      <c r="AA14" s="710" t="n">
        <f aca="false">Y14/30*Z14</f>
        <v>0</v>
      </c>
      <c r="AB14" s="712" t="n">
        <f aca="false">(AB13*AA14)+AB13</f>
        <v>100</v>
      </c>
      <c r="AD14" s="707" t="n">
        <f aca="false">W14+1</f>
        <v>2027</v>
      </c>
      <c r="AE14" s="709" t="str">
        <f aca="false">$C$14</f>
        <v>DEZ</v>
      </c>
      <c r="AF14" s="710"/>
      <c r="AG14" s="711"/>
      <c r="AH14" s="710" t="n">
        <f aca="false">AF14/30*AG14</f>
        <v>0</v>
      </c>
      <c r="AI14" s="712" t="n">
        <f aca="false">(AI13*AH14)+AI13</f>
        <v>100</v>
      </c>
    </row>
    <row r="15" customFormat="false" ht="14.25" hidden="false" customHeight="false" outlineLevel="0" collapsed="false">
      <c r="B15" s="707" t="n">
        <v>2023</v>
      </c>
      <c r="C15" s="709" t="s">
        <v>691</v>
      </c>
      <c r="D15" s="710"/>
      <c r="E15" s="711"/>
      <c r="F15" s="710" t="n">
        <f aca="false">D15/30*E15</f>
        <v>0</v>
      </c>
      <c r="G15" s="712" t="n">
        <f aca="false">(G14*F15)+G14</f>
        <v>100</v>
      </c>
      <c r="I15" s="707" t="n">
        <f aca="false">B15+1</f>
        <v>2024</v>
      </c>
      <c r="J15" s="709" t="str">
        <f aca="false">$C$15</f>
        <v>DEZ</v>
      </c>
      <c r="K15" s="710"/>
      <c r="L15" s="711"/>
      <c r="M15" s="710" t="n">
        <f aca="false">K15/30*L15</f>
        <v>0</v>
      </c>
      <c r="N15" s="712" t="n">
        <f aca="false">(N14*M15)+N14</f>
        <v>100</v>
      </c>
      <c r="P15" s="707" t="n">
        <f aca="false">I15+1</f>
        <v>2025</v>
      </c>
      <c r="Q15" s="709" t="str">
        <f aca="false">$C$15</f>
        <v>DEZ</v>
      </c>
      <c r="R15" s="710"/>
      <c r="S15" s="711"/>
      <c r="T15" s="710" t="n">
        <f aca="false">R15/30*S15</f>
        <v>0</v>
      </c>
      <c r="U15" s="712" t="n">
        <f aca="false">(U14*T15)+U14</f>
        <v>100</v>
      </c>
      <c r="W15" s="707" t="n">
        <f aca="false">P15+1</f>
        <v>2026</v>
      </c>
      <c r="X15" s="709" t="str">
        <f aca="false">$C$15</f>
        <v>DEZ</v>
      </c>
      <c r="Y15" s="710"/>
      <c r="Z15" s="711"/>
      <c r="AA15" s="710" t="n">
        <f aca="false">Y15/30*Z15</f>
        <v>0</v>
      </c>
      <c r="AB15" s="712" t="n">
        <f aca="false">(AB14*AA15)+AB14</f>
        <v>100</v>
      </c>
      <c r="AD15" s="707" t="n">
        <f aca="false">W15+1</f>
        <v>2027</v>
      </c>
      <c r="AE15" s="709" t="str">
        <f aca="false">$C$15</f>
        <v>DEZ</v>
      </c>
      <c r="AF15" s="710"/>
      <c r="AG15" s="711"/>
      <c r="AH15" s="710" t="n">
        <f aca="false">AF15/30*AG15</f>
        <v>0</v>
      </c>
      <c r="AI15" s="712" t="n">
        <f aca="false">(AI14*AH15)+AI14</f>
        <v>100</v>
      </c>
    </row>
    <row r="16" customFormat="false" ht="14.25" hidden="false" customHeight="false" outlineLevel="0" collapsed="false">
      <c r="B16" s="707" t="n">
        <v>2024</v>
      </c>
      <c r="C16" s="713" t="s">
        <v>692</v>
      </c>
      <c r="D16" s="714"/>
      <c r="E16" s="715"/>
      <c r="F16" s="710" t="n">
        <f aca="false">D16/30*E16</f>
        <v>0</v>
      </c>
      <c r="G16" s="712" t="n">
        <f aca="false">(G15*F16)+G15</f>
        <v>100</v>
      </c>
      <c r="I16" s="707" t="n">
        <f aca="false">B16+1</f>
        <v>2025</v>
      </c>
      <c r="J16" s="709" t="str">
        <f aca="false">$C$16</f>
        <v>JAN</v>
      </c>
      <c r="K16" s="714"/>
      <c r="L16" s="711"/>
      <c r="M16" s="710" t="n">
        <f aca="false">K16/30*L16</f>
        <v>0</v>
      </c>
      <c r="N16" s="712" t="n">
        <f aca="false">(N15*M16)+N15</f>
        <v>100</v>
      </c>
      <c r="P16" s="707" t="n">
        <f aca="false">I16+1</f>
        <v>2026</v>
      </c>
      <c r="Q16" s="709" t="str">
        <f aca="false">$C$16</f>
        <v>JAN</v>
      </c>
      <c r="R16" s="714"/>
      <c r="S16" s="711"/>
      <c r="T16" s="710" t="n">
        <f aca="false">R16/30*S16</f>
        <v>0</v>
      </c>
      <c r="U16" s="712" t="n">
        <f aca="false">(U15*T16)+U15</f>
        <v>100</v>
      </c>
      <c r="W16" s="707" t="n">
        <f aca="false">P16+1</f>
        <v>2027</v>
      </c>
      <c r="X16" s="709" t="str">
        <f aca="false">$C$16</f>
        <v>JAN</v>
      </c>
      <c r="Y16" s="714"/>
      <c r="Z16" s="711"/>
      <c r="AA16" s="710" t="n">
        <f aca="false">Y16/30*Z16</f>
        <v>0</v>
      </c>
      <c r="AB16" s="712" t="n">
        <f aca="false">(AB15*AA16)+AB15</f>
        <v>100</v>
      </c>
      <c r="AD16" s="707" t="n">
        <f aca="false">W16+1</f>
        <v>2028</v>
      </c>
      <c r="AE16" s="709" t="str">
        <f aca="false">$C$16</f>
        <v>JAN</v>
      </c>
      <c r="AF16" s="714"/>
      <c r="AG16" s="711"/>
      <c r="AH16" s="710" t="n">
        <f aca="false">AF16/30*AG16</f>
        <v>0</v>
      </c>
      <c r="AI16" s="712" t="n">
        <f aca="false">(AI15*AH16)+AI15</f>
        <v>100</v>
      </c>
    </row>
    <row r="17" customFormat="false" ht="14.25" hidden="false" customHeight="false" outlineLevel="0" collapsed="false">
      <c r="B17" s="707" t="n">
        <v>2024</v>
      </c>
      <c r="C17" s="709" t="s">
        <v>693</v>
      </c>
      <c r="D17" s="710"/>
      <c r="E17" s="711"/>
      <c r="F17" s="710" t="n">
        <f aca="false">D17/30*E17</f>
        <v>0</v>
      </c>
      <c r="G17" s="712" t="n">
        <f aca="false">(G16*F17)+G16</f>
        <v>100</v>
      </c>
      <c r="I17" s="707" t="n">
        <f aca="false">B17+1</f>
        <v>2025</v>
      </c>
      <c r="J17" s="709" t="str">
        <f aca="false">$C$17</f>
        <v>FEV</v>
      </c>
      <c r="K17" s="710"/>
      <c r="L17" s="711"/>
      <c r="M17" s="710" t="n">
        <f aca="false">K17/30*L17</f>
        <v>0</v>
      </c>
      <c r="N17" s="712" t="n">
        <f aca="false">(N16*M17)+N16</f>
        <v>100</v>
      </c>
      <c r="P17" s="707" t="n">
        <f aca="false">I17+1</f>
        <v>2026</v>
      </c>
      <c r="Q17" s="709" t="str">
        <f aca="false">$C$17</f>
        <v>FEV</v>
      </c>
      <c r="R17" s="710"/>
      <c r="S17" s="711"/>
      <c r="T17" s="710" t="n">
        <f aca="false">R17/30*S17</f>
        <v>0</v>
      </c>
      <c r="U17" s="712" t="n">
        <f aca="false">(U16*T17)+U16</f>
        <v>100</v>
      </c>
      <c r="W17" s="707" t="n">
        <f aca="false">P17+1</f>
        <v>2027</v>
      </c>
      <c r="X17" s="709" t="str">
        <f aca="false">$C$17</f>
        <v>FEV</v>
      </c>
      <c r="Y17" s="710"/>
      <c r="Z17" s="711"/>
      <c r="AA17" s="710" t="n">
        <f aca="false">Y17/30*Z17</f>
        <v>0</v>
      </c>
      <c r="AB17" s="712" t="n">
        <f aca="false">(AB16*AA17)+AB16</f>
        <v>100</v>
      </c>
      <c r="AD17" s="707" t="n">
        <f aca="false">W17+1</f>
        <v>2028</v>
      </c>
      <c r="AE17" s="709" t="str">
        <f aca="false">$C$17</f>
        <v>FEV</v>
      </c>
      <c r="AF17" s="710"/>
      <c r="AG17" s="711"/>
      <c r="AH17" s="710" t="n">
        <f aca="false">AF17/30*AG17</f>
        <v>0</v>
      </c>
      <c r="AI17" s="712" t="n">
        <f aca="false">(AI16*AH17)+AI16</f>
        <v>100</v>
      </c>
    </row>
    <row r="18" customFormat="false" ht="14.25" hidden="false" customHeight="false" outlineLevel="0" collapsed="false">
      <c r="B18" s="707" t="n">
        <v>2024</v>
      </c>
      <c r="C18" s="713" t="s">
        <v>694</v>
      </c>
      <c r="D18" s="710"/>
      <c r="E18" s="711"/>
      <c r="F18" s="710" t="n">
        <f aca="false">D18/30*E18</f>
        <v>0</v>
      </c>
      <c r="G18" s="712" t="n">
        <f aca="false">(G17*F18)+G17</f>
        <v>100</v>
      </c>
      <c r="I18" s="707" t="n">
        <f aca="false">B18+1</f>
        <v>2025</v>
      </c>
      <c r="J18" s="709" t="str">
        <f aca="false">$C$18</f>
        <v>MAR</v>
      </c>
      <c r="K18" s="710"/>
      <c r="L18" s="711"/>
      <c r="M18" s="710" t="n">
        <f aca="false">K18/30*L18</f>
        <v>0</v>
      </c>
      <c r="N18" s="712" t="n">
        <f aca="false">(N17*M18)+N17</f>
        <v>100</v>
      </c>
      <c r="P18" s="707" t="n">
        <f aca="false">I18+1</f>
        <v>2026</v>
      </c>
      <c r="Q18" s="709" t="str">
        <f aca="false">$C$18</f>
        <v>MAR</v>
      </c>
      <c r="R18" s="710"/>
      <c r="S18" s="711"/>
      <c r="T18" s="710" t="n">
        <f aca="false">R18/30*S18</f>
        <v>0</v>
      </c>
      <c r="U18" s="712" t="n">
        <f aca="false">(U17*T18)+U17</f>
        <v>100</v>
      </c>
      <c r="W18" s="707" t="n">
        <f aca="false">P18+1</f>
        <v>2027</v>
      </c>
      <c r="X18" s="709" t="str">
        <f aca="false">$C$18</f>
        <v>MAR</v>
      </c>
      <c r="Y18" s="710"/>
      <c r="Z18" s="711"/>
      <c r="AA18" s="710" t="n">
        <f aca="false">Y18/30*Z18</f>
        <v>0</v>
      </c>
      <c r="AB18" s="712" t="n">
        <f aca="false">(AB17*AA18)+AB17</f>
        <v>100</v>
      </c>
      <c r="AD18" s="707" t="n">
        <f aca="false">W18+1</f>
        <v>2028</v>
      </c>
      <c r="AE18" s="709" t="str">
        <f aca="false">$C$18</f>
        <v>MAR</v>
      </c>
      <c r="AF18" s="710"/>
      <c r="AG18" s="711"/>
      <c r="AH18" s="710" t="n">
        <f aca="false">AF18/30*AG18</f>
        <v>0</v>
      </c>
      <c r="AI18" s="712" t="n">
        <f aca="false">(AI17*AH18)+AI17</f>
        <v>100</v>
      </c>
    </row>
    <row r="19" customFormat="false" ht="14.25" hidden="false" customHeight="false" outlineLevel="0" collapsed="false">
      <c r="B19" s="707" t="n">
        <v>2024</v>
      </c>
      <c r="C19" s="709" t="s">
        <v>695</v>
      </c>
      <c r="D19" s="710"/>
      <c r="E19" s="711"/>
      <c r="F19" s="710" t="n">
        <f aca="false">D19/30*E19</f>
        <v>0</v>
      </c>
      <c r="G19" s="712" t="n">
        <f aca="false">(G18*F19)+G18</f>
        <v>100</v>
      </c>
      <c r="I19" s="707" t="n">
        <f aca="false">B19+1</f>
        <v>2025</v>
      </c>
      <c r="J19" s="709" t="str">
        <f aca="false">$C$19</f>
        <v>ABR</v>
      </c>
      <c r="K19" s="710"/>
      <c r="L19" s="711"/>
      <c r="M19" s="710" t="n">
        <f aca="false">K19/30*L19</f>
        <v>0</v>
      </c>
      <c r="N19" s="712" t="n">
        <f aca="false">(N18*M19)+N18</f>
        <v>100</v>
      </c>
      <c r="P19" s="707" t="n">
        <f aca="false">I19+1</f>
        <v>2026</v>
      </c>
      <c r="Q19" s="709" t="str">
        <f aca="false">$C$19</f>
        <v>ABR</v>
      </c>
      <c r="R19" s="710"/>
      <c r="S19" s="711"/>
      <c r="T19" s="710" t="n">
        <f aca="false">R19/30*S19</f>
        <v>0</v>
      </c>
      <c r="U19" s="712" t="n">
        <f aca="false">(U18*T19)+U18</f>
        <v>100</v>
      </c>
      <c r="W19" s="707" t="n">
        <f aca="false">P19+1</f>
        <v>2027</v>
      </c>
      <c r="X19" s="709" t="str">
        <f aca="false">$C$19</f>
        <v>ABR</v>
      </c>
      <c r="Y19" s="710"/>
      <c r="Z19" s="711"/>
      <c r="AA19" s="710" t="n">
        <f aca="false">Y19/30*Z19</f>
        <v>0</v>
      </c>
      <c r="AB19" s="712" t="n">
        <f aca="false">(AB18*AA19)+AB18</f>
        <v>100</v>
      </c>
      <c r="AD19" s="707" t="n">
        <f aca="false">W19+1</f>
        <v>2028</v>
      </c>
      <c r="AE19" s="709" t="str">
        <f aca="false">$C$19</f>
        <v>ABR</v>
      </c>
      <c r="AF19" s="710"/>
      <c r="AG19" s="711"/>
      <c r="AH19" s="710" t="n">
        <f aca="false">AF19/30*AG19</f>
        <v>0</v>
      </c>
      <c r="AI19" s="712" t="n">
        <f aca="false">(AI18*AH19)+AI18</f>
        <v>100</v>
      </c>
    </row>
    <row r="20" customFormat="false" ht="14.25" hidden="false" customHeight="false" outlineLevel="0" collapsed="false">
      <c r="B20" s="707" t="n">
        <v>2024</v>
      </c>
      <c r="C20" s="713" t="s">
        <v>696</v>
      </c>
      <c r="D20" s="710"/>
      <c r="E20" s="711"/>
      <c r="F20" s="710" t="n">
        <f aca="false">D20/30*E20</f>
        <v>0</v>
      </c>
      <c r="G20" s="712" t="n">
        <f aca="false">(G19*F20)+G19</f>
        <v>100</v>
      </c>
      <c r="I20" s="707" t="n">
        <f aca="false">B20+1</f>
        <v>2025</v>
      </c>
      <c r="J20" s="709" t="str">
        <f aca="false">$C$20</f>
        <v>MAI</v>
      </c>
      <c r="K20" s="710"/>
      <c r="L20" s="711"/>
      <c r="M20" s="710" t="n">
        <f aca="false">K20/30*L20</f>
        <v>0</v>
      </c>
      <c r="N20" s="712" t="n">
        <f aca="false">(N19*M20)+N19</f>
        <v>100</v>
      </c>
      <c r="P20" s="707" t="n">
        <f aca="false">I20+1</f>
        <v>2026</v>
      </c>
      <c r="Q20" s="709" t="str">
        <f aca="false">$C$20</f>
        <v>MAI</v>
      </c>
      <c r="R20" s="710"/>
      <c r="S20" s="711"/>
      <c r="T20" s="710" t="n">
        <f aca="false">R20/30*S20</f>
        <v>0</v>
      </c>
      <c r="U20" s="712" t="n">
        <f aca="false">(U19*T20)+U19</f>
        <v>100</v>
      </c>
      <c r="W20" s="707" t="n">
        <f aca="false">P20+1</f>
        <v>2027</v>
      </c>
      <c r="X20" s="709" t="str">
        <f aca="false">$C$20</f>
        <v>MAI</v>
      </c>
      <c r="Y20" s="710"/>
      <c r="Z20" s="711"/>
      <c r="AA20" s="710" t="n">
        <f aca="false">Y20/30*Z20</f>
        <v>0</v>
      </c>
      <c r="AB20" s="712" t="n">
        <f aca="false">(AB19*AA20)+AB19</f>
        <v>100</v>
      </c>
      <c r="AD20" s="707" t="n">
        <f aca="false">W20+1</f>
        <v>2028</v>
      </c>
      <c r="AE20" s="709" t="str">
        <f aca="false">$C$20</f>
        <v>MAI</v>
      </c>
      <c r="AF20" s="710"/>
      <c r="AG20" s="711"/>
      <c r="AH20" s="710" t="n">
        <f aca="false">AF20/30*AG20</f>
        <v>0</v>
      </c>
      <c r="AI20" s="712" t="n">
        <f aca="false">(AI19*AH20)+AI19</f>
        <v>100</v>
      </c>
    </row>
    <row r="21" customFormat="false" ht="14.25" hidden="false" customHeight="false" outlineLevel="0" collapsed="false">
      <c r="B21" s="707" t="n">
        <v>2024</v>
      </c>
      <c r="C21" s="709" t="s">
        <v>697</v>
      </c>
      <c r="D21" s="710"/>
      <c r="E21" s="711"/>
      <c r="F21" s="710" t="n">
        <f aca="false">D21/30*E21</f>
        <v>0</v>
      </c>
      <c r="G21" s="712" t="n">
        <f aca="false">(G20*F21)+G20</f>
        <v>100</v>
      </c>
      <c r="I21" s="707" t="n">
        <f aca="false">B21+1</f>
        <v>2025</v>
      </c>
      <c r="J21" s="709" t="str">
        <f aca="false">$C$21</f>
        <v>JUN</v>
      </c>
      <c r="K21" s="710"/>
      <c r="L21" s="711"/>
      <c r="M21" s="710" t="n">
        <f aca="false">K21/30*L21</f>
        <v>0</v>
      </c>
      <c r="N21" s="712" t="n">
        <f aca="false">(N20*M21)+N20</f>
        <v>100</v>
      </c>
      <c r="P21" s="707" t="n">
        <f aca="false">I21+1</f>
        <v>2026</v>
      </c>
      <c r="Q21" s="709" t="str">
        <f aca="false">$C$21</f>
        <v>JUN</v>
      </c>
      <c r="R21" s="710"/>
      <c r="S21" s="711"/>
      <c r="T21" s="710" t="n">
        <f aca="false">R21/30*S21</f>
        <v>0</v>
      </c>
      <c r="U21" s="712" t="n">
        <f aca="false">(U20*T21)+U20</f>
        <v>100</v>
      </c>
      <c r="W21" s="707" t="n">
        <f aca="false">P21+1</f>
        <v>2027</v>
      </c>
      <c r="X21" s="709" t="str">
        <f aca="false">$C$21</f>
        <v>JUN</v>
      </c>
      <c r="Y21" s="710"/>
      <c r="Z21" s="711"/>
      <c r="AA21" s="710" t="n">
        <f aca="false">Y21/30*Z21</f>
        <v>0</v>
      </c>
      <c r="AB21" s="712" t="n">
        <f aca="false">(AB20*AA21)+AB20</f>
        <v>100</v>
      </c>
      <c r="AD21" s="707" t="n">
        <f aca="false">W21+1</f>
        <v>2028</v>
      </c>
      <c r="AE21" s="709" t="str">
        <f aca="false">$C$21</f>
        <v>JUN</v>
      </c>
      <c r="AF21" s="710"/>
      <c r="AG21" s="711"/>
      <c r="AH21" s="710" t="n">
        <f aca="false">AF21/30*AG21</f>
        <v>0</v>
      </c>
      <c r="AI21" s="712" t="n">
        <f aca="false">(AI20*AH21)+AI20</f>
        <v>100</v>
      </c>
    </row>
    <row r="22" customFormat="false" ht="14.25" hidden="false" customHeight="false" outlineLevel="0" collapsed="false">
      <c r="B22" s="707" t="n">
        <v>2024</v>
      </c>
      <c r="C22" s="713" t="s">
        <v>698</v>
      </c>
      <c r="D22" s="710"/>
      <c r="E22" s="711" t="n">
        <v>5</v>
      </c>
      <c r="F22" s="710" t="n">
        <f aca="false">D22/30*E22</f>
        <v>0</v>
      </c>
      <c r="G22" s="712" t="n">
        <f aca="false">(G21*F22)+G21</f>
        <v>100</v>
      </c>
      <c r="I22" s="707" t="n">
        <f aca="false">B22+1</f>
        <v>2025</v>
      </c>
      <c r="J22" s="709" t="str">
        <f aca="false">$C$22</f>
        <v>JUL</v>
      </c>
      <c r="K22" s="710"/>
      <c r="L22" s="711" t="n">
        <f aca="false">$E$22</f>
        <v>5</v>
      </c>
      <c r="M22" s="710" t="n">
        <f aca="false">K22/30*L22</f>
        <v>0</v>
      </c>
      <c r="N22" s="712" t="n">
        <f aca="false">(N21*M22)+N21</f>
        <v>100</v>
      </c>
      <c r="P22" s="707" t="n">
        <f aca="false">I22+1</f>
        <v>2026</v>
      </c>
      <c r="Q22" s="709" t="str">
        <f aca="false">$C$22</f>
        <v>JUL</v>
      </c>
      <c r="R22" s="710"/>
      <c r="S22" s="711" t="n">
        <f aca="false">$E$22</f>
        <v>5</v>
      </c>
      <c r="T22" s="710" t="n">
        <f aca="false">R22/30*S22</f>
        <v>0</v>
      </c>
      <c r="U22" s="712" t="n">
        <f aca="false">(U21*T22)+U21</f>
        <v>100</v>
      </c>
      <c r="W22" s="707" t="n">
        <f aca="false">P22+1</f>
        <v>2027</v>
      </c>
      <c r="X22" s="709" t="str">
        <f aca="false">$C$22</f>
        <v>JUL</v>
      </c>
      <c r="Y22" s="710"/>
      <c r="Z22" s="711" t="n">
        <f aca="false">$E$22</f>
        <v>5</v>
      </c>
      <c r="AA22" s="710" t="n">
        <f aca="false">Y22/30*Z22</f>
        <v>0</v>
      </c>
      <c r="AB22" s="712" t="n">
        <f aca="false">(AB21*AA22)+AB21</f>
        <v>100</v>
      </c>
      <c r="AD22" s="707" t="n">
        <f aca="false">W22+1</f>
        <v>2028</v>
      </c>
      <c r="AE22" s="709" t="str">
        <f aca="false">$C$22</f>
        <v>JUL</v>
      </c>
      <c r="AF22" s="710"/>
      <c r="AG22" s="711" t="n">
        <f aca="false">$E$22</f>
        <v>5</v>
      </c>
      <c r="AH22" s="710" t="n">
        <f aca="false">AF22/30*AG22</f>
        <v>0</v>
      </c>
      <c r="AI22" s="712" t="n">
        <f aca="false">(AI21*AH22)+AI21</f>
        <v>100</v>
      </c>
    </row>
    <row r="23" customFormat="false" ht="14.25" hidden="false" customHeight="false" outlineLevel="0" collapsed="false">
      <c r="B23" s="707" t="s">
        <v>699</v>
      </c>
      <c r="C23" s="707"/>
      <c r="D23" s="707"/>
      <c r="E23" s="707"/>
      <c r="F23" s="707"/>
      <c r="G23" s="716" t="n">
        <f aca="false">ROUND(((G22-G9)/G9),4)</f>
        <v>0</v>
      </c>
      <c r="I23" s="707" t="s">
        <v>699</v>
      </c>
      <c r="J23" s="707"/>
      <c r="K23" s="707"/>
      <c r="L23" s="707"/>
      <c r="M23" s="707"/>
      <c r="N23" s="716" t="n">
        <f aca="false">ROUND(((N22-N9)/N9),4)</f>
        <v>0</v>
      </c>
      <c r="P23" s="707" t="s">
        <v>699</v>
      </c>
      <c r="Q23" s="707"/>
      <c r="R23" s="707"/>
      <c r="S23" s="707"/>
      <c r="T23" s="707"/>
      <c r="U23" s="716" t="n">
        <f aca="false">ROUND(((U22-U9)/U9),4)</f>
        <v>0</v>
      </c>
      <c r="W23" s="707" t="s">
        <v>699</v>
      </c>
      <c r="X23" s="707"/>
      <c r="Y23" s="707"/>
      <c r="Z23" s="707"/>
      <c r="AA23" s="707"/>
      <c r="AB23" s="716" t="n">
        <f aca="false">ROUND(((AB22-AB9)/AB9),4)</f>
        <v>0</v>
      </c>
      <c r="AD23" s="707" t="s">
        <v>699</v>
      </c>
      <c r="AE23" s="707"/>
      <c r="AF23" s="707"/>
      <c r="AG23" s="707"/>
      <c r="AH23" s="707"/>
      <c r="AI23" s="716" t="n">
        <f aca="false">ROUND(((AI22-AI9)/AI9),4)</f>
        <v>0</v>
      </c>
    </row>
  </sheetData>
  <sheetProtection sheet="true" objects="true" scenarios="true"/>
  <mergeCells count="20">
    <mergeCell ref="B6:G6"/>
    <mergeCell ref="I6:N6"/>
    <mergeCell ref="P6:U6"/>
    <mergeCell ref="W6:AB6"/>
    <mergeCell ref="AD6:AI6"/>
    <mergeCell ref="C7:G7"/>
    <mergeCell ref="J7:N7"/>
    <mergeCell ref="Q7:U7"/>
    <mergeCell ref="X7:AB7"/>
    <mergeCell ref="AE7:AI7"/>
    <mergeCell ref="B8:C8"/>
    <mergeCell ref="I8:J8"/>
    <mergeCell ref="P8:Q8"/>
    <mergeCell ref="W8:X8"/>
    <mergeCell ref="AD8:AE8"/>
    <mergeCell ref="B23:F23"/>
    <mergeCell ref="I23:M23"/>
    <mergeCell ref="P23:T23"/>
    <mergeCell ref="W23:AA23"/>
    <mergeCell ref="AD23:AH23"/>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83"/>
  <sheetViews>
    <sheetView showFormulas="false" showGridLines="false" showRowColHeaders="true" showZeros="true" rightToLeft="false" tabSelected="false" showOutlineSymbols="true" defaultGridColor="true" view="pageBreakPreview" topLeftCell="A1" colorId="64" zoomScale="100" zoomScaleNormal="130" zoomScalePageLayoutView="100" workbookViewId="0">
      <selection pane="topLeft" activeCell="A1" activeCellId="0" sqref="A1"/>
    </sheetView>
  </sheetViews>
  <sheetFormatPr defaultColWidth="8.66796875" defaultRowHeight="14.25" zeroHeight="false" outlineLevelRow="0" outlineLevelCol="0"/>
  <cols>
    <col collapsed="false" customWidth="true" hidden="false" outlineLevel="0" max="1" min="1" style="76" width="6.33"/>
    <col collapsed="false" customWidth="false" hidden="false" outlineLevel="0" max="2" min="2" style="121" width="8.67"/>
    <col collapsed="false" customWidth="true" hidden="false" outlineLevel="0" max="3" min="3" style="82" width="4"/>
    <col collapsed="false" customWidth="true" hidden="false" outlineLevel="0" max="23" min="4" style="82" width="9.11"/>
    <col collapsed="false" customWidth="true" hidden="false" outlineLevel="0" max="24" min="24" style="82" width="10.66"/>
    <col collapsed="false" customWidth="true" hidden="false" outlineLevel="0" max="256" min="25" style="82" width="9.11"/>
    <col collapsed="false" customWidth="true" hidden="false" outlineLevel="0" max="257" min="257" style="82" width="4.56"/>
    <col collapsed="false" customWidth="true" hidden="false" outlineLevel="0" max="258" min="258" style="82" width="11.11"/>
    <col collapsed="false" customWidth="true" hidden="false" outlineLevel="0" max="259" min="259" style="82" width="4"/>
    <col collapsed="false" customWidth="true" hidden="false" outlineLevel="0" max="512" min="260" style="82" width="9.11"/>
    <col collapsed="false" customWidth="true" hidden="false" outlineLevel="0" max="513" min="513" style="82" width="4.56"/>
    <col collapsed="false" customWidth="true" hidden="false" outlineLevel="0" max="514" min="514" style="82" width="11.11"/>
    <col collapsed="false" customWidth="true" hidden="false" outlineLevel="0" max="515" min="515" style="82" width="4"/>
    <col collapsed="false" customWidth="true" hidden="false" outlineLevel="0" max="768" min="516" style="82" width="9.11"/>
    <col collapsed="false" customWidth="true" hidden="false" outlineLevel="0" max="769" min="769" style="82" width="4.56"/>
    <col collapsed="false" customWidth="true" hidden="false" outlineLevel="0" max="770" min="770" style="82" width="11.11"/>
    <col collapsed="false" customWidth="true" hidden="false" outlineLevel="0" max="771" min="771" style="82" width="4"/>
    <col collapsed="false" customWidth="true" hidden="false" outlineLevel="0" max="1025" min="772" style="82" width="9.11"/>
  </cols>
  <sheetData>
    <row r="1" customFormat="false" ht="14.25" hidden="false" customHeight="false" outlineLevel="0" collapsed="false">
      <c r="A1" s="122"/>
      <c r="B1" s="123" t="s">
        <v>85</v>
      </c>
    </row>
    <row r="2" customFormat="false" ht="14.25" hidden="false" customHeight="false" outlineLevel="0" collapsed="false">
      <c r="A2" s="124"/>
      <c r="B2" s="125" t="s">
        <v>86</v>
      </c>
    </row>
    <row r="3" customFormat="false" ht="14.25" hidden="false" customHeight="false" outlineLevel="0" collapsed="false">
      <c r="A3" s="124"/>
      <c r="B3" s="82" t="s">
        <v>87</v>
      </c>
    </row>
    <row r="4" s="20" customFormat="true" ht="15" hidden="false" customHeight="false" outlineLevel="0" collapsed="false">
      <c r="A4" s="126" t="s">
        <v>88</v>
      </c>
      <c r="B4" s="126"/>
      <c r="C4" s="126"/>
      <c r="D4" s="126"/>
      <c r="E4" s="126"/>
      <c r="F4" s="126"/>
      <c r="G4" s="126"/>
      <c r="H4" s="126"/>
      <c r="I4" s="126"/>
      <c r="J4" s="126"/>
      <c r="K4" s="126"/>
      <c r="L4" s="126"/>
      <c r="M4" s="126"/>
      <c r="N4" s="126"/>
      <c r="O4" s="126"/>
      <c r="P4" s="126"/>
      <c r="Q4" s="126"/>
      <c r="R4" s="126"/>
      <c r="S4" s="126"/>
      <c r="T4" s="126"/>
      <c r="U4" s="126"/>
      <c r="V4" s="126"/>
      <c r="W4" s="126"/>
      <c r="X4" s="126"/>
    </row>
    <row r="5" customFormat="false" ht="12" hidden="false" customHeight="true" outlineLevel="0" collapsed="false"/>
    <row r="6" customFormat="false" ht="14.25" hidden="false" customHeight="false" outlineLevel="0" collapsed="false">
      <c r="A6" s="127" t="s">
        <v>89</v>
      </c>
      <c r="B6" s="128" t="s">
        <v>90</v>
      </c>
    </row>
    <row r="7" customFormat="false" ht="17.25" hidden="false" customHeight="true" outlineLevel="0" collapsed="false"/>
    <row r="8" customFormat="false" ht="14.25" hidden="false" customHeight="false" outlineLevel="0" collapsed="false">
      <c r="B8" s="129"/>
      <c r="C8" s="121" t="s">
        <v>91</v>
      </c>
    </row>
    <row r="10" customFormat="false" ht="14.25" hidden="false" customHeight="false" outlineLevel="0" collapsed="false">
      <c r="A10" s="127" t="s">
        <v>92</v>
      </c>
      <c r="B10" s="121" t="s">
        <v>93</v>
      </c>
    </row>
    <row r="12" customFormat="false" ht="14.25" hidden="false" customHeight="false" outlineLevel="0" collapsed="false">
      <c r="A12" s="127" t="s">
        <v>94</v>
      </c>
      <c r="B12" s="121" t="s">
        <v>95</v>
      </c>
    </row>
    <row r="13" customFormat="false" ht="14.25" hidden="false" customHeight="false" outlineLevel="0" collapsed="false">
      <c r="A13" s="127"/>
      <c r="B13" s="121" t="s">
        <v>96</v>
      </c>
    </row>
    <row r="14" s="131" customFormat="true" ht="17.25" hidden="false" customHeight="true" outlineLevel="0" collapsed="false">
      <c r="A14" s="127"/>
      <c r="B14" s="130" t="s">
        <v>97</v>
      </c>
    </row>
    <row r="15" customFormat="false" ht="7.5" hidden="false" customHeight="true" outlineLevel="0" collapsed="false"/>
    <row r="16" customFormat="false" ht="14.25" hidden="false" customHeight="false" outlineLevel="0" collapsed="false">
      <c r="B16" s="132" t="s">
        <v>98</v>
      </c>
      <c r="C16" s="133" t="s">
        <v>99</v>
      </c>
      <c r="D16" s="133"/>
      <c r="E16" s="133"/>
      <c r="F16" s="133"/>
      <c r="G16" s="133"/>
    </row>
    <row r="18" customFormat="false" ht="14.25" hidden="false" customHeight="false" outlineLevel="0" collapsed="false">
      <c r="C18" s="134" t="s">
        <v>100</v>
      </c>
      <c r="D18" s="134" t="s">
        <v>101</v>
      </c>
    </row>
    <row r="19" customFormat="false" ht="14.25" hidden="false" customHeight="false" outlineLevel="0" collapsed="false">
      <c r="D19" s="82" t="s">
        <v>102</v>
      </c>
    </row>
    <row r="20" customFormat="false" ht="14.25" hidden="false" customHeight="false" outlineLevel="0" collapsed="false">
      <c r="D20" s="82" t="s">
        <v>103</v>
      </c>
    </row>
    <row r="21" customFormat="false" ht="14.25" hidden="false" customHeight="false" outlineLevel="0" collapsed="false">
      <c r="C21" s="134"/>
      <c r="D21" s="82" t="s">
        <v>104</v>
      </c>
    </row>
    <row r="22" customFormat="false" ht="14.25" hidden="false" customHeight="false" outlineLevel="0" collapsed="false">
      <c r="D22" s="82" t="s">
        <v>105</v>
      </c>
    </row>
    <row r="23" customFormat="false" ht="14.25" hidden="false" customHeight="false" outlineLevel="0" collapsed="false">
      <c r="D23" s="82" t="s">
        <v>106</v>
      </c>
    </row>
    <row r="24" customFormat="false" ht="14.25" hidden="false" customHeight="false" outlineLevel="0" collapsed="false">
      <c r="D24" s="82" t="s">
        <v>107</v>
      </c>
    </row>
    <row r="25" customFormat="false" ht="14.25" hidden="false" customHeight="false" outlineLevel="0" collapsed="false">
      <c r="D25" s="82" t="s">
        <v>108</v>
      </c>
    </row>
    <row r="26" customFormat="false" ht="14.25" hidden="false" customHeight="false" outlineLevel="0" collapsed="false">
      <c r="D26" s="82" t="s">
        <v>109</v>
      </c>
    </row>
    <row r="27" customFormat="false" ht="14.25" hidden="false" customHeight="false" outlineLevel="0" collapsed="false">
      <c r="D27" s="82" t="s">
        <v>110</v>
      </c>
    </row>
    <row r="28" customFormat="false" ht="14.25" hidden="false" customHeight="false" outlineLevel="0" collapsed="false">
      <c r="D28" s="82" t="s">
        <v>111</v>
      </c>
    </row>
    <row r="29" customFormat="false" ht="14.25" hidden="false" customHeight="false" outlineLevel="0" collapsed="false">
      <c r="D29" s="82" t="s">
        <v>112</v>
      </c>
    </row>
    <row r="30" customFormat="false" ht="14.25" hidden="false" customHeight="false" outlineLevel="0" collapsed="false">
      <c r="D30" s="82" t="s">
        <v>113</v>
      </c>
    </row>
    <row r="31" customFormat="false" ht="14.25" hidden="false" customHeight="false" outlineLevel="0" collapsed="false">
      <c r="D31" s="82" t="s">
        <v>114</v>
      </c>
    </row>
    <row r="32" customFormat="false" ht="14.25" hidden="false" customHeight="false" outlineLevel="0" collapsed="false">
      <c r="D32" s="82" t="s">
        <v>115</v>
      </c>
    </row>
    <row r="33" customFormat="false" ht="14.25" hidden="false" customHeight="false" outlineLevel="0" collapsed="false">
      <c r="D33" s="82" t="s">
        <v>116</v>
      </c>
    </row>
    <row r="34" customFormat="false" ht="14.25" hidden="false" customHeight="false" outlineLevel="0" collapsed="false">
      <c r="D34" s="82" t="s">
        <v>116</v>
      </c>
    </row>
    <row r="35" customFormat="false" ht="14.25" hidden="false" customHeight="false" outlineLevel="0" collapsed="false">
      <c r="D35" s="82" t="s">
        <v>117</v>
      </c>
    </row>
    <row r="36" customFormat="false" ht="14.25" hidden="false" customHeight="false" outlineLevel="0" collapsed="false">
      <c r="D36" s="82" t="s">
        <v>118</v>
      </c>
    </row>
    <row r="37" customFormat="false" ht="14.25" hidden="false" customHeight="false" outlineLevel="0" collapsed="false">
      <c r="D37" s="82" t="s">
        <v>119</v>
      </c>
    </row>
    <row r="38" customFormat="false" ht="14.25" hidden="false" customHeight="false" outlineLevel="0" collapsed="false">
      <c r="D38" s="82" t="s">
        <v>120</v>
      </c>
    </row>
    <row r="39" customFormat="false" ht="14.25" hidden="false" customHeight="false" outlineLevel="0" collapsed="false">
      <c r="D39" s="82" t="s">
        <v>121</v>
      </c>
    </row>
    <row r="40" customFormat="false" ht="14.25" hidden="false" customHeight="false" outlineLevel="0" collapsed="false">
      <c r="D40" s="82" t="s">
        <v>122</v>
      </c>
    </row>
    <row r="41" customFormat="false" ht="14.25" hidden="false" customHeight="false" outlineLevel="0" collapsed="false">
      <c r="D41" s="82" t="s">
        <v>123</v>
      </c>
    </row>
    <row r="42" customFormat="false" ht="14.25" hidden="false" customHeight="false" outlineLevel="0" collapsed="false">
      <c r="D42" s="133" t="s">
        <v>124</v>
      </c>
      <c r="E42" s="133"/>
      <c r="F42" s="133"/>
      <c r="G42" s="133"/>
      <c r="H42" s="133"/>
    </row>
    <row r="44" customFormat="false" ht="14.25" hidden="false" customHeight="false" outlineLevel="0" collapsed="false">
      <c r="C44" s="134" t="s">
        <v>125</v>
      </c>
      <c r="D44" s="134" t="s">
        <v>126</v>
      </c>
    </row>
    <row r="45" customFormat="false" ht="14.25" hidden="false" customHeight="false" outlineLevel="0" collapsed="false">
      <c r="D45" s="82" t="s">
        <v>127</v>
      </c>
    </row>
    <row r="46" customFormat="false" ht="14.25" hidden="false" customHeight="false" outlineLevel="0" collapsed="false">
      <c r="D46" s="82" t="s">
        <v>128</v>
      </c>
    </row>
    <row r="47" customFormat="false" ht="14.25" hidden="false" customHeight="false" outlineLevel="0" collapsed="false">
      <c r="D47" s="133" t="s">
        <v>124</v>
      </c>
      <c r="E47" s="133"/>
      <c r="F47" s="133"/>
      <c r="G47" s="133"/>
      <c r="H47" s="133"/>
    </row>
    <row r="49" customFormat="false" ht="14.25" hidden="false" customHeight="false" outlineLevel="0" collapsed="false">
      <c r="C49" s="134" t="s">
        <v>129</v>
      </c>
      <c r="D49" s="134" t="s">
        <v>130</v>
      </c>
    </row>
    <row r="50" customFormat="false" ht="14.25" hidden="false" customHeight="false" outlineLevel="0" collapsed="false">
      <c r="D50" s="82" t="s">
        <v>131</v>
      </c>
    </row>
    <row r="51" customFormat="false" ht="14.25" hidden="false" customHeight="false" outlineLevel="0" collapsed="false">
      <c r="D51" s="82" t="s">
        <v>132</v>
      </c>
    </row>
    <row r="52" customFormat="false" ht="14.25" hidden="false" customHeight="false" outlineLevel="0" collapsed="false">
      <c r="E52" s="82" t="s">
        <v>133</v>
      </c>
    </row>
    <row r="53" customFormat="false" ht="14.25" hidden="false" customHeight="false" outlineLevel="0" collapsed="false">
      <c r="E53" s="82" t="s">
        <v>134</v>
      </c>
    </row>
    <row r="54" customFormat="false" ht="14.25" hidden="false" customHeight="false" outlineLevel="0" collapsed="false">
      <c r="D54" s="82" t="s">
        <v>135</v>
      </c>
    </row>
    <row r="55" customFormat="false" ht="14.25" hidden="false" customHeight="false" outlineLevel="0" collapsed="false">
      <c r="D55" s="133" t="s">
        <v>124</v>
      </c>
      <c r="E55" s="133"/>
      <c r="F55" s="133"/>
      <c r="G55" s="133"/>
      <c r="H55" s="133"/>
    </row>
    <row r="57" customFormat="false" ht="14.25" hidden="false" customHeight="false" outlineLevel="0" collapsed="false">
      <c r="C57" s="134" t="s">
        <v>136</v>
      </c>
      <c r="D57" s="134" t="s">
        <v>137</v>
      </c>
    </row>
    <row r="58" customFormat="false" ht="14.25" hidden="false" customHeight="false" outlineLevel="0" collapsed="false">
      <c r="D58" s="82" t="s">
        <v>138</v>
      </c>
    </row>
    <row r="59" customFormat="false" ht="14.25" hidden="false" customHeight="false" outlineLevel="0" collapsed="false">
      <c r="D59" s="133" t="s">
        <v>124</v>
      </c>
      <c r="E59" s="133"/>
      <c r="F59" s="133"/>
      <c r="G59" s="133"/>
      <c r="H59" s="133"/>
    </row>
    <row r="61" customFormat="false" ht="14.25" hidden="false" customHeight="false" outlineLevel="0" collapsed="false">
      <c r="C61" s="134" t="s">
        <v>139</v>
      </c>
      <c r="D61" s="134" t="s">
        <v>140</v>
      </c>
    </row>
    <row r="62" customFormat="false" ht="14.25" hidden="false" customHeight="false" outlineLevel="0" collapsed="false">
      <c r="D62" s="82" t="s">
        <v>138</v>
      </c>
    </row>
    <row r="63" customFormat="false" ht="14.25" hidden="false" customHeight="false" outlineLevel="0" collapsed="false">
      <c r="D63" s="133" t="s">
        <v>124</v>
      </c>
      <c r="E63" s="133"/>
      <c r="F63" s="133"/>
      <c r="G63" s="133"/>
      <c r="H63" s="133"/>
    </row>
    <row r="65" customFormat="false" ht="14.25" hidden="false" customHeight="false" outlineLevel="0" collapsed="false">
      <c r="C65" s="134" t="s">
        <v>141</v>
      </c>
      <c r="D65" s="134" t="s">
        <v>142</v>
      </c>
    </row>
    <row r="66" customFormat="false" ht="14.25" hidden="false" customHeight="false" outlineLevel="0" collapsed="false">
      <c r="D66" s="82" t="s">
        <v>143</v>
      </c>
    </row>
    <row r="67" customFormat="false" ht="14.25" hidden="false" customHeight="false" outlineLevel="0" collapsed="false">
      <c r="D67" s="82" t="s">
        <v>144</v>
      </c>
    </row>
    <row r="68" customFormat="false" ht="14.25" hidden="false" customHeight="false" outlineLevel="0" collapsed="false">
      <c r="D68" s="133" t="s">
        <v>124</v>
      </c>
      <c r="E68" s="133"/>
      <c r="F68" s="133"/>
      <c r="G68" s="133"/>
      <c r="H68" s="133"/>
    </row>
    <row r="69" customFormat="false" ht="19.5" hidden="false" customHeight="true" outlineLevel="0" collapsed="false"/>
    <row r="70" customFormat="false" ht="24.75" hidden="false" customHeight="true" outlineLevel="0" collapsed="false"/>
    <row r="71" customFormat="false" ht="14.25" hidden="false" customHeight="false" outlineLevel="0" collapsed="false">
      <c r="A71" s="127" t="s">
        <v>145</v>
      </c>
      <c r="B71" s="121" t="s">
        <v>146</v>
      </c>
    </row>
    <row r="72" customFormat="false" ht="14.25" hidden="false" customHeight="false" outlineLevel="0" collapsed="false">
      <c r="A72" s="127"/>
      <c r="B72" s="121" t="s">
        <v>96</v>
      </c>
    </row>
    <row r="73" s="131" customFormat="true" ht="18" hidden="false" customHeight="true" outlineLevel="0" collapsed="false">
      <c r="A73" s="76"/>
      <c r="B73" s="127" t="s">
        <v>147</v>
      </c>
      <c r="C73" s="131" t="s">
        <v>148</v>
      </c>
    </row>
    <row r="74" customFormat="false" ht="14.25" hidden="false" customHeight="false" outlineLevel="0" collapsed="false">
      <c r="B74" s="132" t="s">
        <v>149</v>
      </c>
      <c r="C74" s="135" t="s">
        <v>150</v>
      </c>
      <c r="D74" s="135"/>
      <c r="E74" s="135"/>
      <c r="F74" s="135"/>
      <c r="G74" s="135"/>
    </row>
    <row r="75" customFormat="false" ht="24.75" hidden="false" customHeight="true" outlineLevel="0" collapsed="false"/>
    <row r="76" s="131" customFormat="true" ht="15" hidden="false" customHeight="true" outlineLevel="0" collapsed="false">
      <c r="A76" s="127" t="s">
        <v>151</v>
      </c>
      <c r="B76" s="72" t="s">
        <v>152</v>
      </c>
    </row>
    <row r="77" s="131" customFormat="true" ht="15.75" hidden="false" customHeight="true" outlineLevel="0" collapsed="false">
      <c r="A77" s="76"/>
      <c r="B77" s="127" t="s">
        <v>153</v>
      </c>
      <c r="C77" s="68" t="s">
        <v>154</v>
      </c>
    </row>
    <row r="78" customFormat="false" ht="14.25" hidden="false" customHeight="false" outlineLevel="0" collapsed="false">
      <c r="B78" s="132" t="s">
        <v>155</v>
      </c>
      <c r="C78" s="136" t="s">
        <v>156</v>
      </c>
      <c r="D78" s="136"/>
      <c r="E78" s="136"/>
      <c r="F78" s="136"/>
    </row>
    <row r="79" customFormat="false" ht="24.75" hidden="false" customHeight="true" outlineLevel="0" collapsed="false"/>
    <row r="80" customFormat="false" ht="14.25" hidden="false" customHeight="false" outlineLevel="0" collapsed="false">
      <c r="A80" s="127" t="s">
        <v>157</v>
      </c>
      <c r="B80" s="121" t="s">
        <v>158</v>
      </c>
    </row>
    <row r="81" s="131" customFormat="true" ht="16.5" hidden="false" customHeight="true" outlineLevel="0" collapsed="false">
      <c r="A81" s="76"/>
      <c r="B81" s="127" t="s">
        <v>159</v>
      </c>
      <c r="C81" s="68" t="s">
        <v>160</v>
      </c>
    </row>
    <row r="82" s="131" customFormat="true" ht="14.25" hidden="false" customHeight="true" outlineLevel="0" collapsed="false">
      <c r="A82" s="76"/>
      <c r="B82" s="127" t="s">
        <v>161</v>
      </c>
      <c r="C82" s="137" t="s">
        <v>150</v>
      </c>
      <c r="D82" s="137"/>
      <c r="E82" s="137"/>
      <c r="F82" s="137"/>
      <c r="G82" s="137"/>
    </row>
    <row r="83" s="131" customFormat="true" ht="23.25" hidden="false" customHeight="true" outlineLevel="0" collapsed="false">
      <c r="A83" s="76"/>
      <c r="B83" s="127"/>
      <c r="C83" s="138"/>
      <c r="D83" s="138"/>
      <c r="E83" s="138"/>
      <c r="F83" s="138"/>
      <c r="G83" s="138"/>
    </row>
  </sheetData>
  <sheetProtection algorithmName="SHA-512" hashValue="gpFoe106wKYGW4yC+w0kOSISL1EGbSGgGCc22j+7DmCNAoKq3dPq8E4WK1HrAm3zYfxoIJyo4nzKZBPhDDM6eg==" saltValue="XMlfg6CU0u5lrdY2o/8BnQ==" spinCount="100000" sheet="true" objects="true" scenarios="true"/>
  <mergeCells count="1">
    <mergeCell ref="A4:X4"/>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206"/>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6796875" defaultRowHeight="14.25" zeroHeight="false" outlineLevelRow="0" outlineLevelCol="0"/>
  <cols>
    <col collapsed="false" customWidth="true" hidden="false" outlineLevel="0" max="1" min="1" style="1" width="9.88"/>
    <col collapsed="false" customWidth="true" hidden="false" outlineLevel="0" max="2" min="2" style="1" width="10.44"/>
    <col collapsed="false" customWidth="true" hidden="false" outlineLevel="0" max="3" min="3" style="1" width="39.33"/>
    <col collapsed="false" customWidth="true" hidden="false" outlineLevel="0" max="4" min="4" style="1" width="12"/>
    <col collapsed="false" customWidth="true" hidden="false" outlineLevel="0" max="5" min="5" style="1" width="15.66"/>
    <col collapsed="false" customWidth="true" hidden="false" outlineLevel="0" max="6" min="6" style="1" width="14.88"/>
    <col collapsed="false" customWidth="true" hidden="false" outlineLevel="0" max="7" min="7" style="1" width="14"/>
    <col collapsed="false" customWidth="true" hidden="false" outlineLevel="0" max="8" min="8" style="1" width="13.56"/>
    <col collapsed="false" customWidth="true" hidden="false" outlineLevel="0" max="9" min="9" style="1" width="13.44"/>
    <col collapsed="false" customWidth="true" hidden="false" outlineLevel="0" max="10" min="10" style="2" width="13.56"/>
    <col collapsed="false" customWidth="true" hidden="false" outlineLevel="0" max="11" min="11" style="2" width="18.34"/>
    <col collapsed="false" customWidth="true" hidden="false" outlineLevel="0" max="12" min="12" style="1" width="13.34"/>
    <col collapsed="false" customWidth="true" hidden="false" outlineLevel="0" max="13" min="13" style="1" width="15.11"/>
    <col collapsed="false" customWidth="true" hidden="false" outlineLevel="0" max="14" min="14" style="1" width="9.67"/>
    <col collapsed="false" customWidth="true" hidden="false" outlineLevel="0" max="15" min="15" style="1" width="12.67"/>
    <col collapsed="false" customWidth="true" hidden="false" outlineLevel="0" max="18" min="16" style="1" width="13.56"/>
    <col collapsed="false" customWidth="true" hidden="false" outlineLevel="0" max="19" min="19" style="1" width="15"/>
    <col collapsed="false" customWidth="true" hidden="false" outlineLevel="0" max="20" min="20" style="1" width="9.11"/>
    <col collapsed="false" customWidth="true" hidden="false" outlineLevel="0" max="21" min="21" style="1" width="10.44"/>
    <col collapsed="false" customWidth="true" hidden="false" outlineLevel="0" max="255" min="22" style="1" width="9.11"/>
    <col collapsed="false" customWidth="true" hidden="false" outlineLevel="0" max="256" min="256" style="1" width="9.88"/>
    <col collapsed="false" customWidth="true" hidden="false" outlineLevel="0" max="257" min="257" style="1" width="10.44"/>
    <col collapsed="false" customWidth="true" hidden="false" outlineLevel="0" max="258" min="258" style="1" width="39.33"/>
    <col collapsed="false" customWidth="true" hidden="false" outlineLevel="0" max="259" min="259" style="1" width="15"/>
    <col collapsed="false" customWidth="true" hidden="false" outlineLevel="0" max="260" min="260" style="1" width="11"/>
    <col collapsed="false" customWidth="true" hidden="false" outlineLevel="0" max="261" min="261" style="1" width="11.11"/>
    <col collapsed="false" customWidth="true" hidden="false" outlineLevel="0" max="262" min="262" style="1" width="12.88"/>
    <col collapsed="false" customWidth="true" hidden="false" outlineLevel="0" max="263" min="263" style="1" width="13.11"/>
    <col collapsed="false" customWidth="true" hidden="false" outlineLevel="0" max="267" min="264" style="1" width="14.11"/>
    <col collapsed="false" customWidth="true" hidden="false" outlineLevel="0" max="268" min="268" style="1" width="14.44"/>
    <col collapsed="false" customWidth="true" hidden="false" outlineLevel="0" max="269" min="269" style="1" width="9.67"/>
    <col collapsed="false" customWidth="true" hidden="false" outlineLevel="0" max="270" min="270" style="1" width="12.67"/>
    <col collapsed="false" customWidth="true" hidden="false" outlineLevel="0" max="273" min="271" style="1" width="13.56"/>
    <col collapsed="false" customWidth="true" hidden="false" outlineLevel="0" max="274" min="274" style="1" width="12.11"/>
    <col collapsed="false" customWidth="true" hidden="false" outlineLevel="0" max="275" min="275" style="1" width="15"/>
    <col collapsed="false" customWidth="true" hidden="false" outlineLevel="0" max="511" min="276" style="1" width="9.11"/>
    <col collapsed="false" customWidth="true" hidden="false" outlineLevel="0" max="512" min="512" style="1" width="9.88"/>
    <col collapsed="false" customWidth="true" hidden="false" outlineLevel="0" max="513" min="513" style="1" width="10.44"/>
    <col collapsed="false" customWidth="true" hidden="false" outlineLevel="0" max="514" min="514" style="1" width="39.33"/>
    <col collapsed="false" customWidth="true" hidden="false" outlineLevel="0" max="515" min="515" style="1" width="15"/>
    <col collapsed="false" customWidth="true" hidden="false" outlineLevel="0" max="516" min="516" style="1" width="11"/>
    <col collapsed="false" customWidth="true" hidden="false" outlineLevel="0" max="517" min="517" style="1" width="11.11"/>
    <col collapsed="false" customWidth="true" hidden="false" outlineLevel="0" max="518" min="518" style="1" width="12.88"/>
    <col collapsed="false" customWidth="true" hidden="false" outlineLevel="0" max="519" min="519" style="1" width="13.11"/>
    <col collapsed="false" customWidth="true" hidden="false" outlineLevel="0" max="523" min="520" style="1" width="14.11"/>
    <col collapsed="false" customWidth="true" hidden="false" outlineLevel="0" max="524" min="524" style="1" width="14.44"/>
    <col collapsed="false" customWidth="true" hidden="false" outlineLevel="0" max="525" min="525" style="1" width="9.67"/>
    <col collapsed="false" customWidth="true" hidden="false" outlineLevel="0" max="526" min="526" style="1" width="12.67"/>
    <col collapsed="false" customWidth="true" hidden="false" outlineLevel="0" max="529" min="527" style="1" width="13.56"/>
    <col collapsed="false" customWidth="true" hidden="false" outlineLevel="0" max="530" min="530" style="1" width="12.11"/>
    <col collapsed="false" customWidth="true" hidden="false" outlineLevel="0" max="531" min="531" style="1" width="15"/>
    <col collapsed="false" customWidth="true" hidden="false" outlineLevel="0" max="767" min="532" style="1" width="9.11"/>
    <col collapsed="false" customWidth="true" hidden="false" outlineLevel="0" max="768" min="768" style="1" width="9.88"/>
    <col collapsed="false" customWidth="true" hidden="false" outlineLevel="0" max="769" min="769" style="1" width="10.44"/>
    <col collapsed="false" customWidth="true" hidden="false" outlineLevel="0" max="770" min="770" style="1" width="39.33"/>
    <col collapsed="false" customWidth="true" hidden="false" outlineLevel="0" max="771" min="771" style="1" width="15"/>
    <col collapsed="false" customWidth="true" hidden="false" outlineLevel="0" max="772" min="772" style="1" width="11"/>
    <col collapsed="false" customWidth="true" hidden="false" outlineLevel="0" max="773" min="773" style="1" width="11.11"/>
    <col collapsed="false" customWidth="true" hidden="false" outlineLevel="0" max="774" min="774" style="1" width="12.88"/>
    <col collapsed="false" customWidth="true" hidden="false" outlineLevel="0" max="775" min="775" style="1" width="13.11"/>
    <col collapsed="false" customWidth="true" hidden="false" outlineLevel="0" max="779" min="776" style="1" width="14.11"/>
    <col collapsed="false" customWidth="true" hidden="false" outlineLevel="0" max="780" min="780" style="1" width="14.44"/>
    <col collapsed="false" customWidth="true" hidden="false" outlineLevel="0" max="781" min="781" style="1" width="9.67"/>
    <col collapsed="false" customWidth="true" hidden="false" outlineLevel="0" max="782" min="782" style="1" width="12.67"/>
    <col collapsed="false" customWidth="true" hidden="false" outlineLevel="0" max="785" min="783" style="1" width="13.56"/>
    <col collapsed="false" customWidth="true" hidden="false" outlineLevel="0" max="786" min="786" style="1" width="12.11"/>
    <col collapsed="false" customWidth="true" hidden="false" outlineLevel="0" max="787" min="787" style="1" width="15"/>
    <col collapsed="false" customWidth="true" hidden="false" outlineLevel="0" max="1023" min="788" style="1" width="9.11"/>
    <col collapsed="false" customWidth="true" hidden="false" outlineLevel="0" max="1025" min="1024" style="1" width="9.88"/>
  </cols>
  <sheetData>
    <row r="1" customFormat="false" ht="14.25" hidden="false" customHeight="false" outlineLevel="0" collapsed="false">
      <c r="A1" s="139"/>
      <c r="B1" s="125" t="str">
        <f aca="false">INSTRUÇÕES!B1</f>
        <v>Tribunal Regional Federal da 6ª Região</v>
      </c>
      <c r="D1" s="82"/>
      <c r="E1" s="82"/>
      <c r="F1" s="82"/>
      <c r="G1" s="82"/>
      <c r="H1" s="82"/>
      <c r="I1" s="82"/>
      <c r="J1" s="108"/>
      <c r="K1" s="108"/>
      <c r="L1" s="82"/>
      <c r="M1" s="82"/>
      <c r="N1" s="82"/>
    </row>
    <row r="2" customFormat="false" ht="14.25" hidden="false" customHeight="false" outlineLevel="0" collapsed="false">
      <c r="A2" s="139"/>
      <c r="B2" s="125" t="str">
        <f aca="false">INSTRUÇÕES!B2</f>
        <v>Seção Judiciária de Minas Gerais</v>
      </c>
      <c r="D2" s="82"/>
      <c r="E2" s="82"/>
      <c r="F2" s="82"/>
      <c r="G2" s="82"/>
      <c r="H2" s="82"/>
      <c r="I2" s="82"/>
      <c r="J2" s="108"/>
      <c r="K2" s="108"/>
      <c r="L2" s="82"/>
      <c r="M2" s="82"/>
      <c r="N2" s="82"/>
    </row>
    <row r="3" customFormat="false" ht="18" hidden="false" customHeight="false" outlineLevel="0" collapsed="false">
      <c r="A3" s="139"/>
      <c r="B3" s="125" t="str">
        <f aca="false">INSTRUÇÕES!B3</f>
        <v>Subseção Judiciária de Poços de Caldas</v>
      </c>
      <c r="D3" s="82"/>
      <c r="E3" s="140" t="s">
        <v>162</v>
      </c>
      <c r="F3" s="82"/>
      <c r="G3" s="82"/>
      <c r="H3" s="82"/>
      <c r="I3" s="82"/>
      <c r="J3" s="108"/>
      <c r="K3" s="108"/>
      <c r="L3" s="82"/>
      <c r="M3" s="82"/>
      <c r="N3" s="82"/>
      <c r="R3" s="82"/>
    </row>
    <row r="4" s="20" customFormat="true" ht="24.75" hidden="false" customHeight="true" outlineLevel="0" collapsed="false">
      <c r="A4" s="141" t="str">
        <f aca="false">CONCATENATE("Sindicato utilizado - ",E14,". Vigência: ",E16,". Sendo a data base da categoria ",E17,". Com número de registro no MTE ",E15,".")</f>
        <v>Sindicato utilizado - SINSERTH x SINTAPPI. Vigência: 01/04/2025 à 31/03/2026. Sendo a data base da categoria 1 de abril. Com número de registro no MTE MG001973/2025.</v>
      </c>
      <c r="B4" s="141"/>
      <c r="C4" s="142"/>
      <c r="D4" s="1"/>
      <c r="E4" s="141"/>
      <c r="F4" s="143"/>
      <c r="G4" s="143"/>
      <c r="H4" s="143"/>
      <c r="I4" s="143"/>
      <c r="J4" s="143"/>
      <c r="K4" s="143"/>
      <c r="L4" s="143"/>
      <c r="M4" s="143"/>
      <c r="N4" s="143"/>
      <c r="O4" s="143"/>
      <c r="P4" s="143"/>
      <c r="Q4" s="143"/>
      <c r="R4" s="143"/>
      <c r="S4" s="143"/>
    </row>
    <row r="5" s="20" customFormat="true" ht="66.75" hidden="false" customHeight="true" outlineLevel="0" collapsed="false">
      <c r="A5" s="144" t="s">
        <v>163</v>
      </c>
      <c r="B5" s="144" t="s">
        <v>164</v>
      </c>
      <c r="C5" s="144" t="s">
        <v>22</v>
      </c>
      <c r="D5" s="144" t="s">
        <v>165</v>
      </c>
      <c r="E5" s="144" t="s">
        <v>166</v>
      </c>
      <c r="F5" s="144" t="s">
        <v>167</v>
      </c>
      <c r="G5" s="144" t="s">
        <v>168</v>
      </c>
      <c r="H5" s="144" t="s">
        <v>169</v>
      </c>
      <c r="I5" s="144" t="s">
        <v>170</v>
      </c>
      <c r="J5" s="144" t="s">
        <v>171</v>
      </c>
      <c r="K5" s="144" t="s">
        <v>172</v>
      </c>
      <c r="L5" s="144" t="s">
        <v>173</v>
      </c>
      <c r="M5" s="145" t="s">
        <v>174</v>
      </c>
      <c r="N5" s="144" t="s">
        <v>175</v>
      </c>
      <c r="O5" s="144" t="s">
        <v>176</v>
      </c>
      <c r="P5" s="144" t="s">
        <v>177</v>
      </c>
      <c r="Q5" s="144" t="s">
        <v>178</v>
      </c>
      <c r="R5" s="144" t="s">
        <v>179</v>
      </c>
      <c r="S5" s="144" t="s">
        <v>180</v>
      </c>
      <c r="U5" s="146"/>
    </row>
    <row r="6" s="20" customFormat="true" ht="15" hidden="false" customHeight="false" outlineLevel="0" collapsed="false">
      <c r="A6" s="144"/>
      <c r="B6" s="144"/>
      <c r="C6" s="144"/>
      <c r="D6" s="144"/>
      <c r="E6" s="144"/>
      <c r="F6" s="144"/>
      <c r="G6" s="144"/>
      <c r="H6" s="144"/>
      <c r="I6" s="144"/>
      <c r="J6" s="144"/>
      <c r="K6" s="144"/>
      <c r="L6" s="144"/>
      <c r="M6" s="145"/>
      <c r="N6" s="147"/>
      <c r="O6" s="148"/>
      <c r="P6" s="148"/>
      <c r="Q6" s="148"/>
      <c r="R6" s="148"/>
      <c r="S6" s="144"/>
      <c r="U6" s="146" t="s">
        <v>181</v>
      </c>
      <c r="V6" s="20" t="s">
        <v>182</v>
      </c>
    </row>
    <row r="7" s="20" customFormat="true" ht="24.75" hidden="false" customHeight="true" outlineLevel="0" collapsed="false">
      <c r="A7" s="149" t="n">
        <v>333903702</v>
      </c>
      <c r="B7" s="148" t="n">
        <v>1</v>
      </c>
      <c r="C7" s="150" t="s">
        <v>183</v>
      </c>
      <c r="D7" s="148" t="n">
        <v>220</v>
      </c>
      <c r="E7" s="151" t="n">
        <v>1633.68</v>
      </c>
      <c r="F7" s="152" t="n">
        <f aca="false">ROUND(((E7/220)*D7),2)</f>
        <v>1633.68</v>
      </c>
      <c r="G7" s="153" t="n">
        <v>0.4</v>
      </c>
      <c r="H7" s="152" t="n">
        <f aca="false">G7*G27</f>
        <v>607.2</v>
      </c>
      <c r="I7" s="47" t="n">
        <v>0</v>
      </c>
      <c r="J7" s="47" t="n">
        <v>0</v>
      </c>
      <c r="K7" s="47"/>
      <c r="L7" s="47" t="n">
        <v>0</v>
      </c>
      <c r="M7" s="154" t="n">
        <f aca="false">F7+H7+L7</f>
        <v>2240.88</v>
      </c>
      <c r="N7" s="152" t="n">
        <f aca="false">Unif!H14</f>
        <v>54.59</v>
      </c>
      <c r="O7" s="152" t="n">
        <f aca="false">Insumos!K53</f>
        <v>922.281666666667</v>
      </c>
      <c r="P7" s="152"/>
      <c r="Q7" s="152" t="n">
        <f aca="false">EPI!F17</f>
        <v>9.88333333333333</v>
      </c>
      <c r="R7" s="152"/>
      <c r="S7" s="155" t="n">
        <v>2</v>
      </c>
      <c r="T7" s="20" t="n">
        <v>1526.8</v>
      </c>
      <c r="U7" s="146" t="n">
        <f aca="false">1.07*T7</f>
        <v>1633.676</v>
      </c>
      <c r="V7" s="20" t="n">
        <v>1596.27</v>
      </c>
    </row>
    <row r="8" s="20" customFormat="true" ht="21" hidden="false" customHeight="true" outlineLevel="0" collapsed="false">
      <c r="A8" s="149"/>
      <c r="B8" s="148" t="n">
        <v>1</v>
      </c>
      <c r="C8" s="150" t="s">
        <v>184</v>
      </c>
      <c r="D8" s="148" t="n">
        <v>220</v>
      </c>
      <c r="E8" s="151" t="n">
        <v>1633.68</v>
      </c>
      <c r="F8" s="152" t="n">
        <f aca="false">ROUND(((E8/220)*D8),2)</f>
        <v>1633.68</v>
      </c>
      <c r="G8" s="156" t="n">
        <v>0</v>
      </c>
      <c r="H8" s="47" t="n">
        <v>0</v>
      </c>
      <c r="I8" s="157" t="n">
        <v>0.12</v>
      </c>
      <c r="J8" s="158" t="n">
        <v>0.25</v>
      </c>
      <c r="K8" s="151" t="n">
        <f aca="false">F8</f>
        <v>1633.68</v>
      </c>
      <c r="L8" s="159" t="n">
        <f aca="false">ROUND((K8*I8*J8),2)</f>
        <v>49.01</v>
      </c>
      <c r="M8" s="154" t="n">
        <f aca="false">F8+H8+L8</f>
        <v>1682.69</v>
      </c>
      <c r="N8" s="152" t="n">
        <f aca="false">Unif!H14+Unif!H20</f>
        <v>59.96</v>
      </c>
      <c r="O8" s="152" t="n">
        <f aca="false">Insumos!K53</f>
        <v>922.281666666667</v>
      </c>
      <c r="P8" s="152" t="n">
        <f aca="false">Insumos!K82</f>
        <v>347.639166666667</v>
      </c>
      <c r="Q8" s="152" t="n">
        <f aca="false">EPI!F17</f>
        <v>9.88333333333333</v>
      </c>
      <c r="R8" s="152"/>
      <c r="S8" s="155" t="n">
        <v>2</v>
      </c>
      <c r="T8" s="20" t="n">
        <v>1526.8</v>
      </c>
      <c r="U8" s="146" t="n">
        <f aca="false">1.07*T8</f>
        <v>1633.676</v>
      </c>
      <c r="V8" s="20" t="n">
        <v>1596.27</v>
      </c>
    </row>
    <row r="9" customFormat="false" ht="21" hidden="false" customHeight="true" outlineLevel="0" collapsed="false">
      <c r="A9" s="149"/>
      <c r="B9" s="148" t="n">
        <v>1</v>
      </c>
      <c r="C9" s="150" t="s">
        <v>185</v>
      </c>
      <c r="D9" s="148" t="n">
        <v>220</v>
      </c>
      <c r="E9" s="151" t="n">
        <v>2441.1</v>
      </c>
      <c r="F9" s="152" t="n">
        <f aca="false">ROUND(((E9/220)*D9),2)</f>
        <v>2441.1</v>
      </c>
      <c r="G9" s="156" t="n">
        <v>0</v>
      </c>
      <c r="H9" s="47" t="n">
        <v>0</v>
      </c>
      <c r="I9" s="160"/>
      <c r="J9" s="160"/>
      <c r="K9" s="161"/>
      <c r="L9" s="162"/>
      <c r="M9" s="154" t="n">
        <f aca="false">F9+H9+L9</f>
        <v>2441.1</v>
      </c>
      <c r="N9" s="152" t="n">
        <f aca="false">Unif!H28</f>
        <v>58.92</v>
      </c>
      <c r="O9" s="163"/>
      <c r="P9" s="152"/>
      <c r="Q9" s="152" t="n">
        <f aca="false">EPI!F13+EPI!F17</f>
        <v>45.3633333333333</v>
      </c>
      <c r="R9" s="152" t="n">
        <f aca="false">Equip!G18</f>
        <v>25.64</v>
      </c>
      <c r="S9" s="155" t="n">
        <v>2</v>
      </c>
      <c r="T9" s="1" t="n">
        <v>2281.4</v>
      </c>
      <c r="U9" s="146" t="n">
        <f aca="false">1.07*T9</f>
        <v>2441.098</v>
      </c>
      <c r="V9" s="1" t="n">
        <v>2265.68</v>
      </c>
    </row>
    <row r="10" customFormat="false" ht="24.75" hidden="false" customHeight="true" outlineLevel="0" collapsed="false">
      <c r="A10" s="164" t="n">
        <v>333903701</v>
      </c>
      <c r="B10" s="148" t="n">
        <v>2</v>
      </c>
      <c r="C10" s="150" t="s">
        <v>186</v>
      </c>
      <c r="D10" s="148" t="n">
        <v>150</v>
      </c>
      <c r="E10" s="151" t="n">
        <v>2048</v>
      </c>
      <c r="F10" s="152" t="n">
        <f aca="false">ROUND(((E10/220)*D10),2)</f>
        <v>1396.36</v>
      </c>
      <c r="G10" s="156" t="n">
        <v>0</v>
      </c>
      <c r="H10" s="47" t="n">
        <v>0</v>
      </c>
      <c r="I10" s="47" t="n">
        <v>0</v>
      </c>
      <c r="J10" s="47" t="n">
        <v>0</v>
      </c>
      <c r="K10" s="47"/>
      <c r="L10" s="47" t="n">
        <v>0</v>
      </c>
      <c r="M10" s="154" t="n">
        <f aca="false">F10+H10+L10</f>
        <v>1396.36</v>
      </c>
      <c r="N10" s="152" t="n">
        <f aca="false">Unif!H36</f>
        <v>58.88</v>
      </c>
      <c r="O10" s="152"/>
      <c r="P10" s="152"/>
      <c r="Q10" s="152"/>
      <c r="R10" s="152"/>
      <c r="S10" s="155" t="n">
        <v>1</v>
      </c>
      <c r="T10" s="1" t="n">
        <v>1914</v>
      </c>
      <c r="U10" s="146" t="n">
        <f aca="false">1.07*T10</f>
        <v>2047.98</v>
      </c>
      <c r="V10" s="1" t="n">
        <v>2231.74</v>
      </c>
    </row>
    <row r="11" customFormat="false" ht="34.5" hidden="false" customHeight="true" outlineLevel="0" collapsed="false">
      <c r="A11" s="165" t="s">
        <v>187</v>
      </c>
      <c r="B11" s="2"/>
      <c r="C11" s="2"/>
      <c r="D11" s="165"/>
      <c r="F11" s="165"/>
      <c r="G11" s="165" t="s">
        <v>188</v>
      </c>
      <c r="H11" s="165"/>
      <c r="I11" s="165"/>
      <c r="J11" s="165"/>
      <c r="K11" s="141"/>
      <c r="L11" s="166" t="s">
        <v>189</v>
      </c>
      <c r="M11" s="167" t="n">
        <f aca="false">SUM(M7:M10)</f>
        <v>7761.03</v>
      </c>
      <c r="N11" s="141"/>
      <c r="O11" s="141"/>
      <c r="P11" s="141"/>
      <c r="Q11" s="141"/>
      <c r="R11" s="141"/>
      <c r="S11" s="141"/>
    </row>
    <row r="12" customFormat="false" ht="24.75" hidden="false" customHeight="true" outlineLevel="0" collapsed="false">
      <c r="A12" s="168" t="s">
        <v>190</v>
      </c>
      <c r="B12" s="168"/>
      <c r="C12" s="168"/>
      <c r="D12" s="168"/>
      <c r="E12" s="168"/>
      <c r="F12" s="168"/>
      <c r="G12" s="168"/>
      <c r="N12" s="141"/>
      <c r="O12" s="141"/>
      <c r="P12" s="141"/>
      <c r="Q12" s="141"/>
      <c r="R12" s="141"/>
      <c r="S12" s="141"/>
    </row>
    <row r="13" customFormat="false" ht="24" hidden="false" customHeight="true" outlineLevel="0" collapsed="false">
      <c r="A13" s="169" t="n">
        <v>1</v>
      </c>
      <c r="B13" s="170" t="s">
        <v>191</v>
      </c>
      <c r="C13" s="170"/>
      <c r="D13" s="170"/>
      <c r="E13" s="171" t="s">
        <v>192</v>
      </c>
      <c r="F13" s="171"/>
      <c r="G13" s="171"/>
      <c r="H13" s="17" t="s">
        <v>193</v>
      </c>
      <c r="N13" s="141"/>
      <c r="O13" s="141"/>
      <c r="P13" s="141"/>
      <c r="Q13" s="141"/>
      <c r="R13" s="141"/>
      <c r="S13" s="68"/>
    </row>
    <row r="14" customFormat="false" ht="24" hidden="false" customHeight="true" outlineLevel="0" collapsed="false">
      <c r="A14" s="169" t="n">
        <v>2</v>
      </c>
      <c r="B14" s="170" t="s">
        <v>194</v>
      </c>
      <c r="C14" s="170"/>
      <c r="D14" s="170"/>
      <c r="E14" s="171" t="s">
        <v>195</v>
      </c>
      <c r="F14" s="171"/>
      <c r="G14" s="171"/>
      <c r="H14" s="17" t="s">
        <v>196</v>
      </c>
      <c r="N14" s="141"/>
      <c r="O14" s="141"/>
      <c r="P14" s="141"/>
      <c r="Q14" s="141"/>
      <c r="R14" s="141"/>
      <c r="S14" s="68"/>
    </row>
    <row r="15" customFormat="false" ht="24" hidden="false" customHeight="true" outlineLevel="0" collapsed="false">
      <c r="A15" s="169" t="n">
        <v>3</v>
      </c>
      <c r="B15" s="170" t="s">
        <v>197</v>
      </c>
      <c r="C15" s="170"/>
      <c r="D15" s="170"/>
      <c r="E15" s="171" t="s">
        <v>198</v>
      </c>
      <c r="F15" s="171"/>
      <c r="G15" s="171"/>
      <c r="H15" s="17" t="s">
        <v>199</v>
      </c>
      <c r="N15" s="141"/>
      <c r="O15" s="141"/>
      <c r="P15" s="141"/>
      <c r="Q15" s="141"/>
      <c r="R15" s="141"/>
      <c r="S15" s="68"/>
    </row>
    <row r="16" customFormat="false" ht="24" hidden="false" customHeight="true" outlineLevel="0" collapsed="false">
      <c r="A16" s="169" t="n">
        <v>4</v>
      </c>
      <c r="B16" s="170" t="s">
        <v>200</v>
      </c>
      <c r="C16" s="170"/>
      <c r="D16" s="170"/>
      <c r="E16" s="171" t="s">
        <v>201</v>
      </c>
      <c r="F16" s="171"/>
      <c r="G16" s="171"/>
      <c r="H16" s="17" t="s">
        <v>202</v>
      </c>
      <c r="N16" s="141"/>
      <c r="O16" s="141"/>
      <c r="P16" s="141"/>
      <c r="Q16" s="141"/>
      <c r="R16" s="141"/>
      <c r="S16" s="68"/>
    </row>
    <row r="17" customFormat="false" ht="24" hidden="false" customHeight="true" outlineLevel="0" collapsed="false">
      <c r="A17" s="169" t="n">
        <v>5</v>
      </c>
      <c r="B17" s="170" t="s">
        <v>203</v>
      </c>
      <c r="C17" s="170"/>
      <c r="D17" s="170"/>
      <c r="E17" s="171" t="s">
        <v>204</v>
      </c>
      <c r="F17" s="171"/>
      <c r="G17" s="171"/>
      <c r="H17" s="17" t="s">
        <v>205</v>
      </c>
      <c r="N17" s="141"/>
      <c r="O17" s="141"/>
      <c r="P17" s="141"/>
      <c r="Q17" s="141"/>
      <c r="R17" s="141"/>
      <c r="S17" s="68"/>
    </row>
    <row r="18" s="1" customFormat="true" ht="12.75" hidden="false" customHeight="true" outlineLevel="0" collapsed="false">
      <c r="A18" s="172"/>
      <c r="H18" s="17"/>
    </row>
    <row r="19" s="68" customFormat="true" ht="24.75" hidden="false" customHeight="true" outlineLevel="0" collapsed="false">
      <c r="A19" s="168" t="s">
        <v>206</v>
      </c>
      <c r="B19" s="168"/>
      <c r="C19" s="168"/>
      <c r="D19" s="168"/>
      <c r="E19" s="168"/>
      <c r="F19" s="168"/>
      <c r="G19" s="168"/>
      <c r="H19" s="17"/>
      <c r="I19" s="141"/>
      <c r="J19" s="141"/>
      <c r="K19" s="141"/>
      <c r="L19" s="141"/>
      <c r="M19" s="141"/>
      <c r="N19" s="141"/>
      <c r="O19" s="141"/>
      <c r="P19" s="141"/>
      <c r="Q19" s="141"/>
      <c r="R19" s="141"/>
    </row>
    <row r="20" s="1" customFormat="true" ht="24" hidden="false" customHeight="true" outlineLevel="0" collapsed="false">
      <c r="A20" s="169" t="s">
        <v>207</v>
      </c>
      <c r="B20" s="170" t="s">
        <v>208</v>
      </c>
      <c r="C20" s="170"/>
      <c r="D20" s="170"/>
      <c r="E20" s="170"/>
      <c r="F20" s="170"/>
      <c r="G20" s="153" t="n">
        <f aca="false">Encargos!C57</f>
        <v>0.764</v>
      </c>
      <c r="H20" s="17"/>
    </row>
    <row r="21" s="1" customFormat="true" ht="12.75" hidden="false" customHeight="true" outlineLevel="0" collapsed="false">
      <c r="A21" s="172"/>
      <c r="G21" s="2"/>
      <c r="H21" s="17"/>
    </row>
    <row r="22" s="1" customFormat="true" ht="24.75" hidden="false" customHeight="true" outlineLevel="0" collapsed="false">
      <c r="A22" s="119" t="n">
        <v>1</v>
      </c>
      <c r="B22" s="170" t="s">
        <v>209</v>
      </c>
      <c r="C22" s="170"/>
      <c r="D22" s="170"/>
      <c r="E22" s="170"/>
      <c r="F22" s="170"/>
      <c r="G22" s="173" t="n">
        <f aca="false">G23*G24</f>
        <v>0.06</v>
      </c>
      <c r="H22" s="17"/>
    </row>
    <row r="23" s="1" customFormat="true" ht="24.75" hidden="false" customHeight="true" outlineLevel="0" collapsed="false">
      <c r="A23" s="119" t="n">
        <v>2</v>
      </c>
      <c r="B23" s="170" t="s">
        <v>210</v>
      </c>
      <c r="C23" s="170"/>
      <c r="D23" s="170"/>
      <c r="E23" s="170"/>
      <c r="F23" s="170"/>
      <c r="G23" s="157" t="n">
        <v>0.03</v>
      </c>
      <c r="H23" s="17" t="s">
        <v>211</v>
      </c>
    </row>
    <row r="24" s="1" customFormat="true" ht="24.75" hidden="false" customHeight="true" outlineLevel="0" collapsed="false">
      <c r="A24" s="119" t="n">
        <v>3</v>
      </c>
      <c r="B24" s="170" t="s">
        <v>212</v>
      </c>
      <c r="C24" s="170"/>
      <c r="D24" s="170"/>
      <c r="E24" s="170"/>
      <c r="F24" s="170"/>
      <c r="G24" s="174" t="n">
        <v>2</v>
      </c>
      <c r="H24" s="17" t="s">
        <v>213</v>
      </c>
    </row>
    <row r="25" s="1" customFormat="true" ht="12.75" hidden="false" customHeight="true" outlineLevel="0" collapsed="false">
      <c r="A25" s="172"/>
      <c r="B25" s="141"/>
      <c r="C25" s="141"/>
      <c r="D25" s="141"/>
      <c r="E25" s="141"/>
      <c r="F25" s="141"/>
      <c r="H25" s="17"/>
    </row>
    <row r="26" s="1" customFormat="true" ht="24.75" hidden="false" customHeight="true" outlineLevel="0" collapsed="false">
      <c r="A26" s="168" t="s">
        <v>214</v>
      </c>
      <c r="B26" s="168"/>
      <c r="C26" s="168"/>
      <c r="D26" s="168"/>
      <c r="E26" s="168"/>
      <c r="F26" s="168"/>
      <c r="G26" s="168"/>
      <c r="H26" s="17"/>
    </row>
    <row r="27" s="1" customFormat="true" ht="24.75" hidden="false" customHeight="true" outlineLevel="0" collapsed="false">
      <c r="A27" s="119" t="n">
        <v>1</v>
      </c>
      <c r="B27" s="170" t="s">
        <v>215</v>
      </c>
      <c r="C27" s="170"/>
      <c r="D27" s="170"/>
      <c r="E27" s="170"/>
      <c r="F27" s="170"/>
      <c r="G27" s="151" t="n">
        <v>1518</v>
      </c>
      <c r="H27" s="17" t="s">
        <v>216</v>
      </c>
    </row>
    <row r="28" s="1" customFormat="true" ht="12.75" hidden="false" customHeight="true" outlineLevel="0" collapsed="false">
      <c r="A28" s="175"/>
      <c r="B28" s="176"/>
      <c r="C28" s="176"/>
      <c r="D28" s="176"/>
      <c r="E28" s="176"/>
      <c r="F28" s="176"/>
      <c r="G28" s="177"/>
      <c r="H28" s="17"/>
    </row>
    <row r="29" s="68" customFormat="true" ht="24.75" hidden="false" customHeight="true" outlineLevel="0" collapsed="false">
      <c r="A29" s="168" t="s">
        <v>217</v>
      </c>
      <c r="B29" s="168"/>
      <c r="C29" s="168"/>
      <c r="D29" s="168"/>
      <c r="E29" s="168"/>
      <c r="F29" s="168"/>
      <c r="G29" s="168"/>
      <c r="H29" s="17"/>
      <c r="I29" s="1"/>
      <c r="J29" s="1"/>
      <c r="K29" s="141"/>
      <c r="L29" s="141"/>
      <c r="M29" s="141"/>
      <c r="N29" s="141"/>
      <c r="O29" s="141"/>
      <c r="P29" s="141"/>
      <c r="Q29" s="141"/>
      <c r="R29" s="141"/>
    </row>
    <row r="30" s="1" customFormat="true" ht="26.25" hidden="false" customHeight="true" outlineLevel="0" collapsed="false">
      <c r="A30" s="169" t="n">
        <v>1</v>
      </c>
      <c r="B30" s="170" t="s">
        <v>218</v>
      </c>
      <c r="C30" s="170"/>
      <c r="D30" s="170"/>
      <c r="E30" s="170"/>
      <c r="F30" s="170"/>
      <c r="G30" s="178" t="n">
        <v>5.27</v>
      </c>
      <c r="H30" s="17" t="s">
        <v>219</v>
      </c>
    </row>
    <row r="31" s="1" customFormat="true" ht="26.25" hidden="false" customHeight="true" outlineLevel="0" collapsed="false">
      <c r="A31" s="179" t="n">
        <v>2</v>
      </c>
      <c r="B31" s="170" t="s">
        <v>220</v>
      </c>
      <c r="C31" s="170"/>
      <c r="D31" s="170"/>
      <c r="E31" s="170"/>
      <c r="F31" s="170"/>
      <c r="G31" s="174" t="n">
        <v>0</v>
      </c>
      <c r="H31" s="17" t="s">
        <v>219</v>
      </c>
    </row>
    <row r="32" s="1" customFormat="true" ht="26.25" hidden="false" customHeight="true" outlineLevel="0" collapsed="false">
      <c r="A32" s="169" t="n">
        <v>3</v>
      </c>
      <c r="B32" s="180" t="s">
        <v>221</v>
      </c>
      <c r="C32" s="180"/>
      <c r="D32" s="170" t="s">
        <v>222</v>
      </c>
      <c r="E32" s="170"/>
      <c r="F32" s="170"/>
      <c r="G32" s="181" t="n">
        <v>6</v>
      </c>
      <c r="H32" s="17" t="s">
        <v>223</v>
      </c>
      <c r="I32" s="141"/>
      <c r="O32" s="70"/>
    </row>
    <row r="33" s="1" customFormat="true" ht="26.25" hidden="false" customHeight="true" outlineLevel="0" collapsed="false">
      <c r="A33" s="169"/>
      <c r="B33" s="180"/>
      <c r="C33" s="180"/>
      <c r="D33" s="170" t="s">
        <v>224</v>
      </c>
      <c r="E33" s="170"/>
      <c r="F33" s="170"/>
      <c r="G33" s="181" t="n">
        <v>2</v>
      </c>
      <c r="H33" s="17" t="s">
        <v>225</v>
      </c>
      <c r="I33" s="141"/>
      <c r="O33" s="70"/>
    </row>
    <row r="34" s="1" customFormat="true" ht="26.25" hidden="false" customHeight="true" outlineLevel="0" collapsed="false">
      <c r="A34" s="169"/>
      <c r="B34" s="180"/>
      <c r="C34" s="180"/>
      <c r="D34" s="170" t="s">
        <v>226</v>
      </c>
      <c r="E34" s="170"/>
      <c r="F34" s="170"/>
      <c r="G34" s="182" t="n">
        <v>22</v>
      </c>
      <c r="H34" s="17" t="s">
        <v>227</v>
      </c>
      <c r="I34" s="141"/>
      <c r="O34" s="70"/>
    </row>
    <row r="35" customFormat="false" ht="26.25" hidden="false" customHeight="true" outlineLevel="0" collapsed="false">
      <c r="A35" s="169"/>
      <c r="B35" s="180"/>
      <c r="C35" s="180"/>
      <c r="D35" s="183" t="s">
        <v>228</v>
      </c>
      <c r="E35" s="183"/>
      <c r="F35" s="183"/>
      <c r="G35" s="184" t="n">
        <v>0.06</v>
      </c>
      <c r="H35" s="17" t="s">
        <v>229</v>
      </c>
      <c r="O35" s="70"/>
    </row>
    <row r="36" s="1" customFormat="true" ht="26.25" hidden="false" customHeight="true" outlineLevel="0" collapsed="false">
      <c r="A36" s="169" t="n">
        <v>4</v>
      </c>
      <c r="B36" s="180" t="s">
        <v>230</v>
      </c>
      <c r="C36" s="180"/>
      <c r="D36" s="170" t="s">
        <v>231</v>
      </c>
      <c r="E36" s="170"/>
      <c r="F36" s="170"/>
      <c r="G36" s="174" t="n">
        <v>29</v>
      </c>
      <c r="H36" s="17" t="s">
        <v>232</v>
      </c>
      <c r="I36" s="141"/>
    </row>
    <row r="37" customFormat="false" ht="26.25" hidden="false" customHeight="true" outlineLevel="0" collapsed="false">
      <c r="A37" s="169"/>
      <c r="B37" s="180"/>
      <c r="C37" s="180"/>
      <c r="D37" s="170" t="s">
        <v>226</v>
      </c>
      <c r="E37" s="170"/>
      <c r="F37" s="170"/>
      <c r="G37" s="182" t="n">
        <f aca="false">G34</f>
        <v>22</v>
      </c>
      <c r="H37" s="17" t="s">
        <v>227</v>
      </c>
      <c r="I37" s="71"/>
      <c r="J37" s="71"/>
      <c r="K37" s="141"/>
      <c r="O37" s="70"/>
    </row>
    <row r="38" s="1" customFormat="true" ht="26.25" hidden="false" customHeight="true" outlineLevel="0" collapsed="false">
      <c r="A38" s="169"/>
      <c r="B38" s="180"/>
      <c r="C38" s="180"/>
      <c r="D38" s="183" t="s">
        <v>228</v>
      </c>
      <c r="E38" s="183"/>
      <c r="F38" s="183"/>
      <c r="G38" s="157" t="n">
        <v>0.2</v>
      </c>
      <c r="H38" s="17" t="s">
        <v>229</v>
      </c>
      <c r="O38" s="70"/>
    </row>
    <row r="39" s="1" customFormat="true" ht="26.25" hidden="false" customHeight="true" outlineLevel="0" collapsed="false">
      <c r="A39" s="169" t="n">
        <v>5</v>
      </c>
      <c r="B39" s="185" t="s">
        <v>233</v>
      </c>
      <c r="C39" s="185"/>
      <c r="D39" s="185"/>
      <c r="E39" s="185"/>
      <c r="F39" s="185"/>
      <c r="G39" s="174" t="n">
        <v>0</v>
      </c>
      <c r="H39" s="17" t="s">
        <v>234</v>
      </c>
      <c r="O39" s="70"/>
    </row>
    <row r="40" s="1" customFormat="true" ht="26.25" hidden="false" customHeight="true" outlineLevel="0" collapsed="false">
      <c r="A40" s="169" t="n">
        <v>6</v>
      </c>
      <c r="B40" s="185" t="s">
        <v>233</v>
      </c>
      <c r="C40" s="185"/>
      <c r="D40" s="185"/>
      <c r="E40" s="185"/>
      <c r="F40" s="185"/>
      <c r="G40" s="174" t="n">
        <v>0</v>
      </c>
      <c r="H40" s="17" t="s">
        <v>234</v>
      </c>
    </row>
    <row r="41" s="1" customFormat="true" ht="12.75" hidden="false" customHeight="true" outlineLevel="0" collapsed="false">
      <c r="H41" s="17"/>
    </row>
    <row r="42" s="68" customFormat="true" ht="24.75" hidden="false" customHeight="true" outlineLevel="0" collapsed="false">
      <c r="A42" s="168" t="s">
        <v>235</v>
      </c>
      <c r="B42" s="168"/>
      <c r="C42" s="168"/>
      <c r="D42" s="168"/>
      <c r="E42" s="168"/>
      <c r="F42" s="168"/>
      <c r="G42" s="168"/>
      <c r="H42" s="17"/>
      <c r="I42" s="141"/>
      <c r="J42" s="141"/>
      <c r="K42" s="141"/>
      <c r="L42" s="141"/>
      <c r="M42" s="141"/>
      <c r="N42" s="141"/>
      <c r="O42" s="141"/>
      <c r="P42" s="141"/>
      <c r="Q42" s="141"/>
      <c r="R42" s="141"/>
    </row>
    <row r="43" s="1" customFormat="true" ht="24.75" hidden="false" customHeight="true" outlineLevel="0" collapsed="false">
      <c r="A43" s="169" t="n">
        <v>1</v>
      </c>
      <c r="B43" s="170" t="s">
        <v>236</v>
      </c>
      <c r="C43" s="170"/>
      <c r="D43" s="170"/>
      <c r="E43" s="170"/>
      <c r="F43" s="170"/>
      <c r="G43" s="157" t="n">
        <v>0.03</v>
      </c>
      <c r="H43" s="17" t="s">
        <v>237</v>
      </c>
    </row>
    <row r="44" s="1" customFormat="true" ht="24.75" hidden="false" customHeight="true" outlineLevel="0" collapsed="false">
      <c r="A44" s="169" t="n">
        <v>2</v>
      </c>
      <c r="B44" s="170" t="s">
        <v>238</v>
      </c>
      <c r="C44" s="170"/>
      <c r="D44" s="170"/>
      <c r="E44" s="170"/>
      <c r="F44" s="170"/>
      <c r="G44" s="157" t="n">
        <v>0.0679</v>
      </c>
      <c r="H44" s="17" t="s">
        <v>237</v>
      </c>
    </row>
    <row r="45" s="1" customFormat="true" ht="12.75" hidden="false" customHeight="true" outlineLevel="0" collapsed="false">
      <c r="H45" s="17"/>
    </row>
    <row r="46" s="68" customFormat="true" ht="24.75" hidden="false" customHeight="true" outlineLevel="0" collapsed="false">
      <c r="A46" s="168" t="s">
        <v>239</v>
      </c>
      <c r="B46" s="168"/>
      <c r="C46" s="168"/>
      <c r="D46" s="168"/>
      <c r="E46" s="168"/>
      <c r="F46" s="168"/>
      <c r="G46" s="168"/>
      <c r="H46" s="17"/>
      <c r="I46" s="141"/>
      <c r="J46" s="141"/>
      <c r="K46" s="141"/>
      <c r="L46" s="141"/>
      <c r="M46" s="141"/>
      <c r="N46" s="141"/>
      <c r="O46" s="141"/>
      <c r="P46" s="141"/>
      <c r="Q46" s="141"/>
      <c r="R46" s="141"/>
    </row>
    <row r="47" s="68" customFormat="true" ht="24.75" hidden="false" customHeight="true" outlineLevel="0" collapsed="false">
      <c r="A47" s="145" t="s">
        <v>240</v>
      </c>
      <c r="B47" s="186" t="str">
        <f aca="false">IF(F50="LUCRO REAL","INFORMAR ALÍQUOTAS MÉDIAS DE RECOLHIMENTO DOS ÚLTIMOS 12 (DOZE) MESES.",IF(F50="LUCRO PRESUMIDO","ALÍQUOTAS FIXAS - PIS: 0,65%; COFINS: 3,00%.",IF(F50="SIMPLES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INFORMAR ALÍQUOTAS MÉDIAS DE RECOLHIMENTO DOS ÚLTIMOS 12 (DOZE) MESES.</v>
      </c>
      <c r="C47" s="186"/>
      <c r="D47" s="186"/>
      <c r="E47" s="186"/>
      <c r="F47" s="186"/>
      <c r="G47" s="186"/>
      <c r="H47" s="17"/>
      <c r="I47" s="141"/>
      <c r="J47" s="141"/>
      <c r="K47" s="141"/>
      <c r="L47" s="141"/>
      <c r="M47" s="141"/>
      <c r="N47" s="141"/>
      <c r="O47" s="141"/>
      <c r="P47" s="141"/>
      <c r="Q47" s="141"/>
      <c r="R47" s="141"/>
    </row>
    <row r="48" s="68" customFormat="true" ht="24.75" hidden="false" customHeight="true" outlineLevel="0" collapsed="false">
      <c r="A48" s="145"/>
      <c r="B48" s="145"/>
      <c r="C48" s="186"/>
      <c r="D48" s="186"/>
      <c r="E48" s="186"/>
      <c r="F48" s="186"/>
      <c r="G48" s="186"/>
      <c r="H48" s="17"/>
      <c r="I48" s="141"/>
      <c r="J48" s="141"/>
      <c r="K48" s="141"/>
      <c r="L48" s="141"/>
      <c r="M48" s="141"/>
      <c r="N48" s="141"/>
      <c r="O48" s="141"/>
      <c r="P48" s="141"/>
      <c r="Q48" s="141"/>
      <c r="R48" s="141"/>
    </row>
    <row r="49" s="68" customFormat="true" ht="24.75" hidden="false" customHeight="true" outlineLevel="0" collapsed="false">
      <c r="A49" s="145"/>
      <c r="B49" s="145"/>
      <c r="C49" s="186"/>
      <c r="D49" s="186"/>
      <c r="E49" s="186"/>
      <c r="F49" s="186"/>
      <c r="G49" s="186"/>
      <c r="H49" s="17"/>
      <c r="I49" s="141"/>
      <c r="J49" s="141"/>
      <c r="K49" s="141"/>
      <c r="L49" s="141"/>
      <c r="M49" s="141"/>
      <c r="N49" s="141"/>
      <c r="O49" s="141"/>
      <c r="P49" s="141"/>
      <c r="Q49" s="141"/>
      <c r="R49" s="141"/>
    </row>
    <row r="50" s="1" customFormat="true" ht="24" hidden="false" customHeight="true" outlineLevel="0" collapsed="false">
      <c r="A50" s="169" t="n">
        <v>1</v>
      </c>
      <c r="B50" s="170" t="s">
        <v>241</v>
      </c>
      <c r="C50" s="170"/>
      <c r="D50" s="170"/>
      <c r="E50" s="170"/>
      <c r="F50" s="171" t="s">
        <v>242</v>
      </c>
      <c r="G50" s="171"/>
      <c r="H50" s="17" t="s">
        <v>243</v>
      </c>
      <c r="R50" s="187"/>
    </row>
    <row r="51" s="1" customFormat="true" ht="24" hidden="false" customHeight="true" outlineLevel="0" collapsed="false">
      <c r="A51" s="169" t="n">
        <v>2</v>
      </c>
      <c r="B51" s="170" t="s">
        <v>244</v>
      </c>
      <c r="C51" s="170"/>
      <c r="D51" s="170"/>
      <c r="E51" s="170"/>
      <c r="F51" s="170"/>
      <c r="G51" s="157" t="n">
        <v>0.076</v>
      </c>
      <c r="H51" s="17" t="s">
        <v>245</v>
      </c>
    </row>
    <row r="52" s="1" customFormat="true" ht="24" hidden="false" customHeight="true" outlineLevel="0" collapsed="false">
      <c r="A52" s="169" t="n">
        <v>3</v>
      </c>
      <c r="B52" s="170" t="s">
        <v>246</v>
      </c>
      <c r="C52" s="170"/>
      <c r="D52" s="170"/>
      <c r="E52" s="170"/>
      <c r="F52" s="170"/>
      <c r="G52" s="157" t="n">
        <v>0.0165</v>
      </c>
      <c r="H52" s="17" t="s">
        <v>245</v>
      </c>
    </row>
    <row r="53" s="1" customFormat="true" ht="24" hidden="false" customHeight="true" outlineLevel="0" collapsed="false">
      <c r="A53" s="169" t="n">
        <v>4</v>
      </c>
      <c r="B53" s="170" t="s">
        <v>247</v>
      </c>
      <c r="C53" s="170"/>
      <c r="D53" s="170"/>
      <c r="E53" s="170"/>
      <c r="F53" s="170"/>
      <c r="G53" s="157" t="n">
        <v>0.05</v>
      </c>
      <c r="H53" s="17" t="s">
        <v>248</v>
      </c>
    </row>
    <row r="54" s="1" customFormat="true" ht="24" hidden="false" customHeight="true" outlineLevel="0" collapsed="false">
      <c r="A54" s="169" t="n">
        <v>5</v>
      </c>
      <c r="B54" s="185" t="s">
        <v>233</v>
      </c>
      <c r="C54" s="185"/>
      <c r="D54" s="185"/>
      <c r="E54" s="185"/>
      <c r="F54" s="185"/>
      <c r="G54" s="157" t="n">
        <v>0</v>
      </c>
      <c r="H54" s="17" t="s">
        <v>249</v>
      </c>
    </row>
    <row r="55" s="1" customFormat="true" ht="21.75" hidden="false" customHeight="true" outlineLevel="0" collapsed="false">
      <c r="A55" s="169" t="n">
        <v>6</v>
      </c>
      <c r="B55" s="170" t="s">
        <v>250</v>
      </c>
      <c r="C55" s="170"/>
      <c r="D55" s="170"/>
      <c r="E55" s="170"/>
      <c r="F55" s="170"/>
      <c r="G55" s="153" t="n">
        <f aca="false">SUM(G51:G54)</f>
        <v>0.1425</v>
      </c>
      <c r="H55" s="17"/>
    </row>
    <row r="56" customFormat="false" ht="12.75" hidden="false" customHeight="true" outlineLevel="0" collapsed="false"/>
    <row r="57" s="1" customFormat="true" ht="14.25" hidden="false" customHeight="false" outlineLevel="0" collapsed="false"/>
    <row r="59" customFormat="false" ht="66.75" hidden="true" customHeight="true" outlineLevel="0" collapsed="false">
      <c r="A59" s="145" t="s">
        <v>251</v>
      </c>
      <c r="B59" s="145"/>
      <c r="C59" s="145"/>
      <c r="D59" s="145"/>
      <c r="E59" s="145"/>
      <c r="F59" s="145"/>
      <c r="G59" s="145"/>
      <c r="H59" s="145"/>
      <c r="I59" s="168" t="s">
        <v>252</v>
      </c>
      <c r="J59" s="145" t="s">
        <v>253</v>
      </c>
      <c r="K59" s="168" t="s">
        <v>254</v>
      </c>
      <c r="L59" s="168" t="s">
        <v>252</v>
      </c>
      <c r="M59" s="168" t="s">
        <v>255</v>
      </c>
      <c r="N59" s="145" t="s">
        <v>256</v>
      </c>
      <c r="O59" s="145"/>
      <c r="P59" s="145" t="s">
        <v>257</v>
      </c>
      <c r="Q59" s="145"/>
      <c r="R59" s="145" t="s">
        <v>258</v>
      </c>
    </row>
    <row r="60" customFormat="false" ht="15" hidden="true" customHeight="true" outlineLevel="0" collapsed="false">
      <c r="A60" s="169" t="s">
        <v>259</v>
      </c>
      <c r="B60" s="169"/>
      <c r="C60" s="169" t="s">
        <v>260</v>
      </c>
      <c r="D60" s="188" t="n">
        <f aca="false">IPCA!G23</f>
        <v>0</v>
      </c>
      <c r="E60" s="170" t="s">
        <v>261</v>
      </c>
      <c r="F60" s="170"/>
      <c r="G60" s="170"/>
      <c r="H60" s="170"/>
      <c r="I60" s="189" t="s">
        <v>262</v>
      </c>
      <c r="J60" s="189" t="s">
        <v>262</v>
      </c>
      <c r="K60" s="189" t="s">
        <v>262</v>
      </c>
      <c r="L60" s="189" t="s">
        <v>262</v>
      </c>
      <c r="M60" s="189" t="s">
        <v>262</v>
      </c>
      <c r="N60" s="190" t="n">
        <f aca="false">ROUND((100%+D60),2)</f>
        <v>1</v>
      </c>
      <c r="O60" s="190"/>
      <c r="P60" s="191"/>
      <c r="Q60" s="191"/>
      <c r="R60" s="192"/>
    </row>
    <row r="61" customFormat="false" ht="15" hidden="true" customHeight="true" outlineLevel="0" collapsed="false">
      <c r="A61" s="169" t="s">
        <v>263</v>
      </c>
      <c r="B61" s="169"/>
      <c r="C61" s="169" t="s">
        <v>260</v>
      </c>
      <c r="D61" s="188" t="n">
        <f aca="false">IPCA!N23</f>
        <v>0</v>
      </c>
      <c r="E61" s="170" t="s">
        <v>261</v>
      </c>
      <c r="F61" s="170"/>
      <c r="G61" s="170"/>
      <c r="H61" s="170"/>
      <c r="I61" s="189" t="s">
        <v>262</v>
      </c>
      <c r="J61" s="189" t="s">
        <v>262</v>
      </c>
      <c r="K61" s="189" t="s">
        <v>262</v>
      </c>
      <c r="L61" s="189" t="s">
        <v>262</v>
      </c>
      <c r="M61" s="189" t="s">
        <v>262</v>
      </c>
      <c r="N61" s="190" t="n">
        <f aca="false">ROUND((100%+D61),2)</f>
        <v>1</v>
      </c>
      <c r="O61" s="190"/>
      <c r="P61" s="191"/>
      <c r="Q61" s="191"/>
      <c r="R61" s="192"/>
    </row>
    <row r="62" customFormat="false" ht="15" hidden="true" customHeight="true" outlineLevel="0" collapsed="false">
      <c r="A62" s="169" t="s">
        <v>264</v>
      </c>
      <c r="B62" s="169"/>
      <c r="C62" s="169" t="s">
        <v>260</v>
      </c>
      <c r="D62" s="188" t="n">
        <f aca="false">IPCA!U23</f>
        <v>0</v>
      </c>
      <c r="E62" s="170" t="s">
        <v>261</v>
      </c>
      <c r="F62" s="170"/>
      <c r="G62" s="170"/>
      <c r="H62" s="170"/>
      <c r="I62" s="189" t="s">
        <v>262</v>
      </c>
      <c r="J62" s="189" t="s">
        <v>262</v>
      </c>
      <c r="K62" s="189" t="s">
        <v>262</v>
      </c>
      <c r="L62" s="189" t="s">
        <v>262</v>
      </c>
      <c r="M62" s="189" t="s">
        <v>262</v>
      </c>
      <c r="N62" s="190" t="n">
        <f aca="false">ROUND((100%+D62),2)</f>
        <v>1</v>
      </c>
      <c r="O62" s="190"/>
      <c r="P62" s="191"/>
      <c r="Q62" s="191"/>
      <c r="R62" s="192"/>
    </row>
    <row r="63" customFormat="false" ht="15" hidden="true" customHeight="true" outlineLevel="0" collapsed="false">
      <c r="A63" s="169" t="s">
        <v>265</v>
      </c>
      <c r="B63" s="169"/>
      <c r="C63" s="169" t="s">
        <v>260</v>
      </c>
      <c r="D63" s="188" t="n">
        <f aca="false">IPCA!AB23</f>
        <v>0</v>
      </c>
      <c r="E63" s="170" t="s">
        <v>261</v>
      </c>
      <c r="F63" s="170"/>
      <c r="G63" s="170"/>
      <c r="H63" s="170"/>
      <c r="I63" s="189" t="s">
        <v>262</v>
      </c>
      <c r="J63" s="189" t="s">
        <v>262</v>
      </c>
      <c r="K63" s="189" t="s">
        <v>262</v>
      </c>
      <c r="L63" s="189" t="s">
        <v>262</v>
      </c>
      <c r="M63" s="189" t="s">
        <v>262</v>
      </c>
      <c r="N63" s="190" t="n">
        <f aca="false">ROUND((100%+D63),2)</f>
        <v>1</v>
      </c>
      <c r="O63" s="190"/>
      <c r="P63" s="191"/>
      <c r="Q63" s="191"/>
      <c r="R63" s="192"/>
    </row>
    <row r="64" customFormat="false" ht="15" hidden="true" customHeight="true" outlineLevel="0" collapsed="false">
      <c r="A64" s="169" t="s">
        <v>266</v>
      </c>
      <c r="B64" s="169"/>
      <c r="C64" s="169" t="s">
        <v>260</v>
      </c>
      <c r="D64" s="188" t="n">
        <f aca="false">IPCA!AI23</f>
        <v>0</v>
      </c>
      <c r="E64" s="170" t="s">
        <v>261</v>
      </c>
      <c r="F64" s="170"/>
      <c r="G64" s="170"/>
      <c r="H64" s="170"/>
      <c r="I64" s="189" t="s">
        <v>262</v>
      </c>
      <c r="J64" s="189" t="s">
        <v>262</v>
      </c>
      <c r="K64" s="189" t="s">
        <v>262</v>
      </c>
      <c r="L64" s="189" t="s">
        <v>262</v>
      </c>
      <c r="M64" s="189" t="s">
        <v>262</v>
      </c>
      <c r="N64" s="190" t="n">
        <f aca="false">ROUND((100%+D64),2)</f>
        <v>1</v>
      </c>
      <c r="O64" s="190"/>
      <c r="P64" s="191"/>
      <c r="Q64" s="191"/>
      <c r="R64" s="192"/>
    </row>
    <row r="65" customFormat="false" ht="14.25" hidden="true" customHeight="false" outlineLevel="0" collapsed="false">
      <c r="B65" s="193"/>
      <c r="C65" s="193"/>
      <c r="D65" s="193"/>
      <c r="E65" s="193"/>
    </row>
    <row r="66" customFormat="false" ht="30" hidden="true" customHeight="true" outlineLevel="0" collapsed="false">
      <c r="A66" s="145" t="s">
        <v>267</v>
      </c>
      <c r="B66" s="145"/>
      <c r="C66" s="145"/>
      <c r="D66" s="145" t="s">
        <v>268</v>
      </c>
      <c r="E66" s="193"/>
    </row>
    <row r="67" customFormat="false" ht="15.75" hidden="true" customHeight="true" outlineLevel="0" collapsed="false">
      <c r="A67" s="145"/>
      <c r="B67" s="145"/>
      <c r="C67" s="145"/>
      <c r="D67" s="189" t="s">
        <v>269</v>
      </c>
      <c r="E67" s="193"/>
    </row>
    <row r="68" customFormat="false" ht="30" hidden="true" customHeight="true" outlineLevel="0" collapsed="false">
      <c r="A68" s="145" t="s">
        <v>270</v>
      </c>
      <c r="B68" s="145"/>
      <c r="C68" s="145"/>
      <c r="D68" s="145" t="s">
        <v>268</v>
      </c>
      <c r="E68" s="193"/>
    </row>
    <row r="69" customFormat="false" ht="15.75" hidden="true" customHeight="true" outlineLevel="0" collapsed="false">
      <c r="A69" s="145"/>
      <c r="B69" s="145"/>
      <c r="C69" s="145"/>
      <c r="D69" s="189" t="s">
        <v>269</v>
      </c>
      <c r="E69" s="193"/>
    </row>
    <row r="70" customFormat="false" ht="30" hidden="true" customHeight="true" outlineLevel="0" collapsed="false">
      <c r="A70" s="145" t="s">
        <v>271</v>
      </c>
      <c r="B70" s="145"/>
      <c r="C70" s="145"/>
      <c r="D70" s="145" t="s">
        <v>268</v>
      </c>
      <c r="E70" s="193"/>
    </row>
    <row r="71" customFormat="false" ht="15.75" hidden="true" customHeight="true" outlineLevel="0" collapsed="false">
      <c r="A71" s="145"/>
      <c r="B71" s="145"/>
      <c r="C71" s="145"/>
      <c r="D71" s="189" t="s">
        <v>269</v>
      </c>
      <c r="E71" s="193"/>
    </row>
    <row r="72" customFormat="false" ht="42.75" hidden="true" customHeight="true" outlineLevel="0" collapsed="false">
      <c r="A72" s="145" t="s">
        <v>272</v>
      </c>
      <c r="B72" s="145"/>
      <c r="C72" s="145"/>
      <c r="D72" s="145" t="s">
        <v>268</v>
      </c>
      <c r="E72" s="194" t="s">
        <v>273</v>
      </c>
      <c r="F72" s="145" t="s">
        <v>274</v>
      </c>
      <c r="G72" s="145" t="s">
        <v>275</v>
      </c>
      <c r="H72" s="145" t="s">
        <v>276</v>
      </c>
      <c r="I72" s="145" t="s">
        <v>277</v>
      </c>
      <c r="J72" s="145" t="s">
        <v>278</v>
      </c>
      <c r="K72" s="193"/>
    </row>
    <row r="73" customFormat="false" ht="15.75" hidden="true" customHeight="true" outlineLevel="0" collapsed="false">
      <c r="A73" s="145"/>
      <c r="B73" s="145"/>
      <c r="C73" s="145"/>
      <c r="D73" s="189" t="s">
        <v>269</v>
      </c>
      <c r="E73" s="189" t="n">
        <v>1.55</v>
      </c>
      <c r="F73" s="169" t="n">
        <f aca="false">ROUND(IF(Dados!$M$60="SIM",E73*Dados!$N$60,E73),2)</f>
        <v>1.55</v>
      </c>
      <c r="G73" s="169" t="n">
        <f aca="false">ROUND(IF(Dados!$M$61="SIM",F73*Dados!$N$61,F73),2)</f>
        <v>1.55</v>
      </c>
      <c r="H73" s="169" t="n">
        <f aca="false">ROUND(IF(Dados!$M$62="SIM",G73*Dados!$N$62,G73),2)</f>
        <v>1.55</v>
      </c>
      <c r="I73" s="169" t="n">
        <f aca="false">ROUND(IF(Dados!$M$63="SIM",H73*Dados!$N$63,H73),2)</f>
        <v>1.55</v>
      </c>
      <c r="J73" s="169" t="n">
        <f aca="false">ROUND(IF(Dados!$M$64="SIM",I73*Dados!$N$64,I73),2)</f>
        <v>1.55</v>
      </c>
    </row>
    <row r="74" customFormat="false" ht="14.25" hidden="true" customHeight="false" outlineLevel="0" collapsed="false">
      <c r="E74" s="193"/>
    </row>
    <row r="75" customFormat="false" ht="15.75" hidden="true" customHeight="true" outlineLevel="0" collapsed="false">
      <c r="A75" s="195" t="s">
        <v>279</v>
      </c>
      <c r="B75" s="195"/>
      <c r="C75" s="195"/>
      <c r="D75" s="195"/>
      <c r="E75" s="195"/>
      <c r="F75" s="195"/>
      <c r="G75" s="195"/>
      <c r="H75" s="195"/>
    </row>
    <row r="76" customFormat="false" ht="14.25" hidden="true" customHeight="false" outlineLevel="0" collapsed="false">
      <c r="A76" s="196" t="s">
        <v>280</v>
      </c>
      <c r="B76" s="196"/>
      <c r="C76" s="196"/>
      <c r="D76" s="196"/>
      <c r="E76" s="196"/>
      <c r="F76" s="197" t="s">
        <v>281</v>
      </c>
      <c r="G76" s="197"/>
      <c r="H76" s="198"/>
    </row>
    <row r="77" customFormat="false" ht="43.5" hidden="true" customHeight="true" outlineLevel="0" collapsed="false">
      <c r="A77" s="199" t="s">
        <v>282</v>
      </c>
      <c r="B77" s="199"/>
      <c r="C77" s="199"/>
      <c r="D77" s="199"/>
      <c r="E77" s="199"/>
      <c r="F77" s="199"/>
      <c r="G77" s="199"/>
      <c r="H77" s="199"/>
    </row>
    <row r="78" customFormat="false" ht="14.25" hidden="true" customHeight="false" outlineLevel="0" collapsed="false">
      <c r="A78" s="196" t="s">
        <v>283</v>
      </c>
      <c r="B78" s="196"/>
      <c r="C78" s="196"/>
      <c r="D78" s="196"/>
      <c r="E78" s="196"/>
      <c r="F78" s="197" t="s">
        <v>281</v>
      </c>
      <c r="G78" s="197"/>
      <c r="H78" s="198"/>
    </row>
    <row r="79" customFormat="false" ht="43.5" hidden="true" customHeight="true" outlineLevel="0" collapsed="false">
      <c r="A79" s="200" t="s">
        <v>284</v>
      </c>
      <c r="B79" s="200"/>
      <c r="C79" s="200"/>
      <c r="D79" s="200"/>
      <c r="E79" s="200"/>
      <c r="F79" s="200"/>
      <c r="G79" s="200"/>
      <c r="H79" s="200"/>
    </row>
    <row r="80" customFormat="false" ht="14.25" hidden="true" customHeight="false" outlineLevel="0" collapsed="false">
      <c r="A80" s="196" t="s">
        <v>285</v>
      </c>
      <c r="B80" s="196"/>
      <c r="C80" s="196"/>
      <c r="D80" s="196"/>
      <c r="E80" s="196"/>
      <c r="F80" s="197" t="s">
        <v>281</v>
      </c>
      <c r="G80" s="197"/>
      <c r="H80" s="198"/>
    </row>
    <row r="81" customFormat="false" ht="43.5" hidden="true" customHeight="true" outlineLevel="0" collapsed="false">
      <c r="A81" s="199" t="s">
        <v>286</v>
      </c>
      <c r="B81" s="199"/>
      <c r="C81" s="199"/>
      <c r="D81" s="199"/>
      <c r="E81" s="199"/>
      <c r="F81" s="199"/>
      <c r="G81" s="199"/>
      <c r="H81" s="199"/>
    </row>
    <row r="82" customFormat="false" ht="14.25" hidden="true" customHeight="false" outlineLevel="0" collapsed="false">
      <c r="A82" s="201" t="s">
        <v>287</v>
      </c>
      <c r="B82" s="201"/>
      <c r="C82" s="201"/>
      <c r="D82" s="201"/>
      <c r="E82" s="201"/>
      <c r="F82" s="197" t="s">
        <v>281</v>
      </c>
      <c r="G82" s="197"/>
      <c r="H82" s="202"/>
    </row>
    <row r="83" customFormat="false" ht="43.5" hidden="true" customHeight="true" outlineLevel="0" collapsed="false">
      <c r="A83" s="199" t="s">
        <v>288</v>
      </c>
      <c r="B83" s="199"/>
      <c r="C83" s="199"/>
      <c r="D83" s="199"/>
      <c r="E83" s="199"/>
      <c r="F83" s="199"/>
      <c r="G83" s="199"/>
      <c r="H83" s="199"/>
    </row>
    <row r="84" customFormat="false" ht="14.25" hidden="true" customHeight="false" outlineLevel="0" collapsed="false"/>
    <row r="85" customFormat="false" ht="14.25" hidden="true" customHeight="false" outlineLevel="0" collapsed="false"/>
    <row r="86" customFormat="false" ht="14.25" hidden="true" customHeight="false" outlineLevel="0" collapsed="false"/>
    <row r="87" customFormat="false" ht="14.25" hidden="true" customHeight="false" outlineLevel="0" collapsed="false"/>
    <row r="88" customFormat="false" ht="14.25" hidden="true" customHeight="false" outlineLevel="0" collapsed="false"/>
    <row r="89" customFormat="false" ht="14.25" hidden="true" customHeight="false" outlineLevel="0" collapsed="false"/>
    <row r="90" customFormat="false" ht="14.25" hidden="true" customHeight="false" outlineLevel="0" collapsed="false"/>
    <row r="91" customFormat="false" ht="14.25" hidden="true" customHeight="false" outlineLevel="0" collapsed="false"/>
    <row r="92" customFormat="false" ht="14.25" hidden="true" customHeight="false" outlineLevel="0" collapsed="false"/>
    <row r="93" customFormat="false" ht="14.25" hidden="true" customHeight="false" outlineLevel="0" collapsed="false"/>
    <row r="94" customFormat="false" ht="14.25" hidden="true" customHeight="false" outlineLevel="0" collapsed="false"/>
    <row r="95" customFormat="false" ht="14.25" hidden="true" customHeight="false" outlineLevel="0" collapsed="false"/>
    <row r="96" customFormat="false" ht="14.25" hidden="true" customHeight="false" outlineLevel="0" collapsed="false"/>
    <row r="97" customFormat="false" ht="14.25" hidden="true" customHeight="false" outlineLevel="0" collapsed="false"/>
    <row r="98" customFormat="false" ht="14.25" hidden="true" customHeight="false" outlineLevel="0" collapsed="false"/>
    <row r="99" customFormat="false" ht="14.25" hidden="true" customHeight="false" outlineLevel="0" collapsed="false"/>
    <row r="100" customFormat="false" ht="14.25" hidden="true" customHeight="false" outlineLevel="0" collapsed="false"/>
    <row r="101" customFormat="false" ht="14.25" hidden="true" customHeight="false" outlineLevel="0" collapsed="false"/>
    <row r="102" customFormat="false" ht="14.25" hidden="true" customHeight="false" outlineLevel="0" collapsed="false"/>
    <row r="103" customFormat="false" ht="14.25" hidden="true" customHeight="false" outlineLevel="0" collapsed="false"/>
    <row r="104" customFormat="false" ht="14.25" hidden="true" customHeight="false" outlineLevel="0" collapsed="false"/>
    <row r="105" customFormat="false" ht="14.25" hidden="true" customHeight="false" outlineLevel="0" collapsed="false"/>
    <row r="106" customFormat="false" ht="14.25" hidden="true" customHeight="false" outlineLevel="0" collapsed="false"/>
    <row r="107" customFormat="false" ht="14.25" hidden="true" customHeight="false" outlineLevel="0" collapsed="false"/>
    <row r="108" customFormat="false" ht="14.25" hidden="true" customHeight="false" outlineLevel="0" collapsed="false"/>
    <row r="109" customFormat="false" ht="14.25" hidden="true" customHeight="false" outlineLevel="0" collapsed="false"/>
    <row r="110" customFormat="false" ht="14.25" hidden="true" customHeight="false" outlineLevel="0" collapsed="false"/>
    <row r="111" customFormat="false" ht="14.25" hidden="true" customHeight="false" outlineLevel="0" collapsed="false"/>
    <row r="112" customFormat="false" ht="14.25" hidden="true" customHeight="false" outlineLevel="0" collapsed="false"/>
    <row r="113" customFormat="false" ht="14.25" hidden="true" customHeight="false" outlineLevel="0" collapsed="false"/>
    <row r="114" customFormat="false" ht="14.25" hidden="true" customHeight="false" outlineLevel="0" collapsed="false"/>
    <row r="115" customFormat="false" ht="14.25" hidden="true" customHeight="false" outlineLevel="0" collapsed="false"/>
    <row r="116" customFormat="false" ht="14.25" hidden="true" customHeight="false" outlineLevel="0" collapsed="false"/>
    <row r="117" customFormat="false" ht="14.25" hidden="true" customHeight="false" outlineLevel="0" collapsed="false"/>
    <row r="118" customFormat="false" ht="14.25" hidden="true" customHeight="false" outlineLevel="0" collapsed="false"/>
    <row r="119" customFormat="false" ht="14.25" hidden="true" customHeight="false" outlineLevel="0" collapsed="false"/>
    <row r="120" customFormat="false" ht="14.25" hidden="true" customHeight="false" outlineLevel="0" collapsed="false"/>
    <row r="121" customFormat="false" ht="14.25" hidden="true" customHeight="false" outlineLevel="0" collapsed="false"/>
    <row r="122" customFormat="false" ht="14.25" hidden="true" customHeight="false" outlineLevel="0" collapsed="false"/>
    <row r="123" customFormat="false" ht="14.25" hidden="true" customHeight="false" outlineLevel="0" collapsed="false"/>
    <row r="124" customFormat="false" ht="14.25" hidden="true" customHeight="false" outlineLevel="0" collapsed="false"/>
    <row r="125" customFormat="false" ht="14.25" hidden="true" customHeight="false" outlineLevel="0" collapsed="false"/>
    <row r="126" customFormat="false" ht="14.25" hidden="true" customHeight="false" outlineLevel="0" collapsed="false"/>
    <row r="127" customFormat="false" ht="14.25" hidden="true" customHeight="false" outlineLevel="0" collapsed="false"/>
    <row r="128" customFormat="false" ht="14.25" hidden="true" customHeight="false" outlineLevel="0" collapsed="false"/>
    <row r="129" customFormat="false" ht="14.25" hidden="true" customHeight="false" outlineLevel="0" collapsed="false"/>
    <row r="130" customFormat="false" ht="14.25" hidden="true" customHeight="false" outlineLevel="0" collapsed="false"/>
    <row r="131" customFormat="false" ht="14.25" hidden="true" customHeight="false" outlineLevel="0" collapsed="false"/>
    <row r="132" customFormat="false" ht="14.25" hidden="true" customHeight="false" outlineLevel="0" collapsed="false"/>
    <row r="133" customFormat="false" ht="14.25" hidden="true" customHeight="false" outlineLevel="0" collapsed="false"/>
    <row r="134" customFormat="false" ht="14.25" hidden="true" customHeight="false" outlineLevel="0" collapsed="false"/>
    <row r="135" customFormat="false" ht="14.25" hidden="true" customHeight="false" outlineLevel="0" collapsed="false"/>
    <row r="136" customFormat="false" ht="14.25" hidden="true" customHeight="false" outlineLevel="0" collapsed="false"/>
    <row r="137" customFormat="false" ht="14.25" hidden="true" customHeight="false" outlineLevel="0" collapsed="false"/>
    <row r="138" customFormat="false" ht="14.25" hidden="true" customHeight="false" outlineLevel="0" collapsed="false"/>
    <row r="139" customFormat="false" ht="14.25" hidden="true" customHeight="false" outlineLevel="0" collapsed="false"/>
    <row r="140" customFormat="false" ht="14.25" hidden="true" customHeight="false" outlineLevel="0" collapsed="false"/>
    <row r="141" customFormat="false" ht="14.25" hidden="true" customHeight="false" outlineLevel="0" collapsed="false"/>
    <row r="142" customFormat="false" ht="14.25" hidden="true" customHeight="false" outlineLevel="0" collapsed="false"/>
    <row r="143" customFormat="false" ht="14.25" hidden="true" customHeight="false" outlineLevel="0" collapsed="false"/>
    <row r="144" customFormat="false" ht="14.25" hidden="true" customHeight="false" outlineLevel="0" collapsed="false"/>
    <row r="145" customFormat="false" ht="14.25" hidden="true" customHeight="false" outlineLevel="0" collapsed="false"/>
    <row r="146" customFormat="false" ht="14.25" hidden="true" customHeight="false" outlineLevel="0" collapsed="false"/>
    <row r="147" customFormat="false" ht="14.25" hidden="true" customHeight="false" outlineLevel="0" collapsed="false"/>
    <row r="148" customFormat="false" ht="14.25" hidden="true" customHeight="false" outlineLevel="0" collapsed="false"/>
    <row r="149" customFormat="false" ht="14.25" hidden="true" customHeight="false" outlineLevel="0" collapsed="false"/>
    <row r="150" customFormat="false" ht="14.25" hidden="true" customHeight="false" outlineLevel="0" collapsed="false"/>
    <row r="151" customFormat="false" ht="14.25" hidden="true" customHeight="false" outlineLevel="0" collapsed="false"/>
    <row r="152" customFormat="false" ht="14.25" hidden="true" customHeight="false" outlineLevel="0" collapsed="false"/>
    <row r="153" customFormat="false" ht="14.25" hidden="true" customHeight="false" outlineLevel="0" collapsed="false"/>
    <row r="154" customFormat="false" ht="14.25" hidden="true" customHeight="false" outlineLevel="0" collapsed="false"/>
    <row r="155" customFormat="false" ht="14.25" hidden="true" customHeight="false" outlineLevel="0" collapsed="false"/>
    <row r="156" customFormat="false" ht="14.25" hidden="true" customHeight="false" outlineLevel="0" collapsed="false"/>
    <row r="157" customFormat="false" ht="14.25" hidden="true" customHeight="false" outlineLevel="0" collapsed="false"/>
    <row r="158" customFormat="false" ht="14.25" hidden="true" customHeight="false" outlineLevel="0" collapsed="false"/>
    <row r="159" customFormat="false" ht="14.25" hidden="true" customHeight="false" outlineLevel="0" collapsed="false"/>
    <row r="160" customFormat="false" ht="14.25" hidden="true" customHeight="false" outlineLevel="0" collapsed="false"/>
    <row r="161" customFormat="false" ht="14.25" hidden="true" customHeight="false" outlineLevel="0" collapsed="false"/>
    <row r="162" customFormat="false" ht="14.25" hidden="true" customHeight="false" outlineLevel="0" collapsed="false"/>
    <row r="163" customFormat="false" ht="14.25" hidden="true" customHeight="false" outlineLevel="0" collapsed="false"/>
    <row r="164" customFormat="false" ht="14.25" hidden="true" customHeight="false" outlineLevel="0" collapsed="false"/>
    <row r="165" customFormat="false" ht="14.25" hidden="true" customHeight="false" outlineLevel="0" collapsed="false"/>
    <row r="166" customFormat="false" ht="14.25" hidden="true" customHeight="false" outlineLevel="0" collapsed="false"/>
    <row r="167" customFormat="false" ht="14.25" hidden="true" customHeight="false" outlineLevel="0" collapsed="false"/>
    <row r="168" customFormat="false" ht="14.25" hidden="true" customHeight="false" outlineLevel="0" collapsed="false"/>
    <row r="169" customFormat="false" ht="14.25" hidden="true" customHeight="false" outlineLevel="0" collapsed="false"/>
    <row r="170" customFormat="false" ht="14.25" hidden="true" customHeight="false" outlineLevel="0" collapsed="false"/>
    <row r="171" customFormat="false" ht="14.25" hidden="true" customHeight="false" outlineLevel="0" collapsed="false"/>
    <row r="172" customFormat="false" ht="14.25" hidden="true" customHeight="false" outlineLevel="0" collapsed="false"/>
    <row r="173" customFormat="false" ht="14.25" hidden="true" customHeight="false" outlineLevel="0" collapsed="false"/>
    <row r="174" customFormat="false" ht="14.25" hidden="true" customHeight="false" outlineLevel="0" collapsed="false"/>
    <row r="175" customFormat="false" ht="14.25" hidden="true" customHeight="false" outlineLevel="0" collapsed="false"/>
    <row r="176" customFormat="false" ht="14.25" hidden="true" customHeight="false" outlineLevel="0" collapsed="false"/>
    <row r="177" customFormat="false" ht="14.25" hidden="true" customHeight="false" outlineLevel="0" collapsed="false"/>
    <row r="178" customFormat="false" ht="14.25" hidden="true" customHeight="false" outlineLevel="0" collapsed="false"/>
    <row r="179" customFormat="false" ht="14.25" hidden="true" customHeight="false" outlineLevel="0" collapsed="false"/>
    <row r="180" customFormat="false" ht="14.25" hidden="true" customHeight="false" outlineLevel="0" collapsed="false"/>
    <row r="181" customFormat="false" ht="14.25" hidden="true" customHeight="false" outlineLevel="0" collapsed="false"/>
    <row r="182" customFormat="false" ht="14.25" hidden="true" customHeight="false" outlineLevel="0" collapsed="false"/>
    <row r="183" customFormat="false" ht="14.25" hidden="true" customHeight="false" outlineLevel="0" collapsed="false"/>
    <row r="184" customFormat="false" ht="14.25" hidden="true" customHeight="false" outlineLevel="0" collapsed="false"/>
    <row r="185" customFormat="false" ht="14.25" hidden="true" customHeight="false" outlineLevel="0" collapsed="false"/>
    <row r="186" customFormat="false" ht="14.25" hidden="true" customHeight="false" outlineLevel="0" collapsed="false"/>
    <row r="187" customFormat="false" ht="14.25" hidden="true" customHeight="false" outlineLevel="0" collapsed="false"/>
    <row r="188" customFormat="false" ht="14.25" hidden="true" customHeight="false" outlineLevel="0" collapsed="false"/>
    <row r="189" customFormat="false" ht="14.25" hidden="true" customHeight="false" outlineLevel="0" collapsed="false"/>
    <row r="190" customFormat="false" ht="14.25" hidden="true" customHeight="false" outlineLevel="0" collapsed="false"/>
    <row r="191" customFormat="false" ht="14.25" hidden="true" customHeight="false" outlineLevel="0" collapsed="false"/>
    <row r="192" customFormat="false" ht="14.25" hidden="true" customHeight="false" outlineLevel="0" collapsed="false"/>
    <row r="193" customFormat="false" ht="14.25" hidden="true" customHeight="false" outlineLevel="0" collapsed="false"/>
    <row r="194" customFormat="false" ht="14.25" hidden="true" customHeight="false" outlineLevel="0" collapsed="false"/>
    <row r="195" customFormat="false" ht="14.25" hidden="true" customHeight="false" outlineLevel="0" collapsed="false"/>
    <row r="196" customFormat="false" ht="14.25" hidden="true" customHeight="false" outlineLevel="0" collapsed="false"/>
    <row r="197" customFormat="false" ht="14.25" hidden="true" customHeight="false" outlineLevel="0" collapsed="false"/>
    <row r="198" customFormat="false" ht="14.25" hidden="true" customHeight="false" outlineLevel="0" collapsed="false"/>
    <row r="199" customFormat="false" ht="14.25" hidden="true" customHeight="false" outlineLevel="0" collapsed="false"/>
    <row r="200" customFormat="false" ht="14.25" hidden="true" customHeight="false" outlineLevel="0" collapsed="false"/>
    <row r="201" customFormat="false" ht="14.25" hidden="true" customHeight="false" outlineLevel="0" collapsed="false"/>
    <row r="202" customFormat="false" ht="14.25" hidden="true" customHeight="false" outlineLevel="0" collapsed="false"/>
    <row r="203" customFormat="false" ht="14.25" hidden="true" customHeight="false" outlineLevel="0" collapsed="false"/>
    <row r="204" customFormat="false" ht="14.25" hidden="true" customHeight="false" outlineLevel="0" collapsed="false"/>
    <row r="205" customFormat="false" ht="14.25" hidden="true" customHeight="false" outlineLevel="0" collapsed="false"/>
    <row r="206" customFormat="false" ht="14.25" hidden="true" customHeight="false" outlineLevel="0" collapsed="false"/>
  </sheetData>
  <sheetProtection algorithmName="SHA-512" hashValue="Glb00SbjI/P7rc9vcYWDCS21eSprWCglorlFBso4SjnWTF1uGGR4/1hLsMGcpQ9x9XgDz5KHHKpti6YFpsWBbw==" saltValue="AE7mvgJkA1XX6mcIHKKpuA==" spinCount="100000" sheet="true" objects="true" scenarios="true"/>
  <mergeCells count="96">
    <mergeCell ref="A5:A6"/>
    <mergeCell ref="B5:B6"/>
    <mergeCell ref="C5:C6"/>
    <mergeCell ref="D5:D6"/>
    <mergeCell ref="E5:E6"/>
    <mergeCell ref="F5:F6"/>
    <mergeCell ref="G5:G6"/>
    <mergeCell ref="H5:H6"/>
    <mergeCell ref="I5:I6"/>
    <mergeCell ref="J5:J6"/>
    <mergeCell ref="K5:K6"/>
    <mergeCell ref="L5:L6"/>
    <mergeCell ref="M5:M6"/>
    <mergeCell ref="S5:S6"/>
    <mergeCell ref="A7:A9"/>
    <mergeCell ref="A12:G12"/>
    <mergeCell ref="B13:D13"/>
    <mergeCell ref="E13:G13"/>
    <mergeCell ref="B14:D14"/>
    <mergeCell ref="E14:G14"/>
    <mergeCell ref="B15:D15"/>
    <mergeCell ref="E15:G15"/>
    <mergeCell ref="B16:D16"/>
    <mergeCell ref="E16:G16"/>
    <mergeCell ref="B17:D17"/>
    <mergeCell ref="E17:G17"/>
    <mergeCell ref="A19:G19"/>
    <mergeCell ref="B20:F20"/>
    <mergeCell ref="B22:F22"/>
    <mergeCell ref="B23:F23"/>
    <mergeCell ref="B24:F24"/>
    <mergeCell ref="A26:G26"/>
    <mergeCell ref="B27:F27"/>
    <mergeCell ref="A29:G29"/>
    <mergeCell ref="B30:F30"/>
    <mergeCell ref="B31:F31"/>
    <mergeCell ref="A32:A35"/>
    <mergeCell ref="B32:C35"/>
    <mergeCell ref="D32:F32"/>
    <mergeCell ref="D33:F33"/>
    <mergeCell ref="D34:F34"/>
    <mergeCell ref="D35:F35"/>
    <mergeCell ref="A36:A38"/>
    <mergeCell ref="B36:C38"/>
    <mergeCell ref="D36:F36"/>
    <mergeCell ref="D37:F37"/>
    <mergeCell ref="D38:F38"/>
    <mergeCell ref="B39:F39"/>
    <mergeCell ref="B40:F40"/>
    <mergeCell ref="A42:G42"/>
    <mergeCell ref="B43:F43"/>
    <mergeCell ref="B44:F44"/>
    <mergeCell ref="A46:G46"/>
    <mergeCell ref="A47:A49"/>
    <mergeCell ref="B47:G49"/>
    <mergeCell ref="B50:E50"/>
    <mergeCell ref="F50:G50"/>
    <mergeCell ref="B51:F51"/>
    <mergeCell ref="B52:F52"/>
    <mergeCell ref="B53:F53"/>
    <mergeCell ref="B54:F54"/>
    <mergeCell ref="B55:F55"/>
    <mergeCell ref="A59:H59"/>
    <mergeCell ref="N59:O59"/>
    <mergeCell ref="A60:B60"/>
    <mergeCell ref="E60:H60"/>
    <mergeCell ref="N60:O60"/>
    <mergeCell ref="A61:B61"/>
    <mergeCell ref="E61:H61"/>
    <mergeCell ref="N61:O61"/>
    <mergeCell ref="A62:B62"/>
    <mergeCell ref="E62:H62"/>
    <mergeCell ref="N62:O62"/>
    <mergeCell ref="A63:B63"/>
    <mergeCell ref="E63:H63"/>
    <mergeCell ref="N63:O63"/>
    <mergeCell ref="A64:B64"/>
    <mergeCell ref="E64:H64"/>
    <mergeCell ref="N64:O64"/>
    <mergeCell ref="A66:C67"/>
    <mergeCell ref="A68:C69"/>
    <mergeCell ref="A70:C71"/>
    <mergeCell ref="A72:C73"/>
    <mergeCell ref="A75:H75"/>
    <mergeCell ref="A76:E76"/>
    <mergeCell ref="F76:G76"/>
    <mergeCell ref="A77:H77"/>
    <mergeCell ref="A78:E78"/>
    <mergeCell ref="F78:G78"/>
    <mergeCell ref="A79:H79"/>
    <mergeCell ref="A80:E80"/>
    <mergeCell ref="F80:G80"/>
    <mergeCell ref="A81:H81"/>
    <mergeCell ref="A82:E82"/>
    <mergeCell ref="F82:G82"/>
    <mergeCell ref="A83:H83"/>
  </mergeCells>
  <dataValidations count="3">
    <dataValidation allowBlank="true" errorStyle="stop" operator="between" showDropDown="false" showErrorMessage="true" showInputMessage="true" sqref="F50" type="list">
      <formula1>"LUCRO REAL,LUCRO PRESUMIDO,SIMPLES NACIONAL,OUTRO"</formula1>
      <formula2>0</formula2>
    </dataValidation>
    <dataValidation allowBlank="true" errorStyle="stop" operator="between" showDropDown="false" showErrorMessage="true" showInputMessage="true" sqref="I60:M64" type="list">
      <formula1>"NÃO,SIM"</formula1>
      <formula2>0</formula2>
    </dataValidation>
    <dataValidation allowBlank="true" errorStyle="stop" operator="between" showDropDown="false" showErrorMessage="true" showInputMessage="true" sqref="D67 D69 D71 D73" type="list">
      <formula1>"INICIAL,1º IPCA,2º IPCA,3º IPCA,4º IPCA,5º IPCA"</formula1>
      <formula2>0</formula2>
    </dataValidation>
  </dataValidation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61"/>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6796875" defaultRowHeight="14.25" zeroHeight="false" outlineLevelRow="0" outlineLevelCol="0"/>
  <cols>
    <col collapsed="false" customWidth="true" hidden="false" outlineLevel="0" max="1" min="1" style="0" width="9"/>
    <col collapsed="false" customWidth="true" hidden="false" outlineLevel="0" max="2" min="2" style="0" width="55.56"/>
    <col collapsed="false" customWidth="true" hidden="false" outlineLevel="0" max="3" min="3" style="0" width="13.11"/>
    <col collapsed="false" customWidth="true" hidden="false" outlineLevel="0" max="4" min="4" style="0" width="4.88"/>
    <col collapsed="false" customWidth="true" hidden="false" outlineLevel="0" max="5" min="5" style="0" width="41.67"/>
    <col collapsed="false" customWidth="true" hidden="false" outlineLevel="0" max="8" min="6" style="0" width="11"/>
    <col collapsed="false" customWidth="true" hidden="false" outlineLevel="0" max="257" min="9" style="0" width="9"/>
    <col collapsed="false" customWidth="true" hidden="false" outlineLevel="0" max="258" min="258" style="0" width="55.56"/>
    <col collapsed="false" customWidth="true" hidden="false" outlineLevel="0" max="259" min="259" style="0" width="13.11"/>
    <col collapsed="false" customWidth="true" hidden="false" outlineLevel="0" max="260" min="260" style="0" width="9"/>
    <col collapsed="false" customWidth="true" hidden="false" outlineLevel="0" max="261" min="261" style="0" width="35.11"/>
    <col collapsed="false" customWidth="true" hidden="false" outlineLevel="0" max="264" min="262" style="0" width="11"/>
    <col collapsed="false" customWidth="true" hidden="false" outlineLevel="0" max="513" min="265" style="0" width="9"/>
    <col collapsed="false" customWidth="true" hidden="false" outlineLevel="0" max="514" min="514" style="0" width="55.56"/>
    <col collapsed="false" customWidth="true" hidden="false" outlineLevel="0" max="515" min="515" style="0" width="13.11"/>
    <col collapsed="false" customWidth="true" hidden="false" outlineLevel="0" max="516" min="516" style="0" width="9"/>
    <col collapsed="false" customWidth="true" hidden="false" outlineLevel="0" max="517" min="517" style="0" width="35.11"/>
    <col collapsed="false" customWidth="true" hidden="false" outlineLevel="0" max="520" min="518" style="0" width="11"/>
    <col collapsed="false" customWidth="true" hidden="false" outlineLevel="0" max="769" min="521" style="0" width="9"/>
    <col collapsed="false" customWidth="true" hidden="false" outlineLevel="0" max="770" min="770" style="0" width="55.56"/>
    <col collapsed="false" customWidth="true" hidden="false" outlineLevel="0" max="771" min="771" style="0" width="13.11"/>
    <col collapsed="false" customWidth="true" hidden="false" outlineLevel="0" max="772" min="772" style="0" width="9"/>
    <col collapsed="false" customWidth="true" hidden="false" outlineLevel="0" max="773" min="773" style="0" width="35.11"/>
    <col collapsed="false" customWidth="true" hidden="false" outlineLevel="0" max="776" min="774" style="0" width="11"/>
    <col collapsed="false" customWidth="true" hidden="false" outlineLevel="0" max="1025" min="777" style="0" width="9"/>
  </cols>
  <sheetData>
    <row r="1" customFormat="false" ht="14.25" hidden="false" customHeight="false" outlineLevel="0" collapsed="false">
      <c r="A1" s="203"/>
      <c r="B1" s="123" t="str">
        <f aca="false">INSTRUÇÕES!B1</f>
        <v>Tribunal Regional Federal da 6ª Região</v>
      </c>
      <c r="C1" s="204"/>
    </row>
    <row r="2" customFormat="false" ht="14.25" hidden="false" customHeight="false" outlineLevel="0" collapsed="false">
      <c r="A2" s="205"/>
      <c r="B2" s="125" t="str">
        <f aca="false">INSTRUÇÕES!B2</f>
        <v>Seção Judiciária de Minas Gerais</v>
      </c>
      <c r="C2" s="206"/>
    </row>
    <row r="3" customFormat="false" ht="14.25" hidden="false" customHeight="false" outlineLevel="0" collapsed="false">
      <c r="A3" s="207"/>
      <c r="B3" s="125" t="str">
        <f aca="false">INSTRUÇÕES!B3</f>
        <v>Subseção Judiciária de Poços de Caldas</v>
      </c>
      <c r="C3" s="206"/>
    </row>
    <row r="4" customFormat="false" ht="21.75" hidden="false" customHeight="true" outlineLevel="0" collapsed="false">
      <c r="A4" s="208" t="s">
        <v>289</v>
      </c>
      <c r="B4" s="208"/>
      <c r="C4" s="208"/>
    </row>
    <row r="5" customFormat="false" ht="21.75" hidden="false" customHeight="true" outlineLevel="0" collapsed="false">
      <c r="A5" s="208" t="s">
        <v>290</v>
      </c>
      <c r="B5" s="208"/>
      <c r="C5" s="208"/>
    </row>
    <row r="6" customFormat="false" ht="26.25" hidden="false" customHeight="true" outlineLevel="0" collapsed="false">
      <c r="A6" s="209" t="s">
        <v>291</v>
      </c>
      <c r="B6" s="209"/>
      <c r="C6" s="209"/>
    </row>
    <row r="7" customFormat="false" ht="14.25" hidden="false" customHeight="false" outlineLevel="0" collapsed="false">
      <c r="A7" s="210" t="s">
        <v>292</v>
      </c>
      <c r="B7" s="210"/>
      <c r="C7" s="210"/>
    </row>
    <row r="8" customFormat="false" ht="15.75" hidden="false" customHeight="true" outlineLevel="0" collapsed="false">
      <c r="A8" s="211" t="s">
        <v>54</v>
      </c>
      <c r="B8" s="212" t="s">
        <v>293</v>
      </c>
      <c r="C8" s="213" t="s">
        <v>294</v>
      </c>
    </row>
    <row r="9" customFormat="false" ht="15.75" hidden="false" customHeight="true" outlineLevel="0" collapsed="false">
      <c r="A9" s="214" t="s">
        <v>295</v>
      </c>
      <c r="B9" s="215" t="s">
        <v>296</v>
      </c>
      <c r="C9" s="215"/>
    </row>
    <row r="10" customFormat="false" ht="15.75" hidden="false" customHeight="true" outlineLevel="0" collapsed="false">
      <c r="A10" s="216" t="n">
        <v>1</v>
      </c>
      <c r="B10" s="217" t="s">
        <v>297</v>
      </c>
      <c r="C10" s="218" t="n">
        <v>0.2</v>
      </c>
    </row>
    <row r="11" customFormat="false" ht="15.75" hidden="false" customHeight="true" outlineLevel="0" collapsed="false">
      <c r="A11" s="216" t="n">
        <v>2</v>
      </c>
      <c r="B11" s="217" t="s">
        <v>298</v>
      </c>
      <c r="C11" s="218" t="n">
        <v>0.015</v>
      </c>
    </row>
    <row r="12" customFormat="false" ht="15.75" hidden="false" customHeight="true" outlineLevel="0" collapsed="false">
      <c r="A12" s="216" t="n">
        <v>3</v>
      </c>
      <c r="B12" s="217" t="s">
        <v>299</v>
      </c>
      <c r="C12" s="218" t="n">
        <v>0.01</v>
      </c>
    </row>
    <row r="13" customFormat="false" ht="15.75" hidden="false" customHeight="true" outlineLevel="0" collapsed="false">
      <c r="A13" s="216" t="n">
        <v>4</v>
      </c>
      <c r="B13" s="217" t="s">
        <v>300</v>
      </c>
      <c r="C13" s="218" t="n">
        <v>0.002</v>
      </c>
    </row>
    <row r="14" customFormat="false" ht="15.75" hidden="false" customHeight="true" outlineLevel="0" collapsed="false">
      <c r="A14" s="216" t="n">
        <v>5</v>
      </c>
      <c r="B14" s="217" t="s">
        <v>301</v>
      </c>
      <c r="C14" s="218" t="n">
        <v>0.025</v>
      </c>
    </row>
    <row r="15" customFormat="false" ht="15.75" hidden="false" customHeight="true" outlineLevel="0" collapsed="false">
      <c r="A15" s="216" t="n">
        <v>6</v>
      </c>
      <c r="B15" s="217" t="s">
        <v>302</v>
      </c>
      <c r="C15" s="218" t="n">
        <v>0.08</v>
      </c>
    </row>
    <row r="16" customFormat="false" ht="15.75" hidden="false" customHeight="true" outlineLevel="0" collapsed="false">
      <c r="A16" s="216" t="n">
        <v>7</v>
      </c>
      <c r="B16" s="217" t="s">
        <v>303</v>
      </c>
      <c r="C16" s="219" t="n">
        <f aca="false">Dados!G22</f>
        <v>0.06</v>
      </c>
      <c r="D16" s="220" t="s">
        <v>304</v>
      </c>
    </row>
    <row r="17" customFormat="false" ht="15.75" hidden="false" customHeight="true" outlineLevel="0" collapsed="false">
      <c r="A17" s="216" t="n">
        <v>8</v>
      </c>
      <c r="B17" s="217" t="s">
        <v>305</v>
      </c>
      <c r="C17" s="218" t="n">
        <v>0.006</v>
      </c>
    </row>
    <row r="18" customFormat="false" ht="15.75" hidden="false" customHeight="true" outlineLevel="0" collapsed="false">
      <c r="A18" s="221" t="s">
        <v>306</v>
      </c>
      <c r="B18" s="221"/>
      <c r="C18" s="222" t="n">
        <f aca="false">SUM(C10:C17)</f>
        <v>0.398</v>
      </c>
    </row>
    <row r="19" customFormat="false" ht="15.75" hidden="false" customHeight="true" outlineLevel="0" collapsed="false">
      <c r="A19" s="223" t="s">
        <v>307</v>
      </c>
      <c r="B19" s="223"/>
      <c r="C19" s="223"/>
    </row>
    <row r="20" customFormat="false" ht="15.75" hidden="false" customHeight="true" outlineLevel="0" collapsed="false">
      <c r="A20" s="223" t="s">
        <v>308</v>
      </c>
      <c r="B20" s="223"/>
      <c r="C20" s="223"/>
    </row>
    <row r="21" customFormat="false" ht="15.75" hidden="false" customHeight="true" outlineLevel="0" collapsed="false">
      <c r="A21" s="216" t="n">
        <v>9</v>
      </c>
      <c r="B21" s="224" t="s">
        <v>309</v>
      </c>
      <c r="C21" s="225" t="n">
        <f aca="false">ROUND((100%/11),4)</f>
        <v>0.0909</v>
      </c>
    </row>
    <row r="22" customFormat="false" ht="15.75" hidden="false" customHeight="true" outlineLevel="0" collapsed="false">
      <c r="A22" s="216" t="n">
        <v>10</v>
      </c>
      <c r="B22" s="224" t="s">
        <v>310</v>
      </c>
      <c r="C22" s="225" t="n">
        <f aca="false">ROUND((C21/3),4)</f>
        <v>0.0303</v>
      </c>
    </row>
    <row r="23" customFormat="false" ht="15.75" hidden="false" customHeight="true" outlineLevel="0" collapsed="false">
      <c r="A23" s="226" t="s">
        <v>311</v>
      </c>
      <c r="B23" s="226"/>
      <c r="C23" s="227" t="n">
        <f aca="false">SUM(C21:C22)</f>
        <v>0.1212</v>
      </c>
    </row>
    <row r="24" customFormat="false" ht="15.75" hidden="false" customHeight="true" outlineLevel="0" collapsed="false">
      <c r="A24" s="228" t="s">
        <v>312</v>
      </c>
      <c r="B24" s="228"/>
      <c r="C24" s="219" t="n">
        <f aca="false">(C18*C23)</f>
        <v>0.0482376</v>
      </c>
    </row>
    <row r="25" customFormat="false" ht="15.75" hidden="false" customHeight="true" outlineLevel="0" collapsed="false">
      <c r="A25" s="226" t="s">
        <v>313</v>
      </c>
      <c r="B25" s="226"/>
      <c r="C25" s="227" t="n">
        <f aca="false">SUM(C23:C24)</f>
        <v>0.1694376</v>
      </c>
    </row>
    <row r="26" customFormat="false" ht="15.75" hidden="false" customHeight="true" outlineLevel="0" collapsed="false">
      <c r="A26" s="214" t="s">
        <v>314</v>
      </c>
      <c r="B26" s="215" t="s">
        <v>315</v>
      </c>
      <c r="C26" s="215"/>
    </row>
    <row r="27" customFormat="false" ht="15.75" hidden="false" customHeight="true" outlineLevel="0" collapsed="false">
      <c r="A27" s="216" t="n">
        <v>11</v>
      </c>
      <c r="B27" s="217" t="s">
        <v>316</v>
      </c>
      <c r="C27" s="218" t="n">
        <f aca="false">ROUND((0.0144*0.1*0.4509*6/12),4)</f>
        <v>0.0003</v>
      </c>
    </row>
    <row r="28" customFormat="false" ht="15.75" hidden="false" customHeight="true" outlineLevel="0" collapsed="false">
      <c r="A28" s="228" t="s">
        <v>317</v>
      </c>
      <c r="B28" s="228"/>
      <c r="C28" s="229" t="n">
        <f aca="false">C18*C27</f>
        <v>0.0001194</v>
      </c>
    </row>
    <row r="29" customFormat="false" ht="15.75" hidden="false" customHeight="true" outlineLevel="0" collapsed="false">
      <c r="A29" s="226" t="s">
        <v>318</v>
      </c>
      <c r="B29" s="226"/>
      <c r="C29" s="230" t="n">
        <f aca="false">SUM(C27:C28)</f>
        <v>0.0004194</v>
      </c>
    </row>
    <row r="30" customFormat="false" ht="15.75" hidden="false" customHeight="true" outlineLevel="0" collapsed="false">
      <c r="A30" s="214" t="s">
        <v>319</v>
      </c>
      <c r="B30" s="215" t="s">
        <v>320</v>
      </c>
      <c r="C30" s="215"/>
    </row>
    <row r="31" customFormat="false" ht="15.75" hidden="false" customHeight="true" outlineLevel="0" collapsed="false">
      <c r="A31" s="216" t="n">
        <v>12</v>
      </c>
      <c r="B31" s="217" t="s">
        <v>321</v>
      </c>
      <c r="C31" s="218" t="n">
        <f aca="false">ROUND((100%/12)*5%,4)</f>
        <v>0.0042</v>
      </c>
    </row>
    <row r="32" customFormat="false" ht="15.75" hidden="false" customHeight="true" outlineLevel="0" collapsed="false">
      <c r="A32" s="231" t="s">
        <v>322</v>
      </c>
      <c r="B32" s="231"/>
      <c r="C32" s="219" t="n">
        <f aca="false">C15*C31</f>
        <v>0.000336</v>
      </c>
    </row>
    <row r="33" customFormat="false" ht="15.75" hidden="false" customHeight="true" outlineLevel="0" collapsed="false">
      <c r="A33" s="216" t="n">
        <v>13</v>
      </c>
      <c r="B33" s="217" t="s">
        <v>323</v>
      </c>
      <c r="C33" s="225" t="n">
        <f aca="false">ROUND((C15*0.4*0.9*(1+1/11+1/11+(1/3*1/11))),5)</f>
        <v>0.03491</v>
      </c>
    </row>
    <row r="34" customFormat="false" ht="15.75" hidden="false" customHeight="true" outlineLevel="0" collapsed="false">
      <c r="A34" s="216" t="n">
        <v>14</v>
      </c>
      <c r="B34" s="217" t="s">
        <v>324</v>
      </c>
      <c r="C34" s="218" t="n">
        <v>0.0004</v>
      </c>
    </row>
    <row r="35" customFormat="false" ht="15.75" hidden="false" customHeight="true" outlineLevel="0" collapsed="false">
      <c r="A35" s="231" t="s">
        <v>325</v>
      </c>
      <c r="B35" s="231"/>
      <c r="C35" s="219" t="n">
        <f aca="false">ROUND((C34*C18),4)</f>
        <v>0.0002</v>
      </c>
    </row>
    <row r="36" customFormat="false" ht="15.75" hidden="false" customHeight="true" outlineLevel="0" collapsed="false">
      <c r="A36" s="216" t="n">
        <v>15</v>
      </c>
      <c r="B36" s="217" t="s">
        <v>326</v>
      </c>
      <c r="C36" s="219" t="n">
        <f aca="false">(0.4*C15/100)</f>
        <v>0.00032</v>
      </c>
    </row>
    <row r="37" customFormat="false" ht="15.75" hidden="false" customHeight="true" outlineLevel="0" collapsed="false">
      <c r="A37" s="232" t="s">
        <v>327</v>
      </c>
      <c r="B37" s="232"/>
      <c r="C37" s="227" t="n">
        <f aca="false">SUM(C31:C36)</f>
        <v>0.040366</v>
      </c>
    </row>
    <row r="38" customFormat="false" ht="15.75" hidden="false" customHeight="true" outlineLevel="0" collapsed="false">
      <c r="A38" s="214" t="s">
        <v>328</v>
      </c>
      <c r="B38" s="215" t="s">
        <v>329</v>
      </c>
      <c r="C38" s="215"/>
    </row>
    <row r="39" customFormat="false" ht="15.75" hidden="false" customHeight="true" outlineLevel="0" collapsed="false">
      <c r="A39" s="216" t="n">
        <v>16</v>
      </c>
      <c r="B39" s="217" t="s">
        <v>330</v>
      </c>
      <c r="C39" s="225" t="n">
        <f aca="false">ROUND((100%/11),4)</f>
        <v>0.0909</v>
      </c>
    </row>
    <row r="40" customFormat="false" ht="15.75" hidden="false" customHeight="true" outlineLevel="0" collapsed="false">
      <c r="A40" s="216" t="n">
        <v>17</v>
      </c>
      <c r="B40" s="217" t="s">
        <v>331</v>
      </c>
      <c r="C40" s="218" t="n">
        <v>0.0166</v>
      </c>
    </row>
    <row r="41" customFormat="false" ht="15.75" hidden="false" customHeight="true" outlineLevel="0" collapsed="false">
      <c r="A41" s="216" t="n">
        <v>18</v>
      </c>
      <c r="B41" s="217" t="s">
        <v>332</v>
      </c>
      <c r="C41" s="218" t="n">
        <v>0.0003</v>
      </c>
    </row>
    <row r="42" customFormat="false" ht="15.75" hidden="false" customHeight="true" outlineLevel="0" collapsed="false">
      <c r="A42" s="216" t="n">
        <v>19</v>
      </c>
      <c r="B42" s="217" t="s">
        <v>333</v>
      </c>
      <c r="C42" s="218" t="n">
        <v>0.0028</v>
      </c>
    </row>
    <row r="43" customFormat="false" ht="15.75" hidden="false" customHeight="true" outlineLevel="0" collapsed="false">
      <c r="A43" s="216" t="n">
        <v>20</v>
      </c>
      <c r="B43" s="217" t="s">
        <v>334</v>
      </c>
      <c r="C43" s="218" t="n">
        <f aca="false">ROUND((15/30/12*0.0078),4)</f>
        <v>0.0003</v>
      </c>
    </row>
    <row r="44" customFormat="false" ht="15.75" hidden="false" customHeight="true" outlineLevel="0" collapsed="false">
      <c r="A44" s="232" t="s">
        <v>311</v>
      </c>
      <c r="B44" s="232"/>
      <c r="C44" s="227" t="n">
        <f aca="false">SUM(C39:C43)</f>
        <v>0.1109</v>
      </c>
      <c r="E44" s="233" t="s">
        <v>335</v>
      </c>
      <c r="F44" s="233"/>
      <c r="G44" s="233"/>
      <c r="H44" s="233"/>
    </row>
    <row r="45" customFormat="false" ht="15.75" hidden="false" customHeight="true" outlineLevel="0" collapsed="false">
      <c r="A45" s="231" t="s">
        <v>336</v>
      </c>
      <c r="B45" s="231"/>
      <c r="C45" s="219" t="n">
        <f aca="false">C18*C44</f>
        <v>0.0441382</v>
      </c>
      <c r="E45" s="233"/>
      <c r="F45" s="233"/>
      <c r="G45" s="233"/>
      <c r="H45" s="233"/>
    </row>
    <row r="46" customFormat="false" ht="15" hidden="false" customHeight="true" outlineLevel="0" collapsed="false">
      <c r="A46" s="232" t="s">
        <v>337</v>
      </c>
      <c r="B46" s="232"/>
      <c r="C46" s="227" t="n">
        <f aca="false">SUM(C44:C45)</f>
        <v>0.1550382</v>
      </c>
      <c r="E46" s="234" t="s">
        <v>338</v>
      </c>
      <c r="F46" s="235" t="s">
        <v>339</v>
      </c>
      <c r="G46" s="235"/>
      <c r="H46" s="235"/>
    </row>
    <row r="47" customFormat="false" ht="15.75" hidden="false" customHeight="true" outlineLevel="0" collapsed="false">
      <c r="A47" s="236" t="s">
        <v>340</v>
      </c>
      <c r="B47" s="237" t="s">
        <v>341</v>
      </c>
      <c r="C47" s="227" t="s">
        <v>207</v>
      </c>
      <c r="E47" s="234"/>
      <c r="F47" s="235" t="s">
        <v>342</v>
      </c>
      <c r="G47" s="235"/>
      <c r="H47" s="235"/>
    </row>
    <row r="48" customFormat="false" ht="15.75" hidden="false" customHeight="true" outlineLevel="0" collapsed="false">
      <c r="A48" s="216" t="n">
        <v>21</v>
      </c>
      <c r="B48" s="217" t="s">
        <v>343</v>
      </c>
      <c r="C48" s="218" t="n">
        <f aca="false">1*1%/12</f>
        <v>0.000833333333333333</v>
      </c>
      <c r="E48" s="238" t="s">
        <v>344</v>
      </c>
      <c r="F48" s="239" t="s">
        <v>345</v>
      </c>
      <c r="G48" s="239" t="s">
        <v>346</v>
      </c>
      <c r="H48" s="240" t="s">
        <v>347</v>
      </c>
    </row>
    <row r="49" customFormat="false" ht="15.75" hidden="false" customHeight="true" outlineLevel="0" collapsed="false">
      <c r="A49" s="232" t="s">
        <v>348</v>
      </c>
      <c r="B49" s="232"/>
      <c r="C49" s="227" t="n">
        <f aca="false">SUM(C47:C48)</f>
        <v>0.000833333333333333</v>
      </c>
      <c r="E49" s="238" t="s">
        <v>349</v>
      </c>
      <c r="F49" s="241" t="n">
        <v>0.343</v>
      </c>
      <c r="G49" s="241" t="n">
        <v>0.398</v>
      </c>
      <c r="H49" s="242" t="n">
        <f aca="false">$C$18</f>
        <v>0.398</v>
      </c>
    </row>
    <row r="50" customFormat="false" ht="15.75" hidden="false" customHeight="true" outlineLevel="0" collapsed="false">
      <c r="A50" s="243" t="s">
        <v>350</v>
      </c>
      <c r="B50" s="243"/>
      <c r="C50" s="243"/>
      <c r="E50" s="238" t="s">
        <v>351</v>
      </c>
      <c r="F50" s="241" t="n">
        <v>0.005</v>
      </c>
      <c r="G50" s="241" t="n">
        <v>0.06</v>
      </c>
      <c r="H50" s="242" t="n">
        <f aca="false">$C$16</f>
        <v>0.06</v>
      </c>
    </row>
    <row r="51" customFormat="false" ht="15.75" hidden="false" customHeight="true" outlineLevel="0" collapsed="false">
      <c r="A51" s="231" t="s">
        <v>296</v>
      </c>
      <c r="B51" s="231"/>
      <c r="C51" s="219" t="n">
        <f aca="false">ROUND(C18,4)</f>
        <v>0.398</v>
      </c>
      <c r="E51" s="244" t="s">
        <v>352</v>
      </c>
      <c r="F51" s="245" t="n">
        <f aca="false">$C$21</f>
        <v>0.0909</v>
      </c>
      <c r="G51" s="245" t="n">
        <f aca="false">$F$51</f>
        <v>0.0909</v>
      </c>
      <c r="H51" s="246" t="n">
        <f aca="false">$F$51</f>
        <v>0.0909</v>
      </c>
    </row>
    <row r="52" customFormat="false" ht="15.75" hidden="false" customHeight="true" outlineLevel="0" collapsed="false">
      <c r="A52" s="231" t="s">
        <v>353</v>
      </c>
      <c r="B52" s="231"/>
      <c r="C52" s="219" t="n">
        <f aca="false">ROUND(C25,4)</f>
        <v>0.1694</v>
      </c>
      <c r="E52" s="244" t="s">
        <v>354</v>
      </c>
      <c r="F52" s="245" t="n">
        <f aca="false">$C$39</f>
        <v>0.0909</v>
      </c>
      <c r="G52" s="245" t="n">
        <f aca="false">$F$52</f>
        <v>0.0909</v>
      </c>
      <c r="H52" s="246" t="n">
        <f aca="false">$F$52</f>
        <v>0.0909</v>
      </c>
    </row>
    <row r="53" customFormat="false" ht="15.75" hidden="false" customHeight="true" outlineLevel="0" collapsed="false">
      <c r="A53" s="231" t="s">
        <v>315</v>
      </c>
      <c r="B53" s="231"/>
      <c r="C53" s="219" t="n">
        <f aca="false">ROUND(C29,4)</f>
        <v>0.0004</v>
      </c>
      <c r="E53" s="244" t="s">
        <v>355</v>
      </c>
      <c r="F53" s="245" t="n">
        <f aca="false">$C$22</f>
        <v>0.0303</v>
      </c>
      <c r="G53" s="245" t="n">
        <f aca="false">$F$53</f>
        <v>0.0303</v>
      </c>
      <c r="H53" s="246" t="n">
        <f aca="false">$F$53</f>
        <v>0.0303</v>
      </c>
    </row>
    <row r="54" customFormat="false" ht="15.75" hidden="false" customHeight="true" outlineLevel="0" collapsed="false">
      <c r="A54" s="231" t="s">
        <v>356</v>
      </c>
      <c r="B54" s="231"/>
      <c r="C54" s="219" t="n">
        <f aca="false">ROUND(C37,4)</f>
        <v>0.0404</v>
      </c>
      <c r="E54" s="247" t="s">
        <v>311</v>
      </c>
      <c r="F54" s="248" t="n">
        <f aca="false">SUM(F51:F53)</f>
        <v>0.2121</v>
      </c>
      <c r="G54" s="248" t="n">
        <f aca="false">SUM(G51:G53)</f>
        <v>0.2121</v>
      </c>
      <c r="H54" s="249" t="n">
        <f aca="false">ROUND((SUM(H51:H53)),4)</f>
        <v>0.2121</v>
      </c>
    </row>
    <row r="55" customFormat="false" ht="15.75" hidden="false" customHeight="true" outlineLevel="0" collapsed="false">
      <c r="A55" s="231" t="s">
        <v>357</v>
      </c>
      <c r="B55" s="231"/>
      <c r="C55" s="219" t="n">
        <f aca="false">ROUND(C46,4)</f>
        <v>0.155</v>
      </c>
      <c r="E55" s="244" t="s">
        <v>358</v>
      </c>
      <c r="F55" s="245" t="n">
        <f aca="false">F54*F49</f>
        <v>0.0727503</v>
      </c>
      <c r="G55" s="245" t="n">
        <f aca="false">G54*G49</f>
        <v>0.0844158</v>
      </c>
      <c r="H55" s="246" t="n">
        <f aca="false">ROUND((H54*H49),4)</f>
        <v>0.0844</v>
      </c>
    </row>
    <row r="56" customFormat="false" ht="15.75" hidden="false" customHeight="true" outlineLevel="0" collapsed="false">
      <c r="A56" s="231" t="s">
        <v>343</v>
      </c>
      <c r="B56" s="231"/>
      <c r="C56" s="219" t="n">
        <f aca="false">ROUND(C49,4)</f>
        <v>0.0008</v>
      </c>
      <c r="E56" s="244" t="s">
        <v>359</v>
      </c>
      <c r="F56" s="245" t="n">
        <v>0.03491</v>
      </c>
      <c r="G56" s="245" t="n">
        <v>0.03491</v>
      </c>
      <c r="H56" s="250" t="n">
        <f aca="false">C33</f>
        <v>0.03491</v>
      </c>
    </row>
    <row r="57" customFormat="false" ht="15.75" hidden="false" customHeight="true" outlineLevel="0" collapsed="false">
      <c r="A57" s="251" t="s">
        <v>360</v>
      </c>
      <c r="B57" s="251"/>
      <c r="C57" s="222" t="n">
        <f aca="false">SUM(C51:C56)</f>
        <v>0.764</v>
      </c>
      <c r="E57" s="252" t="s">
        <v>361</v>
      </c>
      <c r="F57" s="253" t="n">
        <f aca="false">SUM(F54:F56)</f>
        <v>0.3197603</v>
      </c>
      <c r="G57" s="253" t="n">
        <f aca="false">SUM(G54:G56)</f>
        <v>0.3314258</v>
      </c>
      <c r="H57" s="254" t="n">
        <f aca="false">ROUND((SUM(H54:H56)),4)</f>
        <v>0.3314</v>
      </c>
    </row>
    <row r="58" customFormat="false" ht="24" hidden="false" customHeight="false" outlineLevel="0" collapsed="false">
      <c r="A58" s="255" t="s">
        <v>45</v>
      </c>
      <c r="B58" s="256"/>
      <c r="C58" s="257"/>
      <c r="E58" s="244" t="s">
        <v>362</v>
      </c>
      <c r="F58" s="245" t="s">
        <v>207</v>
      </c>
      <c r="G58" s="245" t="s">
        <v>207</v>
      </c>
      <c r="H58" s="246" t="s">
        <v>207</v>
      </c>
    </row>
    <row r="59" customFormat="false" ht="54.75" hidden="false" customHeight="true" outlineLevel="0" collapsed="false">
      <c r="A59" s="258" t="s">
        <v>363</v>
      </c>
      <c r="B59" s="258"/>
      <c r="C59" s="258"/>
      <c r="E59" s="259" t="s">
        <v>364</v>
      </c>
      <c r="F59" s="260" t="n">
        <f aca="false">F57</f>
        <v>0.3197603</v>
      </c>
      <c r="G59" s="260" t="n">
        <f aca="false">G57</f>
        <v>0.3314258</v>
      </c>
      <c r="H59" s="261" t="n">
        <f aca="false">ROUND((H57),4)</f>
        <v>0.3314</v>
      </c>
    </row>
    <row r="61" customFormat="false" ht="12.75" hidden="false" customHeight="true" outlineLevel="0" collapsed="false"/>
  </sheetData>
  <sheetProtection algorithmName="SHA-512" hashValue="xsKswc9sAmQMRvD5ZNxGYEeQexumfeLby27CPKj3MegxbMGcoEDGz/kZJhBH/jRfuZNn9JnsO0yWcgz7yQaPzQ==" saltValue="3UW/J0S3R7m3c9UKpvk6lw==" spinCount="100000" sheet="true" objects="true" scenarios="true"/>
  <mergeCells count="36">
    <mergeCell ref="A4:C4"/>
    <mergeCell ref="A5:C5"/>
    <mergeCell ref="A6:C6"/>
    <mergeCell ref="A7:C7"/>
    <mergeCell ref="B9:C9"/>
    <mergeCell ref="A18:B18"/>
    <mergeCell ref="A19:C19"/>
    <mergeCell ref="A20:C20"/>
    <mergeCell ref="A23:B23"/>
    <mergeCell ref="A24:B24"/>
    <mergeCell ref="A25:B25"/>
    <mergeCell ref="B26:C26"/>
    <mergeCell ref="A28:B28"/>
    <mergeCell ref="A29:B29"/>
    <mergeCell ref="B30:C30"/>
    <mergeCell ref="A32:B32"/>
    <mergeCell ref="A35:B35"/>
    <mergeCell ref="A37:B37"/>
    <mergeCell ref="B38:C38"/>
    <mergeCell ref="A44:B44"/>
    <mergeCell ref="E44:H45"/>
    <mergeCell ref="A45:B45"/>
    <mergeCell ref="A46:B46"/>
    <mergeCell ref="E46:E47"/>
    <mergeCell ref="F46:H46"/>
    <mergeCell ref="F47:H47"/>
    <mergeCell ref="A49:B49"/>
    <mergeCell ref="A50:C50"/>
    <mergeCell ref="A51:B51"/>
    <mergeCell ref="A52:B52"/>
    <mergeCell ref="A53:B53"/>
    <mergeCell ref="A54:B54"/>
    <mergeCell ref="A55:B55"/>
    <mergeCell ref="A56:B56"/>
    <mergeCell ref="A57:B57"/>
    <mergeCell ref="A59:C59"/>
  </mergeCells>
  <printOptions headings="false" gridLines="false" gridLinesSet="true" horizontalCentered="true" verticalCentered="true"/>
  <pageMargins left="0.511805555555556" right="0.511805555555556" top="0.7875" bottom="0.7875" header="0.511811023622047" footer="0.511811023622047"/>
  <pageSetup paperSize="9" scale="58"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82"/>
  <sheetViews>
    <sheetView showFormulas="false" showGridLines="false" showRowColHeaders="true" showZeros="true" rightToLeft="false" tabSelected="false" showOutlineSymbols="true" defaultGridColor="true" view="pageBreakPreview" topLeftCell="A1" colorId="64" zoomScale="115" zoomScaleNormal="100" zoomScalePageLayoutView="115" workbookViewId="0">
      <selection pane="topLeft" activeCell="A1" activeCellId="0" sqref="A1"/>
    </sheetView>
  </sheetViews>
  <sheetFormatPr defaultColWidth="8.66796875" defaultRowHeight="14.25" zeroHeight="false" outlineLevelRow="0" outlineLevelCol="0"/>
  <cols>
    <col collapsed="false" customWidth="true" hidden="false" outlineLevel="0" max="1" min="1" style="76" width="5"/>
    <col collapsed="false" customWidth="true" hidden="false" outlineLevel="0" max="2" min="2" style="82" width="59.11"/>
    <col collapsed="false" customWidth="true" hidden="false" outlineLevel="0" max="3" min="3" style="82" width="10.44"/>
    <col collapsed="false" customWidth="true" hidden="false" outlineLevel="0" max="7" min="4" style="82" width="18.44"/>
    <col collapsed="false" customWidth="true" hidden="false" outlineLevel="0" max="8" min="8" style="0" width="23.67"/>
    <col collapsed="false" customWidth="true" hidden="false" outlineLevel="0" max="9" min="9" style="0" width="4.33"/>
    <col collapsed="false" customWidth="true" hidden="false" outlineLevel="0" max="10" min="10" style="0" width="13.44"/>
    <col collapsed="false" customWidth="true" hidden="false" outlineLevel="0" max="11" min="11" style="82" width="12.44"/>
    <col collapsed="false" customWidth="true" hidden="true" outlineLevel="0" max="12" min="12" style="0" width="8.56"/>
    <col collapsed="false" customWidth="true" hidden="false" outlineLevel="0" max="13" min="13" style="0" width="9"/>
    <col collapsed="false" customWidth="true" hidden="true" outlineLevel="0" max="14" min="14" style="0" width="26.11"/>
    <col collapsed="false" customWidth="true" hidden="true" outlineLevel="0" max="19" min="15" style="0" width="11.56"/>
    <col collapsed="false" customWidth="true" hidden="false" outlineLevel="0" max="256" min="20" style="0" width="9"/>
    <col collapsed="false" customWidth="true" hidden="false" outlineLevel="0" max="257" min="257" style="0" width="8.34"/>
    <col collapsed="false" customWidth="true" hidden="false" outlineLevel="0" max="258" min="258" style="0" width="44.56"/>
    <col collapsed="false" customWidth="true" hidden="false" outlineLevel="0" max="259" min="259" style="0" width="7.44"/>
    <col collapsed="false" customWidth="true" hidden="false" outlineLevel="0" max="260" min="260" style="0" width="13"/>
    <col collapsed="false" customWidth="true" hidden="false" outlineLevel="0" max="261" min="261" style="0" width="11.67"/>
    <col collapsed="false" customWidth="true" hidden="false" outlineLevel="0" max="262" min="262" style="0" width="10.56"/>
    <col collapsed="false" customWidth="true" hidden="false" outlineLevel="0" max="263" min="263" style="0" width="14.44"/>
    <col collapsed="false" customWidth="true" hidden="false" outlineLevel="0" max="264" min="264" style="0" width="35.44"/>
    <col collapsed="false" customWidth="true" hidden="false" outlineLevel="0" max="265" min="265" style="0" width="14"/>
    <col collapsed="false" customWidth="true" hidden="false" outlineLevel="0" max="266" min="266" style="0" width="11.67"/>
    <col collapsed="false" customWidth="true" hidden="false" outlineLevel="0" max="267" min="267" style="0" width="13.56"/>
    <col collapsed="false" customWidth="true" hidden="false" outlineLevel="0" max="512" min="268" style="0" width="9"/>
    <col collapsed="false" customWidth="true" hidden="false" outlineLevel="0" max="513" min="513" style="0" width="8.34"/>
    <col collapsed="false" customWidth="true" hidden="false" outlineLevel="0" max="514" min="514" style="0" width="44.56"/>
    <col collapsed="false" customWidth="true" hidden="false" outlineLevel="0" max="515" min="515" style="0" width="7.44"/>
    <col collapsed="false" customWidth="true" hidden="false" outlineLevel="0" max="516" min="516" style="0" width="13"/>
    <col collapsed="false" customWidth="true" hidden="false" outlineLevel="0" max="517" min="517" style="0" width="11.67"/>
    <col collapsed="false" customWidth="true" hidden="false" outlineLevel="0" max="518" min="518" style="0" width="10.56"/>
    <col collapsed="false" customWidth="true" hidden="false" outlineLevel="0" max="519" min="519" style="0" width="14.44"/>
    <col collapsed="false" customWidth="true" hidden="false" outlineLevel="0" max="520" min="520" style="0" width="35.44"/>
    <col collapsed="false" customWidth="true" hidden="false" outlineLevel="0" max="521" min="521" style="0" width="14"/>
    <col collapsed="false" customWidth="true" hidden="false" outlineLevel="0" max="522" min="522" style="0" width="11.67"/>
    <col collapsed="false" customWidth="true" hidden="false" outlineLevel="0" max="523" min="523" style="0" width="13.56"/>
    <col collapsed="false" customWidth="true" hidden="false" outlineLevel="0" max="768" min="524" style="0" width="9"/>
    <col collapsed="false" customWidth="true" hidden="false" outlineLevel="0" max="769" min="769" style="0" width="8.34"/>
    <col collapsed="false" customWidth="true" hidden="false" outlineLevel="0" max="770" min="770" style="0" width="44.56"/>
    <col collapsed="false" customWidth="true" hidden="false" outlineLevel="0" max="771" min="771" style="0" width="7.44"/>
    <col collapsed="false" customWidth="true" hidden="false" outlineLevel="0" max="772" min="772" style="0" width="13"/>
    <col collapsed="false" customWidth="true" hidden="false" outlineLevel="0" max="773" min="773" style="0" width="11.67"/>
    <col collapsed="false" customWidth="true" hidden="false" outlineLevel="0" max="774" min="774" style="0" width="10.56"/>
    <col collapsed="false" customWidth="true" hidden="false" outlineLevel="0" max="775" min="775" style="0" width="14.44"/>
    <col collapsed="false" customWidth="true" hidden="false" outlineLevel="0" max="776" min="776" style="0" width="35.44"/>
    <col collapsed="false" customWidth="true" hidden="false" outlineLevel="0" max="777" min="777" style="0" width="14"/>
    <col collapsed="false" customWidth="true" hidden="false" outlineLevel="0" max="778" min="778" style="0" width="11.67"/>
    <col collapsed="false" customWidth="true" hidden="false" outlineLevel="0" max="779" min="779" style="0" width="13.56"/>
    <col collapsed="false" customWidth="true" hidden="false" outlineLevel="0" max="1025" min="780" style="0" width="9"/>
  </cols>
  <sheetData>
    <row r="1" s="82" customFormat="true" ht="13.5" hidden="false" customHeight="false" outlineLevel="0" collapsed="false">
      <c r="A1" s="262"/>
      <c r="B1" s="123" t="str">
        <f aca="false">INSTRUÇÕES!B1</f>
        <v>Tribunal Regional Federal da 6ª Região</v>
      </c>
      <c r="C1" s="263"/>
      <c r="D1" s="263"/>
      <c r="E1" s="263"/>
      <c r="F1" s="263"/>
      <c r="G1" s="263"/>
      <c r="H1" s="264"/>
    </row>
    <row r="2" s="82" customFormat="true" ht="13.5" hidden="false" customHeight="false" outlineLevel="0" collapsed="false">
      <c r="A2" s="265"/>
      <c r="B2" s="125" t="str">
        <f aca="false">INSTRUÇÕES!B2</f>
        <v>Seção Judiciária de Minas Gerais</v>
      </c>
      <c r="H2" s="266"/>
    </row>
    <row r="3" s="82" customFormat="true" ht="14.25" hidden="false" customHeight="false" outlineLevel="0" collapsed="false">
      <c r="A3" s="265"/>
      <c r="B3" s="125" t="str">
        <f aca="false">INSTRUÇÕES!B3</f>
        <v>Subseção Judiciária de Poços de Caldas</v>
      </c>
      <c r="H3" s="266"/>
      <c r="N3" s="1"/>
      <c r="O3" s="1"/>
      <c r="P3" s="1"/>
      <c r="Q3" s="1"/>
      <c r="R3" s="1"/>
      <c r="S3" s="1"/>
      <c r="T3" s="1"/>
    </row>
    <row r="4" s="82" customFormat="true" ht="18" hidden="false" customHeight="false" outlineLevel="0" collapsed="false">
      <c r="A4" s="267" t="s">
        <v>365</v>
      </c>
      <c r="B4" s="267"/>
      <c r="C4" s="267"/>
      <c r="D4" s="267"/>
      <c r="E4" s="267"/>
      <c r="F4" s="267"/>
      <c r="G4" s="267"/>
      <c r="H4" s="267"/>
      <c r="I4" s="268"/>
      <c r="J4" s="268"/>
      <c r="U4" s="1"/>
      <c r="V4" s="1"/>
    </row>
    <row r="5" s="1" customFormat="true" ht="14.25" hidden="false" customHeight="true" outlineLevel="0" collapsed="false">
      <c r="A5" s="269" t="s">
        <v>366</v>
      </c>
      <c r="B5" s="269"/>
      <c r="C5" s="269"/>
      <c r="D5" s="269"/>
      <c r="E5" s="269"/>
      <c r="F5" s="269"/>
      <c r="G5" s="269"/>
      <c r="H5" s="269"/>
      <c r="K5" s="270"/>
      <c r="N5" s="75" t="s">
        <v>367</v>
      </c>
      <c r="O5" s="75"/>
      <c r="P5" s="75"/>
      <c r="Q5" s="75"/>
      <c r="R5" s="75"/>
      <c r="S5" s="75"/>
      <c r="T5" s="82"/>
      <c r="U5" s="82"/>
      <c r="V5" s="82"/>
    </row>
    <row r="6" s="82" customFormat="true" ht="14.25" hidden="false" customHeight="true" outlineLevel="0" collapsed="false">
      <c r="A6" s="271"/>
      <c r="B6" s="272" t="s">
        <v>368</v>
      </c>
      <c r="C6" s="272"/>
      <c r="D6" s="272"/>
      <c r="E6" s="272"/>
      <c r="F6" s="272"/>
      <c r="G6" s="272"/>
      <c r="H6" s="273"/>
      <c r="I6" s="81"/>
      <c r="J6" s="274" t="s">
        <v>369</v>
      </c>
      <c r="K6" s="274"/>
      <c r="L6" s="274"/>
      <c r="N6" s="75"/>
      <c r="O6" s="75"/>
      <c r="P6" s="75"/>
      <c r="Q6" s="75"/>
      <c r="R6" s="75"/>
      <c r="S6" s="75"/>
    </row>
    <row r="7" s="82" customFormat="true" ht="41.25" hidden="false" customHeight="false" outlineLevel="0" collapsed="false">
      <c r="A7" s="271"/>
      <c r="B7" s="275" t="s">
        <v>59</v>
      </c>
      <c r="C7" s="276" t="s">
        <v>60</v>
      </c>
      <c r="D7" s="276" t="s">
        <v>61</v>
      </c>
      <c r="E7" s="277" t="s">
        <v>370</v>
      </c>
      <c r="F7" s="278" t="s">
        <v>66</v>
      </c>
      <c r="G7" s="276" t="s">
        <v>371</v>
      </c>
      <c r="H7" s="273"/>
      <c r="I7" s="81"/>
      <c r="J7" s="277" t="s">
        <v>64</v>
      </c>
      <c r="K7" s="278" t="s">
        <v>63</v>
      </c>
      <c r="L7" s="277" t="s">
        <v>372</v>
      </c>
      <c r="N7" s="279" t="s">
        <v>373</v>
      </c>
      <c r="O7" s="32" t="s">
        <v>274</v>
      </c>
      <c r="P7" s="32" t="s">
        <v>275</v>
      </c>
      <c r="Q7" s="32" t="s">
        <v>276</v>
      </c>
      <c r="R7" s="32" t="s">
        <v>277</v>
      </c>
      <c r="S7" s="34" t="s">
        <v>278</v>
      </c>
    </row>
    <row r="8" s="82" customFormat="true" ht="27" hidden="false" customHeight="true" outlineLevel="0" collapsed="false">
      <c r="A8" s="280" t="n">
        <v>1</v>
      </c>
      <c r="B8" s="281" t="s">
        <v>374</v>
      </c>
      <c r="C8" s="282" t="s">
        <v>375</v>
      </c>
      <c r="D8" s="283" t="s">
        <v>376</v>
      </c>
      <c r="E8" s="284" t="n">
        <v>6</v>
      </c>
      <c r="F8" s="285" t="s">
        <v>377</v>
      </c>
      <c r="G8" s="286" t="n">
        <v>6.55</v>
      </c>
      <c r="H8" s="287"/>
      <c r="I8" s="81"/>
      <c r="J8" s="91" t="n">
        <f aca="false">'Ocorrências Mensais - FAT'!G26</f>
        <v>6</v>
      </c>
      <c r="K8" s="288" t="n">
        <f aca="false">G8*J8</f>
        <v>39.3</v>
      </c>
      <c r="L8" s="49" t="n">
        <f aca="false">IF(F8="MENSAL",1,IF(F8="BIMESTRAL",2,IF(F8="TRIMESTRAL",3,IF(F8="QUADRIMESTRAL",4,IF(F8="SEMESTRAL",6,IF(F8="ANUAL",12,IF(F8="BIENAL",24,"")))))))</f>
        <v>1</v>
      </c>
      <c r="N8" s="289" t="n">
        <v>6</v>
      </c>
      <c r="O8" s="49" t="n">
        <f aca="false">ROUND(IF(Dados!$J$56="SIM",N8*Dados!$N$56,N8),2)</f>
        <v>6</v>
      </c>
      <c r="P8" s="49" t="n">
        <f aca="false">ROUND(IF(Dados!$J$57="SIM",O8*Dados!$N$57,O8),2)</f>
        <v>6</v>
      </c>
      <c r="Q8" s="49" t="n">
        <f aca="false">ROUND(IF(Dados!$J$58="SIM",P8*Dados!$N$58,P8),2)</f>
        <v>6</v>
      </c>
      <c r="R8" s="49" t="n">
        <f aca="false">ROUND(IF(Dados!$J$59="SIM",Q8*Dados!$N$59,Q8),2)</f>
        <v>6</v>
      </c>
      <c r="S8" s="99" t="n">
        <f aca="false">ROUND(IF(Dados!$J$60="SIM",R8*Dados!$N$60,R8),2)</f>
        <v>6</v>
      </c>
    </row>
    <row r="9" s="82" customFormat="true" ht="42.75" hidden="false" customHeight="false" outlineLevel="0" collapsed="false">
      <c r="A9" s="280" t="n">
        <v>2</v>
      </c>
      <c r="B9" s="281" t="s">
        <v>378</v>
      </c>
      <c r="C9" s="282" t="s">
        <v>379</v>
      </c>
      <c r="D9" s="283" t="s">
        <v>380</v>
      </c>
      <c r="E9" s="284" t="n">
        <v>1</v>
      </c>
      <c r="F9" s="285" t="s">
        <v>381</v>
      </c>
      <c r="G9" s="286" t="n">
        <v>15.23</v>
      </c>
      <c r="H9" s="287"/>
      <c r="I9" s="81"/>
      <c r="J9" s="91" t="n">
        <f aca="false">'Ocorrências Mensais - FAT'!G27</f>
        <v>0.333333333333333</v>
      </c>
      <c r="K9" s="288" t="n">
        <f aca="false">G9*J9</f>
        <v>5.07666666666667</v>
      </c>
      <c r="L9" s="49" t="n">
        <f aca="false">IF(F9="MENSAL",1,IF(F9="BIMESTRAL",2,IF(F9="TRIMESTRAL",3,IF(F9="QUADRIMESTRAL",4,IF(F9="SEMESTRAL",6,IF(F9="ANUAL",12,IF(F9="BIENAL",24,"")))))))</f>
        <v>3</v>
      </c>
      <c r="N9" s="289" t="n">
        <v>3.8</v>
      </c>
      <c r="O9" s="49" t="n">
        <f aca="false">ROUND(IF(Dados!$J$56="SIM",N9*Dados!$N$56,N9),2)</f>
        <v>3.8</v>
      </c>
      <c r="P9" s="49" t="n">
        <f aca="false">ROUND(IF(Dados!$J$57="SIM",O9*Dados!$N$57,O9),2)</f>
        <v>3.8</v>
      </c>
      <c r="Q9" s="49" t="n">
        <f aca="false">ROUND(IF(Dados!$J$58="SIM",P9*Dados!$N$58,P9),2)</f>
        <v>3.8</v>
      </c>
      <c r="R9" s="49" t="n">
        <f aca="false">ROUND(IF(Dados!$J$59="SIM",Q9*Dados!$N$59,Q9),2)</f>
        <v>3.8</v>
      </c>
      <c r="S9" s="99" t="n">
        <f aca="false">ROUND(IF(Dados!$J$60="SIM",R9*Dados!$N$60,R9),2)</f>
        <v>3.8</v>
      </c>
    </row>
    <row r="10" s="82" customFormat="true" ht="86.25" hidden="false" customHeight="false" outlineLevel="0" collapsed="false">
      <c r="A10" s="280" t="n">
        <v>3</v>
      </c>
      <c r="B10" s="281" t="s">
        <v>382</v>
      </c>
      <c r="C10" s="282" t="s">
        <v>379</v>
      </c>
      <c r="D10" s="283" t="s">
        <v>383</v>
      </c>
      <c r="E10" s="284" t="n">
        <v>3</v>
      </c>
      <c r="F10" s="285" t="s">
        <v>377</v>
      </c>
      <c r="G10" s="286" t="n">
        <v>57.39</v>
      </c>
      <c r="H10" s="287"/>
      <c r="I10" s="81"/>
      <c r="J10" s="91" t="n">
        <f aca="false">'Ocorrências Mensais - FAT'!G28</f>
        <v>3</v>
      </c>
      <c r="K10" s="288" t="n">
        <f aca="false">G10*J10</f>
        <v>172.17</v>
      </c>
      <c r="L10" s="49" t="n">
        <f aca="false">IF(F10="MENSAL",1,IF(F10="BIMESTRAL",2,IF(F10="TRIMESTRAL",3,IF(F10="QUADRIMESTRAL",4,IF(F10="SEMESTRAL",6,IF(F10="ANUAL",12,IF(F10="BIENAL",24,"")))))))</f>
        <v>1</v>
      </c>
      <c r="N10" s="289" t="n">
        <v>4.14</v>
      </c>
      <c r="O10" s="49" t="n">
        <f aca="false">ROUND(IF(Dados!$J$56="SIM",N10*Dados!$N$56,N10),2)</f>
        <v>4.14</v>
      </c>
      <c r="P10" s="49" t="n">
        <f aca="false">ROUND(IF(Dados!$J$57="SIM",O10*Dados!$N$57,O10),2)</f>
        <v>4.14</v>
      </c>
      <c r="Q10" s="49" t="n">
        <f aca="false">ROUND(IF(Dados!$J$58="SIM",P10*Dados!$N$58,P10),2)</f>
        <v>4.14</v>
      </c>
      <c r="R10" s="49" t="n">
        <f aca="false">ROUND(IF(Dados!$J$59="SIM",Q10*Dados!$N$59,Q10),2)</f>
        <v>4.14</v>
      </c>
      <c r="S10" s="99" t="n">
        <f aca="false">ROUND(IF(Dados!$J$60="SIM",R10*Dados!$N$60,R10),2)</f>
        <v>4.14</v>
      </c>
    </row>
    <row r="11" s="82" customFormat="true" ht="57" hidden="false" customHeight="false" outlineLevel="0" collapsed="false">
      <c r="A11" s="280" t="n">
        <v>4</v>
      </c>
      <c r="B11" s="281" t="s">
        <v>384</v>
      </c>
      <c r="C11" s="282" t="s">
        <v>375</v>
      </c>
      <c r="D11" s="283" t="s">
        <v>385</v>
      </c>
      <c r="E11" s="284" t="n">
        <v>2</v>
      </c>
      <c r="F11" s="285" t="s">
        <v>386</v>
      </c>
      <c r="G11" s="286" t="n">
        <v>17.6</v>
      </c>
      <c r="H11" s="287"/>
      <c r="I11" s="81"/>
      <c r="J11" s="91" t="n">
        <f aca="false">'Ocorrências Mensais - FAT'!G29</f>
        <v>0.333333333333333</v>
      </c>
      <c r="K11" s="288" t="n">
        <f aca="false">G11*J11</f>
        <v>5.86666666666667</v>
      </c>
      <c r="L11" s="49" t="n">
        <f aca="false">IF(F11="MENSAL",1,IF(F11="BIMESTRAL",2,IF(F11="TRIMESTRAL",3,IF(F11="QUADRIMESTRAL",4,IF(F11="SEMESTRAL",6,IF(F11="ANUAL",12,IF(F11="BIENAL",24,"")))))))</f>
        <v>6</v>
      </c>
      <c r="N11" s="289"/>
      <c r="O11" s="49"/>
      <c r="P11" s="49"/>
      <c r="Q11" s="49"/>
      <c r="R11" s="49"/>
      <c r="S11" s="99"/>
    </row>
    <row r="12" s="82" customFormat="true" ht="114.75" hidden="false" customHeight="false" outlineLevel="0" collapsed="false">
      <c r="A12" s="280" t="n">
        <v>5</v>
      </c>
      <c r="B12" s="281" t="s">
        <v>387</v>
      </c>
      <c r="C12" s="282" t="s">
        <v>375</v>
      </c>
      <c r="D12" s="283" t="s">
        <v>388</v>
      </c>
      <c r="E12" s="284" t="n">
        <v>1</v>
      </c>
      <c r="F12" s="285" t="s">
        <v>386</v>
      </c>
      <c r="G12" s="286" t="n">
        <v>5.46</v>
      </c>
      <c r="H12" s="287"/>
      <c r="I12" s="81"/>
      <c r="J12" s="91" t="n">
        <f aca="false">'Ocorrências Mensais - FAT'!G30</f>
        <v>0.166666666666667</v>
      </c>
      <c r="K12" s="288" t="n">
        <f aca="false">G12*J12</f>
        <v>0.91</v>
      </c>
      <c r="L12" s="49" t="n">
        <f aca="false">IF(F12="MENSAL",1,IF(F12="BIMESTRAL",2,IF(F12="TRIMESTRAL",3,IF(F12="QUADRIMESTRAL",4,IF(F12="SEMESTRAL",6,IF(F12="ANUAL",12,IF(F12="BIENAL",24,"")))))))</f>
        <v>6</v>
      </c>
      <c r="N12" s="289" t="n">
        <v>1.4</v>
      </c>
      <c r="O12" s="49" t="n">
        <f aca="false">ROUND(IF(Dados!$J$56="SIM",N12*Dados!$N$56,N12),2)</f>
        <v>1.4</v>
      </c>
      <c r="P12" s="49" t="n">
        <f aca="false">ROUND(IF(Dados!$J$57="SIM",O12*Dados!$N$57,O12),2)</f>
        <v>1.4</v>
      </c>
      <c r="Q12" s="49" t="n">
        <f aca="false">ROUND(IF(Dados!$J$58="SIM",P12*Dados!$N$58,P12),2)</f>
        <v>1.4</v>
      </c>
      <c r="R12" s="49" t="n">
        <f aca="false">ROUND(IF(Dados!$J$59="SIM",Q12*Dados!$N$59,Q12),2)</f>
        <v>1.4</v>
      </c>
      <c r="S12" s="99" t="n">
        <f aca="false">ROUND(IF(Dados!$J$60="SIM",R12*Dados!$N$60,R12),2)</f>
        <v>1.4</v>
      </c>
    </row>
    <row r="13" s="82" customFormat="true" ht="57" hidden="false" customHeight="false" outlineLevel="0" collapsed="false">
      <c r="A13" s="280" t="n">
        <v>6</v>
      </c>
      <c r="B13" s="281" t="s">
        <v>389</v>
      </c>
      <c r="C13" s="282" t="s">
        <v>390</v>
      </c>
      <c r="D13" s="283"/>
      <c r="E13" s="284" t="n">
        <v>1</v>
      </c>
      <c r="F13" s="285" t="s">
        <v>391</v>
      </c>
      <c r="G13" s="286" t="n">
        <v>99</v>
      </c>
      <c r="H13" s="290"/>
      <c r="I13" s="81"/>
      <c r="J13" s="91" t="n">
        <f aca="false">'Ocorrências Mensais - FAT'!G31</f>
        <v>0.0833333333333333</v>
      </c>
      <c r="K13" s="288" t="n">
        <f aca="false">G13*J13</f>
        <v>8.25</v>
      </c>
      <c r="L13" s="49" t="n">
        <f aca="false">IF(F13="MENSAL",1,IF(F13="BIMESTRAL",2,IF(F13="TRIMESTRAL",3,IF(F13="QUADRIMESTRAL",4,IF(F13="SEMESTRAL",6,IF(F13="ANUAL",12,IF(F13="BIENAL",24,"")))))))</f>
        <v>12</v>
      </c>
      <c r="N13" s="289" t="n">
        <v>3.2</v>
      </c>
      <c r="O13" s="49" t="n">
        <f aca="false">ROUND(IF(Dados!$J$56="SIM",N13*Dados!$N$56,N13),2)</f>
        <v>3.2</v>
      </c>
      <c r="P13" s="49" t="n">
        <f aca="false">ROUND(IF(Dados!$J$57="SIM",O13*Dados!$N$57,O13),2)</f>
        <v>3.2</v>
      </c>
      <c r="Q13" s="49" t="n">
        <f aca="false">ROUND(IF(Dados!$J$58="SIM",P13*Dados!$N$58,P13),2)</f>
        <v>3.2</v>
      </c>
      <c r="R13" s="49" t="n">
        <f aca="false">ROUND(IF(Dados!$J$59="SIM",Q13*Dados!$N$59,Q13),2)</f>
        <v>3.2</v>
      </c>
      <c r="S13" s="99" t="n">
        <f aca="false">ROUND(IF(Dados!$J$60="SIM",R13*Dados!$N$60,R13),2)</f>
        <v>3.2</v>
      </c>
    </row>
    <row r="14" s="82" customFormat="true" ht="28.5" hidden="false" customHeight="false" outlineLevel="0" collapsed="false">
      <c r="A14" s="280" t="n">
        <v>7</v>
      </c>
      <c r="B14" s="281" t="s">
        <v>392</v>
      </c>
      <c r="C14" s="282" t="s">
        <v>379</v>
      </c>
      <c r="D14" s="283"/>
      <c r="E14" s="284" t="n">
        <v>2</v>
      </c>
      <c r="F14" s="285" t="s">
        <v>393</v>
      </c>
      <c r="G14" s="286" t="n">
        <v>12.43</v>
      </c>
      <c r="H14" s="290"/>
      <c r="I14" s="81"/>
      <c r="J14" s="91" t="n">
        <f aca="false">'Ocorrências Mensais - FAT'!G32</f>
        <v>1</v>
      </c>
      <c r="K14" s="288" t="n">
        <f aca="false">G14*J14</f>
        <v>12.43</v>
      </c>
      <c r="L14" s="49" t="n">
        <f aca="false">IF(F14="MENSAL",1,IF(F14="BIMESTRAL",2,IF(F14="TRIMESTRAL",3,IF(F14="QUADRIMESTRAL",4,IF(F14="SEMESTRAL",6,IF(F14="ANUAL",12,IF(F14="BIENAL",24,"")))))))</f>
        <v>2</v>
      </c>
      <c r="N14" s="289" t="n">
        <v>4</v>
      </c>
      <c r="O14" s="49" t="n">
        <f aca="false">ROUND(IF(Dados!$J$56="SIM",N14*Dados!$N$56,N14),2)</f>
        <v>4</v>
      </c>
      <c r="P14" s="49" t="n">
        <f aca="false">ROUND(IF(Dados!$J$57="SIM",O14*Dados!$N$57,O14),2)</f>
        <v>4</v>
      </c>
      <c r="Q14" s="49" t="n">
        <f aca="false">ROUND(IF(Dados!$J$58="SIM",P14*Dados!$N$58,P14),2)</f>
        <v>4</v>
      </c>
      <c r="R14" s="49" t="n">
        <f aca="false">ROUND(IF(Dados!$J$59="SIM",Q14*Dados!$N$59,Q14),2)</f>
        <v>4</v>
      </c>
      <c r="S14" s="99" t="n">
        <f aca="false">ROUND(IF(Dados!$J$60="SIM",R14*Dados!$N$60,R14),2)</f>
        <v>4</v>
      </c>
    </row>
    <row r="15" s="82" customFormat="true" ht="42.75" hidden="false" customHeight="false" outlineLevel="0" collapsed="false">
      <c r="A15" s="280" t="n">
        <v>8</v>
      </c>
      <c r="B15" s="281" t="s">
        <v>394</v>
      </c>
      <c r="C15" s="282" t="s">
        <v>375</v>
      </c>
      <c r="D15" s="283" t="s">
        <v>395</v>
      </c>
      <c r="E15" s="284" t="n">
        <v>2</v>
      </c>
      <c r="F15" s="285" t="s">
        <v>391</v>
      </c>
      <c r="G15" s="286" t="n">
        <v>10.41</v>
      </c>
      <c r="H15" s="290"/>
      <c r="I15" s="81"/>
      <c r="J15" s="91" t="n">
        <f aca="false">'Ocorrências Mensais - FAT'!G33</f>
        <v>0.166666666666667</v>
      </c>
      <c r="K15" s="288" t="n">
        <f aca="false">G15*J15</f>
        <v>1.735</v>
      </c>
      <c r="L15" s="49" t="n">
        <f aca="false">IF(F15="MENSAL",1,IF(F15="BIMESTRAL",2,IF(F15="TRIMESTRAL",3,IF(F15="QUADRIMESTRAL",4,IF(F15="SEMESTRAL",6,IF(F15="ANUAL",12,IF(F15="BIENAL",24,"")))))))</f>
        <v>12</v>
      </c>
      <c r="N15" s="289"/>
      <c r="O15" s="49"/>
      <c r="P15" s="49"/>
      <c r="Q15" s="49"/>
      <c r="R15" s="49"/>
      <c r="S15" s="99"/>
    </row>
    <row r="16" s="82" customFormat="true" ht="42.75" hidden="false" customHeight="false" outlineLevel="0" collapsed="false">
      <c r="A16" s="280" t="n">
        <v>9</v>
      </c>
      <c r="B16" s="281" t="s">
        <v>396</v>
      </c>
      <c r="C16" s="282" t="s">
        <v>375</v>
      </c>
      <c r="D16" s="283" t="s">
        <v>397</v>
      </c>
      <c r="E16" s="284" t="n">
        <v>1</v>
      </c>
      <c r="F16" s="285" t="s">
        <v>391</v>
      </c>
      <c r="G16" s="286" t="n">
        <v>11.08</v>
      </c>
      <c r="H16" s="287"/>
      <c r="I16" s="81"/>
      <c r="J16" s="91" t="n">
        <f aca="false">'Ocorrências Mensais - FAT'!G34</f>
        <v>0.0833333333333333</v>
      </c>
      <c r="K16" s="288" t="n">
        <f aca="false">G16*J16</f>
        <v>0.923333333333333</v>
      </c>
      <c r="L16" s="49" t="n">
        <f aca="false">IF(F16="MENSAL",1,IF(F16="BIMESTRAL",2,IF(F16="TRIMESTRAL",3,IF(F16="QUADRIMESTRAL",4,IF(F16="SEMESTRAL",6,IF(F16="ANUAL",12,IF(F16="BIENAL",24,"")))))))</f>
        <v>12</v>
      </c>
      <c r="N16" s="289" t="n">
        <v>1.2</v>
      </c>
      <c r="O16" s="49" t="n">
        <f aca="false">ROUND(IF(Dados!$J$56="SIM",N16*Dados!$N$56,N16),2)</f>
        <v>1.2</v>
      </c>
      <c r="P16" s="49" t="n">
        <f aca="false">ROUND(IF(Dados!$J$57="SIM",O16*Dados!$N$57,O16),2)</f>
        <v>1.2</v>
      </c>
      <c r="Q16" s="49" t="n">
        <f aca="false">ROUND(IF(Dados!$J$58="SIM",P16*Dados!$N$58,P16),2)</f>
        <v>1.2</v>
      </c>
      <c r="R16" s="49" t="n">
        <f aca="false">ROUND(IF(Dados!$J$59="SIM",Q16*Dados!$N$59,Q16),2)</f>
        <v>1.2</v>
      </c>
      <c r="S16" s="99" t="n">
        <f aca="false">ROUND(IF(Dados!$J$60="SIM",R16*Dados!$N$60,R16),2)</f>
        <v>1.2</v>
      </c>
    </row>
    <row r="17" s="82" customFormat="true" ht="86.25" hidden="false" customHeight="false" outlineLevel="0" collapsed="false">
      <c r="A17" s="280" t="n">
        <v>10</v>
      </c>
      <c r="B17" s="281" t="s">
        <v>398</v>
      </c>
      <c r="C17" s="282" t="s">
        <v>375</v>
      </c>
      <c r="D17" s="283" t="s">
        <v>399</v>
      </c>
      <c r="E17" s="284" t="n">
        <v>2</v>
      </c>
      <c r="F17" s="285" t="s">
        <v>386</v>
      </c>
      <c r="G17" s="286" t="n">
        <v>17.19</v>
      </c>
      <c r="H17" s="287"/>
      <c r="I17" s="81"/>
      <c r="J17" s="91" t="n">
        <f aca="false">'Ocorrências Mensais - FAT'!G35</f>
        <v>0.333333333333333</v>
      </c>
      <c r="K17" s="288" t="n">
        <f aca="false">G17*J17</f>
        <v>5.73</v>
      </c>
      <c r="L17" s="49" t="n">
        <f aca="false">IF(F17="MENSAL",1,IF(F17="BIMESTRAL",2,IF(F17="TRIMESTRAL",3,IF(F17="QUADRIMESTRAL",4,IF(F17="SEMESTRAL",6,IF(F17="ANUAL",12,IF(F17="BIENAL",24,"")))))))</f>
        <v>6</v>
      </c>
      <c r="N17" s="289" t="n">
        <v>1.3</v>
      </c>
      <c r="O17" s="49" t="n">
        <f aca="false">ROUND(IF(Dados!$J$56="SIM",N17*Dados!$N$56,N17),2)</f>
        <v>1.3</v>
      </c>
      <c r="P17" s="49" t="n">
        <f aca="false">ROUND(IF(Dados!$J$57="SIM",O17*Dados!$N$57,O17),2)</f>
        <v>1.3</v>
      </c>
      <c r="Q17" s="49" t="n">
        <f aca="false">ROUND(IF(Dados!$J$58="SIM",P17*Dados!$N$58,P17),2)</f>
        <v>1.3</v>
      </c>
      <c r="R17" s="49" t="n">
        <f aca="false">ROUND(IF(Dados!$J$59="SIM",Q17*Dados!$N$59,Q17),2)</f>
        <v>1.3</v>
      </c>
      <c r="S17" s="99" t="n">
        <f aca="false">ROUND(IF(Dados!$J$60="SIM",R17*Dados!$N$60,R17),2)</f>
        <v>1.3</v>
      </c>
    </row>
    <row r="18" s="82" customFormat="true" ht="72" hidden="false" customHeight="false" outlineLevel="0" collapsed="false">
      <c r="A18" s="280" t="n">
        <v>11</v>
      </c>
      <c r="B18" s="281" t="s">
        <v>400</v>
      </c>
      <c r="C18" s="282" t="s">
        <v>379</v>
      </c>
      <c r="D18" s="283" t="s">
        <v>401</v>
      </c>
      <c r="E18" s="284" t="n">
        <v>2</v>
      </c>
      <c r="F18" s="285" t="s">
        <v>393</v>
      </c>
      <c r="G18" s="286" t="n">
        <v>45.9</v>
      </c>
      <c r="H18" s="287"/>
      <c r="I18" s="81"/>
      <c r="J18" s="91" t="n">
        <f aca="false">'Ocorrências Mensais - FAT'!G36</f>
        <v>1</v>
      </c>
      <c r="K18" s="288" t="n">
        <f aca="false">G18*J18</f>
        <v>45.9</v>
      </c>
      <c r="L18" s="49" t="n">
        <f aca="false">IF(F18="MENSAL",1,IF(F18="BIMESTRAL",2,IF(F18="TRIMESTRAL",3,IF(F18="QUADRIMESTRAL",4,IF(F18="SEMESTRAL",6,IF(F18="ANUAL",12,IF(F18="BIENAL",24,"")))))))</f>
        <v>2</v>
      </c>
      <c r="N18" s="289" t="n">
        <v>1</v>
      </c>
      <c r="O18" s="49" t="n">
        <f aca="false">ROUND(IF(Dados!$J$56="SIM",N18*Dados!$N$56,N18),2)</f>
        <v>1</v>
      </c>
      <c r="P18" s="49" t="n">
        <f aca="false">ROUND(IF(Dados!$J$57="SIM",O18*Dados!$N$57,O18),2)</f>
        <v>1</v>
      </c>
      <c r="Q18" s="49" t="n">
        <f aca="false">ROUND(IF(Dados!$J$58="SIM",P18*Dados!$N$58,P18),2)</f>
        <v>1</v>
      </c>
      <c r="R18" s="49" t="n">
        <f aca="false">ROUND(IF(Dados!$J$59="SIM",Q18*Dados!$N$59,Q18),2)</f>
        <v>1</v>
      </c>
      <c r="S18" s="99" t="n">
        <f aca="false">ROUND(IF(Dados!$J$60="SIM",R18*Dados!$N$60,R18),2)</f>
        <v>1</v>
      </c>
    </row>
    <row r="19" s="82" customFormat="true" ht="72" hidden="false" customHeight="false" outlineLevel="0" collapsed="false">
      <c r="A19" s="280" t="n">
        <v>12</v>
      </c>
      <c r="B19" s="291" t="s">
        <v>402</v>
      </c>
      <c r="C19" s="282" t="s">
        <v>379</v>
      </c>
      <c r="D19" s="283" t="s">
        <v>403</v>
      </c>
      <c r="E19" s="284" t="n">
        <v>2</v>
      </c>
      <c r="F19" s="285" t="s">
        <v>377</v>
      </c>
      <c r="G19" s="286" t="n">
        <v>44.79</v>
      </c>
      <c r="H19" s="287"/>
      <c r="I19" s="81"/>
      <c r="J19" s="91" t="n">
        <f aca="false">'Ocorrências Mensais - FAT'!G37</f>
        <v>2</v>
      </c>
      <c r="K19" s="288" t="n">
        <f aca="false">G19*J19</f>
        <v>89.58</v>
      </c>
      <c r="L19" s="49" t="n">
        <f aca="false">IF(F19="MENSAL",1,IF(F19="BIMESTRAL",2,IF(F19="TRIMESTRAL",3,IF(F19="QUADRIMESTRAL",4,IF(F19="SEMESTRAL",6,IF(F19="ANUAL",12,IF(F19="BIENAL",24,"")))))))</f>
        <v>1</v>
      </c>
      <c r="N19" s="289" t="n">
        <v>1.4</v>
      </c>
      <c r="O19" s="49" t="n">
        <f aca="false">ROUND(IF(Dados!$J$56="SIM",N19*Dados!$N$56,N19),2)</f>
        <v>1.4</v>
      </c>
      <c r="P19" s="49" t="n">
        <f aca="false">ROUND(IF(Dados!$J$57="SIM",O19*Dados!$N$57,O19),2)</f>
        <v>1.4</v>
      </c>
      <c r="Q19" s="49" t="n">
        <f aca="false">ROUND(IF(Dados!$J$58="SIM",P19*Dados!$N$58,P19),2)</f>
        <v>1.4</v>
      </c>
      <c r="R19" s="49" t="n">
        <f aca="false">ROUND(IF(Dados!$J$59="SIM",Q19*Dados!$N$59,Q19),2)</f>
        <v>1.4</v>
      </c>
      <c r="S19" s="99" t="n">
        <f aca="false">ROUND(IF(Dados!$J$60="SIM",R19*Dados!$N$60,R19),2)</f>
        <v>1.4</v>
      </c>
    </row>
    <row r="20" s="82" customFormat="true" ht="72" hidden="false" customHeight="false" outlineLevel="0" collapsed="false">
      <c r="A20" s="280" t="n">
        <v>13</v>
      </c>
      <c r="B20" s="291" t="s">
        <v>404</v>
      </c>
      <c r="C20" s="282" t="s">
        <v>375</v>
      </c>
      <c r="D20" s="283" t="s">
        <v>405</v>
      </c>
      <c r="E20" s="284" t="n">
        <v>7</v>
      </c>
      <c r="F20" s="285" t="s">
        <v>377</v>
      </c>
      <c r="G20" s="286" t="n">
        <v>2.99</v>
      </c>
      <c r="H20" s="287"/>
      <c r="I20" s="81"/>
      <c r="J20" s="91" t="n">
        <f aca="false">'Ocorrências Mensais - FAT'!G38</f>
        <v>7</v>
      </c>
      <c r="K20" s="288" t="n">
        <f aca="false">G20*J20</f>
        <v>20.93</v>
      </c>
      <c r="L20" s="49" t="n">
        <f aca="false">IF(F20="MENSAL",1,IF(F20="BIMESTRAL",2,IF(F20="TRIMESTRAL",3,IF(F20="QUADRIMESTRAL",4,IF(F20="SEMESTRAL",6,IF(F20="ANUAL",12,IF(F20="BIENAL",24,"")))))))</f>
        <v>1</v>
      </c>
      <c r="N20" s="289" t="n">
        <v>9.1</v>
      </c>
      <c r="O20" s="49" t="n">
        <f aca="false">ROUND(IF(Dados!$J$56="SIM",N20*Dados!$N$56,N20),2)</f>
        <v>9.1</v>
      </c>
      <c r="P20" s="49" t="n">
        <f aca="false">ROUND(IF(Dados!$J$57="SIM",O20*Dados!$N$57,O20),2)</f>
        <v>9.1</v>
      </c>
      <c r="Q20" s="49" t="n">
        <f aca="false">ROUND(IF(Dados!$J$58="SIM",P20*Dados!$N$58,P20),2)</f>
        <v>9.1</v>
      </c>
      <c r="R20" s="49" t="n">
        <f aca="false">ROUND(IF(Dados!$J$59="SIM",Q20*Dados!$N$59,Q20),2)</f>
        <v>9.1</v>
      </c>
      <c r="S20" s="99" t="n">
        <f aca="false">ROUND(IF(Dados!$J$60="SIM",R20*Dados!$N$60,R20),2)</f>
        <v>9.1</v>
      </c>
    </row>
    <row r="21" s="82" customFormat="true" ht="28.5" hidden="false" customHeight="false" outlineLevel="0" collapsed="false">
      <c r="A21" s="280" t="n">
        <v>14</v>
      </c>
      <c r="B21" s="291" t="s">
        <v>406</v>
      </c>
      <c r="C21" s="282" t="s">
        <v>375</v>
      </c>
      <c r="D21" s="283" t="s">
        <v>407</v>
      </c>
      <c r="E21" s="284" t="n">
        <v>1</v>
      </c>
      <c r="F21" s="285" t="s">
        <v>386</v>
      </c>
      <c r="G21" s="286" t="n">
        <v>5.57</v>
      </c>
      <c r="H21" s="287"/>
      <c r="I21" s="81"/>
      <c r="J21" s="91" t="n">
        <f aca="false">'Ocorrências Mensais - FAT'!G39</f>
        <v>0.166666666666667</v>
      </c>
      <c r="K21" s="288" t="n">
        <f aca="false">G21*J21</f>
        <v>0.928333333333333</v>
      </c>
      <c r="L21" s="49" t="n">
        <f aca="false">IF(F21="MENSAL",1,IF(F21="BIMESTRAL",2,IF(F21="TRIMESTRAL",3,IF(F21="QUADRIMESTRAL",4,IF(F21="SEMESTRAL",6,IF(F21="ANUAL",12,IF(F21="BIENAL",24,"")))))))</f>
        <v>6</v>
      </c>
      <c r="N21" s="289" t="n">
        <v>1</v>
      </c>
      <c r="O21" s="49" t="n">
        <f aca="false">ROUND(IF(Dados!$J$56="SIM",N21*Dados!$N$56,N21),2)</f>
        <v>1</v>
      </c>
      <c r="P21" s="49" t="n">
        <f aca="false">ROUND(IF(Dados!$J$57="SIM",O21*Dados!$N$57,O21),2)</f>
        <v>1</v>
      </c>
      <c r="Q21" s="49" t="n">
        <f aca="false">ROUND(IF(Dados!$J$58="SIM",P21*Dados!$N$58,P21),2)</f>
        <v>1</v>
      </c>
      <c r="R21" s="49" t="n">
        <f aca="false">ROUND(IF(Dados!$J$59="SIM",Q21*Dados!$N$59,Q21),2)</f>
        <v>1</v>
      </c>
      <c r="S21" s="99" t="n">
        <f aca="false">ROUND(IF(Dados!$J$60="SIM",R21*Dados!$N$60,R21),2)</f>
        <v>1</v>
      </c>
    </row>
    <row r="22" s="82" customFormat="true" ht="42.75" hidden="false" customHeight="false" outlineLevel="0" collapsed="false">
      <c r="A22" s="280" t="n">
        <v>15</v>
      </c>
      <c r="B22" s="291" t="s">
        <v>408</v>
      </c>
      <c r="C22" s="282" t="s">
        <v>375</v>
      </c>
      <c r="D22" s="283" t="s">
        <v>409</v>
      </c>
      <c r="E22" s="284" t="n">
        <v>2</v>
      </c>
      <c r="F22" s="285" t="s">
        <v>386</v>
      </c>
      <c r="G22" s="286" t="n">
        <v>16.11</v>
      </c>
      <c r="H22" s="287"/>
      <c r="I22" s="81"/>
      <c r="J22" s="91" t="n">
        <f aca="false">'Ocorrências Mensais - FAT'!G40</f>
        <v>0.333333333333333</v>
      </c>
      <c r="K22" s="288" t="n">
        <f aca="false">G22*J22</f>
        <v>5.37</v>
      </c>
      <c r="L22" s="49" t="n">
        <f aca="false">IF(F22="MENSAL",1,IF(F22="BIMESTRAL",2,IF(F22="TRIMESTRAL",3,IF(F22="QUADRIMESTRAL",4,IF(F22="SEMESTRAL",6,IF(F22="ANUAL",12,IF(F22="BIENAL",24,"")))))))</f>
        <v>6</v>
      </c>
      <c r="N22" s="289" t="n">
        <v>1.59</v>
      </c>
      <c r="O22" s="49" t="n">
        <f aca="false">ROUND(IF(Dados!$J$56="SIM",N22*Dados!$N$56,N22),2)</f>
        <v>1.59</v>
      </c>
      <c r="P22" s="49" t="n">
        <f aca="false">ROUND(IF(Dados!$J$57="SIM",O22*Dados!$N$57,O22),2)</f>
        <v>1.59</v>
      </c>
      <c r="Q22" s="49" t="n">
        <f aca="false">ROUND(IF(Dados!$J$58="SIM",P22*Dados!$N$58,P22),2)</f>
        <v>1.59</v>
      </c>
      <c r="R22" s="49" t="n">
        <f aca="false">ROUND(IF(Dados!$J$59="SIM",Q22*Dados!$N$59,Q22),2)</f>
        <v>1.59</v>
      </c>
      <c r="S22" s="99" t="n">
        <f aca="false">ROUND(IF(Dados!$J$60="SIM",R22*Dados!$N$60,R22),2)</f>
        <v>1.59</v>
      </c>
    </row>
    <row r="23" s="82" customFormat="true" ht="72" hidden="false" customHeight="false" outlineLevel="0" collapsed="false">
      <c r="A23" s="280" t="n">
        <v>16</v>
      </c>
      <c r="B23" s="291" t="s">
        <v>410</v>
      </c>
      <c r="C23" s="282" t="s">
        <v>411</v>
      </c>
      <c r="D23" s="283" t="s">
        <v>412</v>
      </c>
      <c r="E23" s="284" t="n">
        <v>2</v>
      </c>
      <c r="F23" s="285" t="s">
        <v>377</v>
      </c>
      <c r="G23" s="286" t="n">
        <v>6.4</v>
      </c>
      <c r="H23" s="290"/>
      <c r="I23" s="81"/>
      <c r="J23" s="91" t="n">
        <f aca="false">'Ocorrências Mensais - FAT'!G41</f>
        <v>2</v>
      </c>
      <c r="K23" s="288" t="n">
        <f aca="false">G23*J23</f>
        <v>12.8</v>
      </c>
      <c r="L23" s="49" t="n">
        <f aca="false">IF(F23="MENSAL",1,IF(F23="BIMESTRAL",2,IF(F23="TRIMESTRAL",3,IF(F23="QUADRIMESTRAL",4,IF(F23="SEMESTRAL",6,IF(F23="ANUAL",12,IF(F23="BIENAL",24,"")))))))</f>
        <v>1</v>
      </c>
      <c r="N23" s="289" t="n">
        <v>10.9</v>
      </c>
      <c r="O23" s="49" t="n">
        <f aca="false">ROUND(IF(Dados!$J$56="SIM",N23*Dados!$N$56,N23),2)</f>
        <v>10.9</v>
      </c>
      <c r="P23" s="49" t="n">
        <f aca="false">ROUND(IF(Dados!$J$57="SIM",O23*Dados!$N$57,O23),2)</f>
        <v>10.9</v>
      </c>
      <c r="Q23" s="49" t="n">
        <f aca="false">ROUND(IF(Dados!$J$58="SIM",P23*Dados!$N$58,P23),2)</f>
        <v>10.9</v>
      </c>
      <c r="R23" s="49" t="n">
        <f aca="false">ROUND(IF(Dados!$J$59="SIM",Q23*Dados!$N$59,Q23),2)</f>
        <v>10.9</v>
      </c>
      <c r="S23" s="99" t="n">
        <f aca="false">ROUND(IF(Dados!$J$60="SIM",R23*Dados!$N$60,R23),2)</f>
        <v>10.9</v>
      </c>
    </row>
    <row r="24" s="82" customFormat="true" ht="42.75" hidden="false" customHeight="false" outlineLevel="0" collapsed="false">
      <c r="A24" s="280" t="n">
        <v>17</v>
      </c>
      <c r="B24" s="291" t="s">
        <v>413</v>
      </c>
      <c r="C24" s="282" t="s">
        <v>411</v>
      </c>
      <c r="D24" s="283" t="s">
        <v>414</v>
      </c>
      <c r="E24" s="284" t="n">
        <v>2</v>
      </c>
      <c r="F24" s="285" t="s">
        <v>381</v>
      </c>
      <c r="G24" s="286" t="n">
        <v>2.94</v>
      </c>
      <c r="H24" s="290"/>
      <c r="I24" s="81"/>
      <c r="J24" s="91" t="n">
        <f aca="false">'Ocorrências Mensais - FAT'!G42</f>
        <v>0.666666666666667</v>
      </c>
      <c r="K24" s="288" t="n">
        <f aca="false">G24*J24</f>
        <v>1.96</v>
      </c>
      <c r="L24" s="49" t="n">
        <f aca="false">IF(F24="MENSAL",1,IF(F24="BIMESTRAL",2,IF(F24="TRIMESTRAL",3,IF(F24="QUADRIMESTRAL",4,IF(F24="SEMESTRAL",6,IF(F24="ANUAL",12,IF(F24="BIENAL",24,"")))))))</f>
        <v>3</v>
      </c>
      <c r="N24" s="289" t="n">
        <v>3</v>
      </c>
      <c r="O24" s="49" t="n">
        <f aca="false">ROUND(IF(Dados!$J$56="SIM",N24*Dados!$N$56,N24),2)</f>
        <v>3</v>
      </c>
      <c r="P24" s="49" t="n">
        <f aca="false">ROUND(IF(Dados!$J$57="SIM",O24*Dados!$N$57,O24),2)</f>
        <v>3</v>
      </c>
      <c r="Q24" s="49" t="n">
        <f aca="false">ROUND(IF(Dados!$J$58="SIM",P24*Dados!$N$58,P24),2)</f>
        <v>3</v>
      </c>
      <c r="R24" s="49" t="n">
        <f aca="false">ROUND(IF(Dados!$J$59="SIM",Q24*Dados!$N$59,Q24),2)</f>
        <v>3</v>
      </c>
      <c r="S24" s="99" t="n">
        <f aca="false">ROUND(IF(Dados!$J$60="SIM",R24*Dados!$N$60,R24),2)</f>
        <v>3</v>
      </c>
    </row>
    <row r="25" s="82" customFormat="true" ht="28.5" hidden="false" customHeight="false" outlineLevel="0" collapsed="false">
      <c r="A25" s="280" t="n">
        <v>18</v>
      </c>
      <c r="B25" s="291" t="s">
        <v>415</v>
      </c>
      <c r="C25" s="282" t="s">
        <v>375</v>
      </c>
      <c r="D25" s="283" t="s">
        <v>416</v>
      </c>
      <c r="E25" s="284" t="n">
        <v>6</v>
      </c>
      <c r="F25" s="285" t="s">
        <v>381</v>
      </c>
      <c r="G25" s="286" t="n">
        <v>16.99</v>
      </c>
      <c r="H25" s="290"/>
      <c r="I25" s="81"/>
      <c r="J25" s="91" t="n">
        <f aca="false">'Ocorrências Mensais - FAT'!G43</f>
        <v>2</v>
      </c>
      <c r="K25" s="288" t="n">
        <f aca="false">G25*J25</f>
        <v>33.98</v>
      </c>
      <c r="L25" s="49" t="n">
        <f aca="false">IF(F25="MENSAL",1,IF(F25="BIMESTRAL",2,IF(F25="TRIMESTRAL",3,IF(F25="QUADRIMESTRAL",4,IF(F25="SEMESTRAL",6,IF(F25="ANUAL",12,IF(F25="BIENAL",24,"")))))))</f>
        <v>3</v>
      </c>
      <c r="N25" s="289" t="n">
        <v>1</v>
      </c>
      <c r="O25" s="49" t="n">
        <f aca="false">ROUND(IF(Dados!$J$56="SIM",N25*Dados!$N$56,N25),2)</f>
        <v>1</v>
      </c>
      <c r="P25" s="49" t="n">
        <f aca="false">ROUND(IF(Dados!$J$57="SIM",O25*Dados!$N$57,O25),2)</f>
        <v>1</v>
      </c>
      <c r="Q25" s="49" t="n">
        <f aca="false">ROUND(IF(Dados!$J$58="SIM",P25*Dados!$N$58,P25),2)</f>
        <v>1</v>
      </c>
      <c r="R25" s="49" t="n">
        <f aca="false">ROUND(IF(Dados!$J$59="SIM",Q25*Dados!$N$59,Q25),2)</f>
        <v>1</v>
      </c>
      <c r="S25" s="99" t="n">
        <f aca="false">ROUND(IF(Dados!$J$60="SIM",R25*Dados!$N$60,R25),2)</f>
        <v>1</v>
      </c>
    </row>
    <row r="26" s="82" customFormat="true" ht="40.5" hidden="false" customHeight="true" outlineLevel="0" collapsed="false">
      <c r="A26" s="280" t="n">
        <v>19</v>
      </c>
      <c r="B26" s="291" t="s">
        <v>417</v>
      </c>
      <c r="C26" s="282" t="s">
        <v>375</v>
      </c>
      <c r="D26" s="283" t="s">
        <v>418</v>
      </c>
      <c r="E26" s="284" t="n">
        <v>5</v>
      </c>
      <c r="F26" s="285" t="s">
        <v>377</v>
      </c>
      <c r="G26" s="286" t="n">
        <v>4.28</v>
      </c>
      <c r="H26" s="287"/>
      <c r="I26" s="81"/>
      <c r="J26" s="91" t="n">
        <f aca="false">'Ocorrências Mensais - FAT'!G44</f>
        <v>5</v>
      </c>
      <c r="K26" s="288" t="n">
        <f aca="false">G26*J26</f>
        <v>21.4</v>
      </c>
      <c r="L26" s="49" t="n">
        <f aca="false">IF(F26="MENSAL",1,IF(F26="BIMESTRAL",2,IF(F26="TRIMESTRAL",3,IF(F26="QUADRIMESTRAL",4,IF(F26="SEMESTRAL",6,IF(F26="ANUAL",12,IF(F26="BIENAL",24,"")))))))</f>
        <v>1</v>
      </c>
      <c r="N26" s="289" t="n">
        <v>2</v>
      </c>
      <c r="O26" s="49" t="n">
        <f aca="false">ROUND(IF(Dados!$J$56="SIM",N26*Dados!$N$56,N26),2)</f>
        <v>2</v>
      </c>
      <c r="P26" s="49" t="n">
        <f aca="false">ROUND(IF(Dados!$J$57="SIM",O26*Dados!$N$57,O26),2)</f>
        <v>2</v>
      </c>
      <c r="Q26" s="49" t="n">
        <f aca="false">ROUND(IF(Dados!$J$58="SIM",P26*Dados!$N$58,P26),2)</f>
        <v>2</v>
      </c>
      <c r="R26" s="49" t="n">
        <f aca="false">ROUND(IF(Dados!$J$59="SIM",Q26*Dados!$N$59,Q26),2)</f>
        <v>2</v>
      </c>
      <c r="S26" s="99" t="n">
        <f aca="false">ROUND(IF(Dados!$J$60="SIM",R26*Dados!$N$60,R26),2)</f>
        <v>2</v>
      </c>
    </row>
    <row r="27" s="82" customFormat="true" ht="72" hidden="false" customHeight="false" outlineLevel="0" collapsed="false">
      <c r="A27" s="280" t="n">
        <v>20</v>
      </c>
      <c r="B27" s="291" t="s">
        <v>419</v>
      </c>
      <c r="C27" s="282" t="s">
        <v>379</v>
      </c>
      <c r="D27" s="283" t="s">
        <v>420</v>
      </c>
      <c r="E27" s="284" t="n">
        <v>1</v>
      </c>
      <c r="F27" s="285" t="s">
        <v>386</v>
      </c>
      <c r="G27" s="286" t="n">
        <v>58.35</v>
      </c>
      <c r="H27" s="287"/>
      <c r="I27" s="81"/>
      <c r="J27" s="91" t="n">
        <f aca="false">'Ocorrências Mensais - FAT'!G45</f>
        <v>0.166666666666667</v>
      </c>
      <c r="K27" s="288" t="n">
        <f aca="false">G27*J27</f>
        <v>9.725</v>
      </c>
      <c r="L27" s="49" t="n">
        <f aca="false">IF(F27="MENSAL",1,IF(F27="BIMESTRAL",2,IF(F27="TRIMESTRAL",3,IF(F27="QUADRIMESTRAL",4,IF(F27="SEMESTRAL",6,IF(F27="ANUAL",12,IF(F27="BIENAL",24,"")))))))</f>
        <v>6</v>
      </c>
      <c r="N27" s="289" t="n">
        <v>20</v>
      </c>
      <c r="O27" s="49" t="n">
        <f aca="false">ROUND(IF(Dados!$J$56="SIM",N27*Dados!$N$56,N27),2)</f>
        <v>20</v>
      </c>
      <c r="P27" s="49" t="n">
        <f aca="false">ROUND(IF(Dados!$J$57="SIM",O27*Dados!$N$57,O27),2)</f>
        <v>20</v>
      </c>
      <c r="Q27" s="49" t="n">
        <f aca="false">ROUND(IF(Dados!$J$58="SIM",P27*Dados!$N$58,P27),2)</f>
        <v>20</v>
      </c>
      <c r="R27" s="49" t="n">
        <f aca="false">ROUND(IF(Dados!$J$59="SIM",Q27*Dados!$N$59,Q27),2)</f>
        <v>20</v>
      </c>
      <c r="S27" s="99" t="n">
        <f aca="false">ROUND(IF(Dados!$J$60="SIM",R27*Dados!$N$60,R27),2)</f>
        <v>20</v>
      </c>
    </row>
    <row r="28" s="82" customFormat="true" ht="57" hidden="false" customHeight="false" outlineLevel="0" collapsed="false">
      <c r="A28" s="280" t="n">
        <v>21</v>
      </c>
      <c r="B28" s="291" t="s">
        <v>421</v>
      </c>
      <c r="C28" s="282" t="s">
        <v>375</v>
      </c>
      <c r="D28" s="283" t="s">
        <v>422</v>
      </c>
      <c r="E28" s="284" t="n">
        <v>3</v>
      </c>
      <c r="F28" s="285" t="s">
        <v>377</v>
      </c>
      <c r="G28" s="286" t="n">
        <v>6.82</v>
      </c>
      <c r="H28" s="290"/>
      <c r="I28" s="81"/>
      <c r="J28" s="91" t="n">
        <f aca="false">'Ocorrências Mensais - FAT'!G46</f>
        <v>3</v>
      </c>
      <c r="K28" s="288" t="n">
        <f aca="false">G28*J28</f>
        <v>20.46</v>
      </c>
      <c r="L28" s="49" t="n">
        <f aca="false">IF(F28="MENSAL",1,IF(F28="BIMESTRAL",2,IF(F28="TRIMESTRAL",3,IF(F28="QUADRIMESTRAL",4,IF(F28="SEMESTRAL",6,IF(F28="ANUAL",12,IF(F28="BIENAL",24,"")))))))</f>
        <v>1</v>
      </c>
      <c r="N28" s="289" t="n">
        <v>6.3</v>
      </c>
      <c r="O28" s="49" t="n">
        <f aca="false">ROUND(IF(Dados!$J$56="SIM",N28*Dados!$N$56,N28),2)</f>
        <v>6.3</v>
      </c>
      <c r="P28" s="49" t="n">
        <f aca="false">ROUND(IF(Dados!$J$57="SIM",O28*Dados!$N$57,O28),2)</f>
        <v>6.3</v>
      </c>
      <c r="Q28" s="49" t="n">
        <f aca="false">ROUND(IF(Dados!$J$58="SIM",P28*Dados!$N$58,P28),2)</f>
        <v>6.3</v>
      </c>
      <c r="R28" s="49" t="n">
        <f aca="false">ROUND(IF(Dados!$J$59="SIM",Q28*Dados!$N$59,Q28),2)</f>
        <v>6.3</v>
      </c>
      <c r="S28" s="99" t="n">
        <f aca="false">ROUND(IF(Dados!$J$60="SIM",R28*Dados!$N$60,R28),2)</f>
        <v>6.3</v>
      </c>
    </row>
    <row r="29" s="82" customFormat="true" ht="72" hidden="false" customHeight="false" outlineLevel="0" collapsed="false">
      <c r="A29" s="280" t="n">
        <v>22</v>
      </c>
      <c r="B29" s="291" t="s">
        <v>423</v>
      </c>
      <c r="C29" s="282" t="s">
        <v>375</v>
      </c>
      <c r="D29" s="283" t="s">
        <v>424</v>
      </c>
      <c r="E29" s="284" t="n">
        <v>8</v>
      </c>
      <c r="F29" s="285" t="s">
        <v>377</v>
      </c>
      <c r="G29" s="286" t="n">
        <v>5.08</v>
      </c>
      <c r="H29" s="290"/>
      <c r="I29" s="81"/>
      <c r="J29" s="91" t="n">
        <f aca="false">'Ocorrências Mensais - FAT'!G47</f>
        <v>8</v>
      </c>
      <c r="K29" s="288" t="n">
        <f aca="false">G29*J29</f>
        <v>40.64</v>
      </c>
      <c r="L29" s="49" t="n">
        <f aca="false">IF(F29="MENSAL",1,IF(F29="BIMESTRAL",2,IF(F29="TRIMESTRAL",3,IF(F29="QUADRIMESTRAL",4,IF(F29="SEMESTRAL",6,IF(F29="ANUAL",12,IF(F29="BIENAL",24,"")))))))</f>
        <v>1</v>
      </c>
      <c r="N29" s="289" t="n">
        <v>8.99</v>
      </c>
      <c r="O29" s="49" t="n">
        <f aca="false">ROUND(IF(Dados!$J$56="SIM",N29*Dados!$N$56,N29),2)</f>
        <v>8.99</v>
      </c>
      <c r="P29" s="49" t="n">
        <f aca="false">ROUND(IF(Dados!$J$57="SIM",O29*Dados!$N$57,O29),2)</f>
        <v>8.99</v>
      </c>
      <c r="Q29" s="49" t="n">
        <f aca="false">ROUND(IF(Dados!$J$58="SIM",P29*Dados!$N$58,P29),2)</f>
        <v>8.99</v>
      </c>
      <c r="R29" s="49" t="n">
        <f aca="false">ROUND(IF(Dados!$J$59="SIM",Q29*Dados!$N$59,Q29),2)</f>
        <v>8.99</v>
      </c>
      <c r="S29" s="99" t="n">
        <f aca="false">ROUND(IF(Dados!$J$60="SIM",R29*Dados!$N$60,R29),2)</f>
        <v>8.99</v>
      </c>
    </row>
    <row r="30" s="82" customFormat="true" ht="57" hidden="false" customHeight="false" outlineLevel="0" collapsed="false">
      <c r="A30" s="280" t="n">
        <v>23</v>
      </c>
      <c r="B30" s="291" t="s">
        <v>425</v>
      </c>
      <c r="C30" s="282" t="s">
        <v>375</v>
      </c>
      <c r="D30" s="283" t="s">
        <v>424</v>
      </c>
      <c r="E30" s="284" t="n">
        <v>1</v>
      </c>
      <c r="F30" s="285" t="s">
        <v>386</v>
      </c>
      <c r="G30" s="286" t="n">
        <v>7.5</v>
      </c>
      <c r="H30" s="287"/>
      <c r="I30" s="81"/>
      <c r="J30" s="91" t="n">
        <f aca="false">'Ocorrências Mensais - FAT'!G48</f>
        <v>0.166666666666667</v>
      </c>
      <c r="K30" s="288" t="n">
        <f aca="false">G30*J30</f>
        <v>1.25</v>
      </c>
      <c r="L30" s="49" t="n">
        <f aca="false">IF(F30="MENSAL",1,IF(F30="BIMESTRAL",2,IF(F30="TRIMESTRAL",3,IF(F30="QUADRIMESTRAL",4,IF(F30="SEMESTRAL",6,IF(F30="ANUAL",12,IF(F30="BIENAL",24,"")))))))</f>
        <v>6</v>
      </c>
      <c r="N30" s="289" t="n">
        <v>5</v>
      </c>
      <c r="O30" s="49" t="n">
        <f aca="false">ROUND(IF(Dados!$J$56="SIM",N30*Dados!$N$56,N30),2)</f>
        <v>5</v>
      </c>
      <c r="P30" s="49" t="n">
        <f aca="false">ROUND(IF(Dados!$J$57="SIM",O30*Dados!$N$57,O30),2)</f>
        <v>5</v>
      </c>
      <c r="Q30" s="49" t="n">
        <f aca="false">ROUND(IF(Dados!$J$58="SIM",P30*Dados!$N$58,P30),2)</f>
        <v>5</v>
      </c>
      <c r="R30" s="49" t="n">
        <f aca="false">ROUND(IF(Dados!$J$59="SIM",Q30*Dados!$N$59,Q30),2)</f>
        <v>5</v>
      </c>
      <c r="S30" s="99" t="n">
        <f aca="false">ROUND(IF(Dados!$J$60="SIM",R30*Dados!$N$60,R30),2)</f>
        <v>5</v>
      </c>
    </row>
    <row r="31" s="82" customFormat="true" ht="57" hidden="false" customHeight="false" outlineLevel="0" collapsed="false">
      <c r="A31" s="280" t="n">
        <v>24</v>
      </c>
      <c r="B31" s="291" t="s">
        <v>426</v>
      </c>
      <c r="C31" s="282" t="s">
        <v>427</v>
      </c>
      <c r="D31" s="283" t="s">
        <v>428</v>
      </c>
      <c r="E31" s="284" t="n">
        <v>5</v>
      </c>
      <c r="F31" s="285" t="s">
        <v>377</v>
      </c>
      <c r="G31" s="286" t="n">
        <v>13.38</v>
      </c>
      <c r="H31" s="287"/>
      <c r="I31" s="81"/>
      <c r="J31" s="91" t="n">
        <f aca="false">'Ocorrências Mensais - FAT'!G49</f>
        <v>5</v>
      </c>
      <c r="K31" s="288" t="n">
        <f aca="false">G31*J31</f>
        <v>66.9</v>
      </c>
      <c r="L31" s="49" t="n">
        <f aca="false">IF(F31="MENSAL",1,IF(F31="BIMESTRAL",2,IF(F31="TRIMESTRAL",3,IF(F31="QUADRIMESTRAL",4,IF(F31="SEMESTRAL",6,IF(F31="ANUAL",12,IF(F31="BIENAL",24,"")))))))</f>
        <v>1</v>
      </c>
      <c r="N31" s="289" t="n">
        <v>1.5</v>
      </c>
      <c r="O31" s="49" t="n">
        <f aca="false">ROUND(IF(Dados!$J$56="SIM",N31*Dados!$N$56,N31),2)</f>
        <v>1.5</v>
      </c>
      <c r="P31" s="49" t="n">
        <f aca="false">ROUND(IF(Dados!$J$57="SIM",O31*Dados!$N$57,O31),2)</f>
        <v>1.5</v>
      </c>
      <c r="Q31" s="49" t="n">
        <f aca="false">ROUND(IF(Dados!$J$58="SIM",P31*Dados!$N$58,P31),2)</f>
        <v>1.5</v>
      </c>
      <c r="R31" s="49" t="n">
        <f aca="false">ROUND(IF(Dados!$J$59="SIM",Q31*Dados!$N$59,Q31),2)</f>
        <v>1.5</v>
      </c>
      <c r="S31" s="99" t="n">
        <f aca="false">ROUND(IF(Dados!$J$60="SIM",R31*Dados!$N$60,R31),2)</f>
        <v>1.5</v>
      </c>
    </row>
    <row r="32" s="82" customFormat="true" ht="28.5" hidden="false" customHeight="false" outlineLevel="0" collapsed="false">
      <c r="A32" s="280" t="n">
        <v>25</v>
      </c>
      <c r="B32" s="291" t="s">
        <v>429</v>
      </c>
      <c r="C32" s="282" t="s">
        <v>375</v>
      </c>
      <c r="D32" s="283" t="s">
        <v>430</v>
      </c>
      <c r="E32" s="284" t="n">
        <v>1</v>
      </c>
      <c r="F32" s="285" t="s">
        <v>391</v>
      </c>
      <c r="G32" s="286" t="n">
        <v>148.99</v>
      </c>
      <c r="H32" s="287"/>
      <c r="I32" s="81"/>
      <c r="J32" s="91" t="n">
        <f aca="false">'Ocorrências Mensais - FAT'!G50</f>
        <v>0.0833333333333333</v>
      </c>
      <c r="K32" s="288" t="n">
        <f aca="false">G32*J32</f>
        <v>12.4158333333333</v>
      </c>
      <c r="L32" s="49" t="n">
        <f aca="false">IF(F32="MENSAL",1,IF(F32="BIMESTRAL",2,IF(F32="TRIMESTRAL",3,IF(F32="QUADRIMESTRAL",4,IF(F32="SEMESTRAL",6,IF(F32="ANUAL",12,IF(F32="BIENAL",24,"")))))))</f>
        <v>12</v>
      </c>
      <c r="N32" s="289" t="n">
        <v>3.2</v>
      </c>
      <c r="O32" s="49" t="n">
        <f aca="false">ROUND(IF(Dados!$J$56="SIM",N32*Dados!$N$56,N32),2)</f>
        <v>3.2</v>
      </c>
      <c r="P32" s="49" t="n">
        <f aca="false">ROUND(IF(Dados!$J$57="SIM",O32*Dados!$N$57,O32),2)</f>
        <v>3.2</v>
      </c>
      <c r="Q32" s="49" t="n">
        <f aca="false">ROUND(IF(Dados!$J$58="SIM",P32*Dados!$N$58,P32),2)</f>
        <v>3.2</v>
      </c>
      <c r="R32" s="49" t="n">
        <f aca="false">ROUND(IF(Dados!$J$59="SIM",Q32*Dados!$N$59,Q32),2)</f>
        <v>3.2</v>
      </c>
      <c r="S32" s="99" t="n">
        <f aca="false">ROUND(IF(Dados!$J$60="SIM",R32*Dados!$N$60,R32),2)</f>
        <v>3.2</v>
      </c>
    </row>
    <row r="33" s="82" customFormat="true" ht="28.5" hidden="false" customHeight="false" outlineLevel="0" collapsed="false">
      <c r="A33" s="280" t="n">
        <v>26</v>
      </c>
      <c r="B33" s="291" t="s">
        <v>431</v>
      </c>
      <c r="C33" s="282" t="s">
        <v>375</v>
      </c>
      <c r="D33" s="283" t="s">
        <v>428</v>
      </c>
      <c r="E33" s="284" t="n">
        <v>1</v>
      </c>
      <c r="F33" s="285" t="s">
        <v>386</v>
      </c>
      <c r="G33" s="286" t="n">
        <v>13.09</v>
      </c>
      <c r="H33" s="290"/>
      <c r="I33" s="81"/>
      <c r="J33" s="91" t="n">
        <f aca="false">'Ocorrências Mensais - FAT'!G51</f>
        <v>0.166666666666667</v>
      </c>
      <c r="K33" s="288" t="n">
        <f aca="false">G33*J33</f>
        <v>2.18166666666667</v>
      </c>
      <c r="L33" s="49" t="n">
        <f aca="false">IF(F33="MENSAL",1,IF(F33="BIMESTRAL",2,IF(F33="TRIMESTRAL",3,IF(F33="QUADRIMESTRAL",4,IF(F33="SEMESTRAL",6,IF(F33="ANUAL",12,IF(F33="BIENAL",24,"")))))))</f>
        <v>6</v>
      </c>
      <c r="N33" s="289" t="n">
        <v>3.99</v>
      </c>
      <c r="O33" s="49" t="n">
        <f aca="false">ROUND(IF(Dados!$J$56="SIM",N33*Dados!$N$56,N33),2)</f>
        <v>3.99</v>
      </c>
      <c r="P33" s="49" t="n">
        <f aca="false">ROUND(IF(Dados!$J$57="SIM",O33*Dados!$N$57,O33),2)</f>
        <v>3.99</v>
      </c>
      <c r="Q33" s="49" t="n">
        <f aca="false">ROUND(IF(Dados!$J$58="SIM",P33*Dados!$N$58,P33),2)</f>
        <v>3.99</v>
      </c>
      <c r="R33" s="49" t="n">
        <f aca="false">ROUND(IF(Dados!$J$59="SIM",Q33*Dados!$N$59,Q33),2)</f>
        <v>3.99</v>
      </c>
      <c r="S33" s="99" t="n">
        <f aca="false">ROUND(IF(Dados!$J$60="SIM",R33*Dados!$N$60,R33),2)</f>
        <v>3.99</v>
      </c>
    </row>
    <row r="34" s="82" customFormat="true" ht="57" hidden="false" customHeight="false" outlineLevel="0" collapsed="false">
      <c r="A34" s="280" t="n">
        <v>27</v>
      </c>
      <c r="B34" s="291" t="s">
        <v>432</v>
      </c>
      <c r="C34" s="282" t="s">
        <v>433</v>
      </c>
      <c r="D34" s="283" t="s">
        <v>434</v>
      </c>
      <c r="E34" s="284" t="n">
        <v>2</v>
      </c>
      <c r="F34" s="285" t="s">
        <v>377</v>
      </c>
      <c r="G34" s="286" t="n">
        <v>137.71</v>
      </c>
      <c r="H34" s="290"/>
      <c r="I34" s="81"/>
      <c r="J34" s="91" t="n">
        <f aca="false">'Ocorrências Mensais - FAT'!G52</f>
        <v>2</v>
      </c>
      <c r="K34" s="288" t="n">
        <f aca="false">G34*J34</f>
        <v>275.42</v>
      </c>
      <c r="L34" s="49" t="n">
        <f aca="false">IF(F34="MENSAL",1,IF(F34="BIMESTRAL",2,IF(F34="TRIMESTRAL",3,IF(F34="QUADRIMESTRAL",4,IF(F34="SEMESTRAL",6,IF(F34="ANUAL",12,IF(F34="BIENAL",24,"")))))))</f>
        <v>1</v>
      </c>
      <c r="N34" s="289" t="n">
        <v>1.4</v>
      </c>
      <c r="O34" s="49" t="n">
        <f aca="false">ROUND(IF(Dados!$J$56="SIM",N34*Dados!$N$56,N34),2)</f>
        <v>1.4</v>
      </c>
      <c r="P34" s="49" t="n">
        <f aca="false">ROUND(IF(Dados!$J$57="SIM",O34*Dados!$N$57,O34),2)</f>
        <v>1.4</v>
      </c>
      <c r="Q34" s="49" t="n">
        <f aca="false">ROUND(IF(Dados!$J$58="SIM",P34*Dados!$N$58,P34),2)</f>
        <v>1.4</v>
      </c>
      <c r="R34" s="49" t="n">
        <f aca="false">ROUND(IF(Dados!$J$59="SIM",Q34*Dados!$N$59,Q34),2)</f>
        <v>1.4</v>
      </c>
      <c r="S34" s="99" t="n">
        <f aca="false">ROUND(IF(Dados!$J$60="SIM",R34*Dados!$N$60,R34),2)</f>
        <v>1.4</v>
      </c>
    </row>
    <row r="35" s="82" customFormat="true" ht="57" hidden="false" customHeight="false" outlineLevel="0" collapsed="false">
      <c r="A35" s="280" t="n">
        <v>28</v>
      </c>
      <c r="B35" s="291" t="s">
        <v>435</v>
      </c>
      <c r="C35" s="282" t="s">
        <v>436</v>
      </c>
      <c r="D35" s="283" t="s">
        <v>437</v>
      </c>
      <c r="E35" s="284" t="n">
        <v>26</v>
      </c>
      <c r="F35" s="285" t="s">
        <v>377</v>
      </c>
      <c r="G35" s="286" t="n">
        <v>22.89</v>
      </c>
      <c r="H35" s="290"/>
      <c r="I35" s="81"/>
      <c r="J35" s="91" t="n">
        <f aca="false">'Ocorrências Mensais - FAT'!G53</f>
        <v>26</v>
      </c>
      <c r="K35" s="288" t="n">
        <f aca="false">G35*J35</f>
        <v>595.14</v>
      </c>
      <c r="L35" s="49" t="n">
        <f aca="false">IF(F35="MENSAL",1,IF(F35="BIMESTRAL",2,IF(F35="TRIMESTRAL",3,IF(F35="QUADRIMESTRAL",4,IF(F35="SEMESTRAL",6,IF(F35="ANUAL",12,IF(F35="BIENAL",24,"")))))))</f>
        <v>1</v>
      </c>
      <c r="N35" s="289" t="n">
        <v>2.04</v>
      </c>
      <c r="O35" s="49" t="n">
        <f aca="false">ROUND(IF(Dados!$J$56="SIM",N35*Dados!$N$56,N35),2)</f>
        <v>2.04</v>
      </c>
      <c r="P35" s="49" t="n">
        <f aca="false">ROUND(IF(Dados!$J$57="SIM",O35*Dados!$N$57,O35),2)</f>
        <v>2.04</v>
      </c>
      <c r="Q35" s="49" t="n">
        <f aca="false">ROUND(IF(Dados!$J$58="SIM",P35*Dados!$N$58,P35),2)</f>
        <v>2.04</v>
      </c>
      <c r="R35" s="49" t="n">
        <f aca="false">ROUND(IF(Dados!$J$59="SIM",Q35*Dados!$N$59,Q35),2)</f>
        <v>2.04</v>
      </c>
      <c r="S35" s="99" t="n">
        <f aca="false">ROUND(IF(Dados!$J$60="SIM",R35*Dados!$N$60,R35),2)</f>
        <v>2.04</v>
      </c>
    </row>
    <row r="36" s="82" customFormat="true" ht="28.5" hidden="false" customHeight="false" outlineLevel="0" collapsed="false">
      <c r="A36" s="280" t="n">
        <v>29</v>
      </c>
      <c r="B36" s="281" t="s">
        <v>438</v>
      </c>
      <c r="C36" s="282" t="s">
        <v>375</v>
      </c>
      <c r="D36" s="283" t="s">
        <v>439</v>
      </c>
      <c r="E36" s="284" t="n">
        <v>15</v>
      </c>
      <c r="F36" s="285" t="s">
        <v>377</v>
      </c>
      <c r="G36" s="286" t="n">
        <v>2.41</v>
      </c>
      <c r="H36" s="290"/>
      <c r="I36" s="81"/>
      <c r="J36" s="91" t="n">
        <f aca="false">'Ocorrências Mensais - FAT'!G54</f>
        <v>15</v>
      </c>
      <c r="K36" s="288" t="n">
        <f aca="false">G36*J36</f>
        <v>36.15</v>
      </c>
      <c r="L36" s="49" t="n">
        <f aca="false">IF(F36="MENSAL",1,IF(F36="BIMESTRAL",2,IF(F36="TRIMESTRAL",3,IF(F36="QUADRIMESTRAL",4,IF(F36="SEMESTRAL",6,IF(F36="ANUAL",12,IF(F36="BIENAL",24,"")))))))</f>
        <v>1</v>
      </c>
      <c r="N36" s="289" t="n">
        <v>6.55</v>
      </c>
      <c r="O36" s="49" t="n">
        <f aca="false">ROUND(IF(Dados!$J$56="SIM",N36*Dados!$N$56,N36),2)</f>
        <v>6.55</v>
      </c>
      <c r="P36" s="49" t="n">
        <f aca="false">ROUND(IF(Dados!$J$57="SIM",O36*Dados!$N$57,O36),2)</f>
        <v>6.55</v>
      </c>
      <c r="Q36" s="49" t="n">
        <f aca="false">ROUND(IF(Dados!$J$58="SIM",P36*Dados!$N$58,P36),2)</f>
        <v>6.55</v>
      </c>
      <c r="R36" s="49" t="n">
        <f aca="false">ROUND(IF(Dados!$J$59="SIM",Q36*Dados!$N$59,Q36),2)</f>
        <v>6.55</v>
      </c>
      <c r="S36" s="99" t="n">
        <f aca="false">ROUND(IF(Dados!$J$60="SIM",R36*Dados!$N$60,R36),2)</f>
        <v>6.55</v>
      </c>
    </row>
    <row r="37" s="82" customFormat="true" ht="42.75" hidden="false" customHeight="true" outlineLevel="0" collapsed="false">
      <c r="A37" s="280" t="n">
        <v>30</v>
      </c>
      <c r="B37" s="281" t="s">
        <v>440</v>
      </c>
      <c r="C37" s="282" t="s">
        <v>375</v>
      </c>
      <c r="D37" s="283" t="s">
        <v>441</v>
      </c>
      <c r="E37" s="284" t="n">
        <v>1</v>
      </c>
      <c r="F37" s="285" t="s">
        <v>386</v>
      </c>
      <c r="G37" s="286" t="n">
        <v>19.9</v>
      </c>
      <c r="H37" s="290"/>
      <c r="I37" s="81"/>
      <c r="J37" s="91" t="n">
        <f aca="false">'Ocorrências Mensais - FAT'!G55</f>
        <v>0.166666666666667</v>
      </c>
      <c r="K37" s="288" t="n">
        <f aca="false">G37*J37</f>
        <v>3.31666666666667</v>
      </c>
      <c r="L37" s="49" t="n">
        <f aca="false">IF(F37="MENSAL",1,IF(F37="BIMESTRAL",2,IF(F37="TRIMESTRAL",3,IF(F37="QUADRIMESTRAL",4,IF(F37="SEMESTRAL",6,IF(F37="ANUAL",12,IF(F37="BIENAL",24,"")))))))</f>
        <v>6</v>
      </c>
      <c r="N37" s="289" t="n">
        <v>2.8</v>
      </c>
      <c r="O37" s="49" t="n">
        <f aca="false">ROUND(IF(Dados!$J$56="SIM",N37*Dados!$N$56,N37),2)</f>
        <v>2.8</v>
      </c>
      <c r="P37" s="49" t="n">
        <f aca="false">ROUND(IF(Dados!$J$57="SIM",O37*Dados!$N$57,O37),2)</f>
        <v>2.8</v>
      </c>
      <c r="Q37" s="49" t="n">
        <f aca="false">ROUND(IF(Dados!$J$58="SIM",P37*Dados!$N$58,P37),2)</f>
        <v>2.8</v>
      </c>
      <c r="R37" s="49" t="n">
        <f aca="false">ROUND(IF(Dados!$J$59="SIM",Q37*Dados!$N$59,Q37),2)</f>
        <v>2.8</v>
      </c>
      <c r="S37" s="99" t="n">
        <f aca="false">ROUND(IF(Dados!$J$60="SIM",R37*Dados!$N$60,R37),2)</f>
        <v>2.8</v>
      </c>
    </row>
    <row r="38" s="82" customFormat="true" ht="14.25" hidden="false" customHeight="false" outlineLevel="0" collapsed="false">
      <c r="A38" s="280" t="n">
        <v>31</v>
      </c>
      <c r="B38" s="281" t="s">
        <v>442</v>
      </c>
      <c r="C38" s="282" t="s">
        <v>375</v>
      </c>
      <c r="D38" s="283"/>
      <c r="E38" s="284" t="n">
        <v>2</v>
      </c>
      <c r="F38" s="285" t="s">
        <v>386</v>
      </c>
      <c r="G38" s="286" t="n">
        <v>31.9</v>
      </c>
      <c r="H38" s="290"/>
      <c r="I38" s="81"/>
      <c r="J38" s="91" t="n">
        <f aca="false">'Ocorrências Mensais - FAT'!G56</f>
        <v>0.333333333333333</v>
      </c>
      <c r="K38" s="288" t="n">
        <f aca="false">G38*J38</f>
        <v>10.6333333333333</v>
      </c>
      <c r="L38" s="49" t="n">
        <f aca="false">IF(F38="MENSAL",1,IF(F38="BIMESTRAL",2,IF(F38="TRIMESTRAL",3,IF(F38="QUADRIMESTRAL",4,IF(F38="SEMESTRAL",6,IF(F38="ANUAL",12,IF(F38="BIENAL",24,"")))))))</f>
        <v>6</v>
      </c>
      <c r="N38" s="289" t="n">
        <v>19.9</v>
      </c>
      <c r="O38" s="49" t="n">
        <f aca="false">ROUND(IF(Dados!$J$56="SIM",N38*Dados!$N$56,N38),2)</f>
        <v>19.9</v>
      </c>
      <c r="P38" s="49" t="n">
        <f aca="false">ROUND(IF(Dados!$J$57="SIM",O38*Dados!$N$57,O38),2)</f>
        <v>19.9</v>
      </c>
      <c r="Q38" s="49" t="n">
        <f aca="false">ROUND(IF(Dados!$J$58="SIM",P38*Dados!$N$58,P38),2)</f>
        <v>19.9</v>
      </c>
      <c r="R38" s="49" t="n">
        <f aca="false">ROUND(IF(Dados!$J$59="SIM",Q38*Dados!$N$59,Q38),2)</f>
        <v>19.9</v>
      </c>
      <c r="S38" s="99" t="n">
        <f aca="false">ROUND(IF(Dados!$J$60="SIM",R38*Dados!$N$60,R38),2)</f>
        <v>19.9</v>
      </c>
    </row>
    <row r="39" s="82" customFormat="true" ht="28.5" hidden="false" customHeight="false" outlineLevel="0" collapsed="false">
      <c r="A39" s="280" t="n">
        <v>32</v>
      </c>
      <c r="B39" s="281" t="s">
        <v>443</v>
      </c>
      <c r="C39" s="282" t="s">
        <v>411</v>
      </c>
      <c r="D39" s="283" t="s">
        <v>444</v>
      </c>
      <c r="E39" s="284" t="n">
        <v>1</v>
      </c>
      <c r="F39" s="285" t="s">
        <v>377</v>
      </c>
      <c r="G39" s="286" t="n">
        <v>12</v>
      </c>
      <c r="H39" s="290"/>
      <c r="I39" s="81"/>
      <c r="J39" s="91" t="n">
        <f aca="false">'Ocorrências Mensais - FAT'!G57</f>
        <v>1</v>
      </c>
      <c r="K39" s="288" t="n">
        <f aca="false">G39*J39</f>
        <v>12</v>
      </c>
      <c r="L39" s="49" t="n">
        <f aca="false">IF(F39="MENSAL",1,IF(F39="BIMESTRAL",2,IF(F39="TRIMESTRAL",3,IF(F39="QUADRIMESTRAL",4,IF(F39="SEMESTRAL",6,IF(F39="ANUAL",12,IF(F39="BIENAL",24,"")))))))</f>
        <v>1</v>
      </c>
      <c r="N39" s="289" t="n">
        <v>5.8</v>
      </c>
      <c r="O39" s="49" t="n">
        <f aca="false">ROUND(IF(Dados!$J$56="SIM",N39*Dados!$N$56,N39),2)</f>
        <v>5.8</v>
      </c>
      <c r="P39" s="49" t="n">
        <f aca="false">ROUND(IF(Dados!$J$57="SIM",O39*Dados!$N$57,O39),2)</f>
        <v>5.8</v>
      </c>
      <c r="Q39" s="49" t="n">
        <f aca="false">ROUND(IF(Dados!$J$58="SIM",P39*Dados!$N$58,P39),2)</f>
        <v>5.8</v>
      </c>
      <c r="R39" s="49" t="n">
        <f aca="false">ROUND(IF(Dados!$J$59="SIM",Q39*Dados!$N$59,Q39),2)</f>
        <v>5.8</v>
      </c>
      <c r="S39" s="99" t="n">
        <f aca="false">ROUND(IF(Dados!$J$60="SIM",R39*Dados!$N$60,R39),2)</f>
        <v>5.8</v>
      </c>
    </row>
    <row r="40" s="82" customFormat="true" ht="28.5" hidden="false" customHeight="false" outlineLevel="0" collapsed="false">
      <c r="A40" s="280" t="n">
        <v>33</v>
      </c>
      <c r="B40" s="281" t="s">
        <v>445</v>
      </c>
      <c r="C40" s="282" t="s">
        <v>446</v>
      </c>
      <c r="D40" s="283" t="s">
        <v>447</v>
      </c>
      <c r="E40" s="284" t="n">
        <v>2</v>
      </c>
      <c r="F40" s="285" t="s">
        <v>393</v>
      </c>
      <c r="G40" s="286" t="n">
        <v>15.6</v>
      </c>
      <c r="H40" s="290"/>
      <c r="I40" s="81"/>
      <c r="J40" s="91" t="n">
        <f aca="false">'Ocorrências Mensais - FAT'!G58</f>
        <v>1</v>
      </c>
      <c r="K40" s="288" t="n">
        <f aca="false">G40*J40</f>
        <v>15.6</v>
      </c>
      <c r="L40" s="49" t="n">
        <f aca="false">IF(F40="MENSAL",1,IF(F40="BIMESTRAL",2,IF(F40="TRIMESTRAL",3,IF(F40="QUADRIMESTRAL",4,IF(F40="SEMESTRAL",6,IF(F40="ANUAL",12,IF(F40="BIENAL",24,"")))))))</f>
        <v>2</v>
      </c>
      <c r="N40" s="289" t="n">
        <v>6</v>
      </c>
      <c r="O40" s="49" t="n">
        <f aca="false">ROUND(IF(Dados!$J$56="SIM",N40*Dados!$N$56,N40),2)</f>
        <v>6</v>
      </c>
      <c r="P40" s="49" t="n">
        <f aca="false">ROUND(IF(Dados!$J$57="SIM",O40*Dados!$N$57,O40),2)</f>
        <v>6</v>
      </c>
      <c r="Q40" s="49" t="n">
        <f aca="false">ROUND(IF(Dados!$J$58="SIM",P40*Dados!$N$58,P40),2)</f>
        <v>6</v>
      </c>
      <c r="R40" s="49" t="n">
        <f aca="false">ROUND(IF(Dados!$J$59="SIM",Q40*Dados!$N$59,Q40),2)</f>
        <v>6</v>
      </c>
      <c r="S40" s="99" t="n">
        <f aca="false">ROUND(IF(Dados!$J$60="SIM",R40*Dados!$N$60,R40),2)</f>
        <v>6</v>
      </c>
    </row>
    <row r="41" s="82" customFormat="true" ht="14.25" hidden="false" customHeight="false" outlineLevel="0" collapsed="false">
      <c r="A41" s="280" t="n">
        <v>34</v>
      </c>
      <c r="B41" s="281" t="s">
        <v>448</v>
      </c>
      <c r="C41" s="282" t="s">
        <v>390</v>
      </c>
      <c r="D41" s="283" t="s">
        <v>414</v>
      </c>
      <c r="E41" s="284" t="n">
        <v>1</v>
      </c>
      <c r="F41" s="285" t="s">
        <v>381</v>
      </c>
      <c r="G41" s="286" t="n">
        <v>6.24</v>
      </c>
      <c r="H41" s="290"/>
      <c r="I41" s="81"/>
      <c r="J41" s="91" t="n">
        <f aca="false">'Ocorrências Mensais - FAT'!G59</f>
        <v>0.333333333333333</v>
      </c>
      <c r="K41" s="288" t="n">
        <f aca="false">G41*J41</f>
        <v>2.08</v>
      </c>
      <c r="L41" s="49" t="n">
        <f aca="false">IF(F41="MENSAL",1,IF(F41="BIMESTRAL",2,IF(F41="TRIMESTRAL",3,IF(F41="QUADRIMESTRAL",4,IF(F41="SEMESTRAL",6,IF(F41="ANUAL",12,IF(F41="BIENAL",24,"")))))))</f>
        <v>3</v>
      </c>
      <c r="N41" s="289" t="n">
        <v>5.99</v>
      </c>
      <c r="O41" s="49" t="n">
        <f aca="false">ROUND(IF(Dados!$J$56="SIM",N41*Dados!$N$56,N41),2)</f>
        <v>5.99</v>
      </c>
      <c r="P41" s="49" t="n">
        <f aca="false">ROUND(IF(Dados!$J$57="SIM",O41*Dados!$N$57,O41),2)</f>
        <v>5.99</v>
      </c>
      <c r="Q41" s="49" t="n">
        <f aca="false">ROUND(IF(Dados!$J$58="SIM",P41*Dados!$N$58,P41),2)</f>
        <v>5.99</v>
      </c>
      <c r="R41" s="49" t="n">
        <f aca="false">ROUND(IF(Dados!$J$59="SIM",Q41*Dados!$N$59,Q41),2)</f>
        <v>5.99</v>
      </c>
      <c r="S41" s="99" t="n">
        <f aca="false">ROUND(IF(Dados!$J$60="SIM",R41*Dados!$N$60,R41),2)</f>
        <v>5.99</v>
      </c>
    </row>
    <row r="42" s="82" customFormat="true" ht="28.5" hidden="false" customHeight="false" outlineLevel="0" collapsed="false">
      <c r="A42" s="280" t="n">
        <v>35</v>
      </c>
      <c r="B42" s="281" t="s">
        <v>449</v>
      </c>
      <c r="C42" s="282" t="s">
        <v>379</v>
      </c>
      <c r="D42" s="283" t="s">
        <v>450</v>
      </c>
      <c r="E42" s="284" t="n">
        <v>1</v>
      </c>
      <c r="F42" s="285" t="s">
        <v>377</v>
      </c>
      <c r="G42" s="286" t="n">
        <v>23.76</v>
      </c>
      <c r="H42" s="290"/>
      <c r="I42" s="81"/>
      <c r="J42" s="91" t="n">
        <f aca="false">'Ocorrências Mensais - FAT'!G60</f>
        <v>1</v>
      </c>
      <c r="K42" s="288" t="n">
        <f aca="false">G42*J42</f>
        <v>23.76</v>
      </c>
      <c r="L42" s="49"/>
      <c r="N42" s="289"/>
      <c r="O42" s="49"/>
      <c r="P42" s="49"/>
      <c r="Q42" s="49"/>
      <c r="R42" s="49"/>
      <c r="S42" s="99"/>
    </row>
    <row r="43" s="82" customFormat="true" ht="28.5" hidden="false" customHeight="false" outlineLevel="0" collapsed="false">
      <c r="A43" s="280" t="n">
        <v>36</v>
      </c>
      <c r="B43" s="281" t="s">
        <v>451</v>
      </c>
      <c r="C43" s="282" t="s">
        <v>375</v>
      </c>
      <c r="D43" s="283" t="s">
        <v>452</v>
      </c>
      <c r="E43" s="284" t="n">
        <v>5</v>
      </c>
      <c r="F43" s="285" t="s">
        <v>377</v>
      </c>
      <c r="G43" s="286" t="n">
        <v>8.23</v>
      </c>
      <c r="H43" s="290"/>
      <c r="I43" s="81"/>
      <c r="J43" s="91" t="n">
        <f aca="false">'Ocorrências Mensais - FAT'!G61</f>
        <v>5</v>
      </c>
      <c r="K43" s="288" t="n">
        <f aca="false">G43*J43</f>
        <v>41.15</v>
      </c>
      <c r="L43" s="49"/>
      <c r="N43" s="289"/>
      <c r="O43" s="49"/>
      <c r="P43" s="49"/>
      <c r="Q43" s="49"/>
      <c r="R43" s="49"/>
      <c r="S43" s="99"/>
    </row>
    <row r="44" s="82" customFormat="true" ht="57" hidden="false" customHeight="false" outlineLevel="0" collapsed="false">
      <c r="A44" s="280" t="n">
        <v>37</v>
      </c>
      <c r="B44" s="281" t="s">
        <v>453</v>
      </c>
      <c r="C44" s="282" t="s">
        <v>436</v>
      </c>
      <c r="D44" s="283" t="s">
        <v>454</v>
      </c>
      <c r="E44" s="284" t="n">
        <v>4</v>
      </c>
      <c r="F44" s="285" t="s">
        <v>393</v>
      </c>
      <c r="G44" s="286" t="n">
        <v>16.49</v>
      </c>
      <c r="H44" s="290"/>
      <c r="I44" s="81"/>
      <c r="J44" s="91" t="n">
        <f aca="false">'Ocorrências Mensais - FAT'!G62</f>
        <v>2</v>
      </c>
      <c r="K44" s="288" t="n">
        <f aca="false">G44*J44</f>
        <v>32.98</v>
      </c>
      <c r="L44" s="49"/>
      <c r="N44" s="289"/>
      <c r="O44" s="49"/>
      <c r="P44" s="49"/>
      <c r="Q44" s="49"/>
      <c r="R44" s="49"/>
      <c r="S44" s="99"/>
    </row>
    <row r="45" s="82" customFormat="true" ht="57" hidden="false" customHeight="false" outlineLevel="0" collapsed="false">
      <c r="A45" s="280" t="n">
        <v>38</v>
      </c>
      <c r="B45" s="281" t="s">
        <v>455</v>
      </c>
      <c r="C45" s="282" t="s">
        <v>436</v>
      </c>
      <c r="D45" s="283" t="s">
        <v>456</v>
      </c>
      <c r="E45" s="284" t="n">
        <v>1</v>
      </c>
      <c r="F45" s="285" t="s">
        <v>377</v>
      </c>
      <c r="G45" s="286" t="n">
        <v>46.43</v>
      </c>
      <c r="H45" s="290"/>
      <c r="I45" s="81"/>
      <c r="J45" s="91" t="n">
        <f aca="false">'Ocorrências Mensais - FAT'!G63</f>
        <v>1</v>
      </c>
      <c r="K45" s="288" t="n">
        <f aca="false">G45*J45</f>
        <v>46.43</v>
      </c>
      <c r="L45" s="49"/>
      <c r="N45" s="289"/>
      <c r="O45" s="49"/>
      <c r="P45" s="49"/>
      <c r="Q45" s="49"/>
      <c r="R45" s="49"/>
      <c r="S45" s="99"/>
    </row>
    <row r="46" s="82" customFormat="true" ht="57" hidden="false" customHeight="false" outlineLevel="0" collapsed="false">
      <c r="A46" s="280" t="n">
        <v>39</v>
      </c>
      <c r="B46" s="281" t="s">
        <v>457</v>
      </c>
      <c r="C46" s="282" t="s">
        <v>436</v>
      </c>
      <c r="D46" s="283" t="s">
        <v>456</v>
      </c>
      <c r="E46" s="284" t="n">
        <v>1</v>
      </c>
      <c r="F46" s="285" t="s">
        <v>377</v>
      </c>
      <c r="G46" s="286" t="n">
        <v>60.16</v>
      </c>
      <c r="H46" s="290"/>
      <c r="I46" s="81"/>
      <c r="J46" s="91" t="n">
        <f aca="false">'Ocorrências Mensais - FAT'!G64</f>
        <v>1</v>
      </c>
      <c r="K46" s="288" t="n">
        <f aca="false">G46*J46</f>
        <v>60.16</v>
      </c>
      <c r="L46" s="49"/>
      <c r="N46" s="289"/>
      <c r="O46" s="49"/>
      <c r="P46" s="49"/>
      <c r="Q46" s="49"/>
      <c r="R46" s="49"/>
      <c r="S46" s="99"/>
    </row>
    <row r="47" s="82" customFormat="true" ht="28.5" hidden="false" customHeight="false" outlineLevel="0" collapsed="false">
      <c r="A47" s="280" t="n">
        <v>40</v>
      </c>
      <c r="B47" s="281" t="s">
        <v>458</v>
      </c>
      <c r="C47" s="282" t="s">
        <v>375</v>
      </c>
      <c r="D47" s="283" t="s">
        <v>441</v>
      </c>
      <c r="E47" s="284" t="n">
        <v>2</v>
      </c>
      <c r="F47" s="285" t="s">
        <v>386</v>
      </c>
      <c r="G47" s="286" t="n">
        <v>18.22</v>
      </c>
      <c r="H47" s="290"/>
      <c r="I47" s="81"/>
      <c r="J47" s="91" t="n">
        <f aca="false">'Ocorrências Mensais - FAT'!G65</f>
        <v>0.333333333333333</v>
      </c>
      <c r="K47" s="288" t="n">
        <f aca="false">G47*J47</f>
        <v>6.07333333333333</v>
      </c>
      <c r="L47" s="49"/>
      <c r="N47" s="289"/>
      <c r="O47" s="49"/>
      <c r="P47" s="49"/>
      <c r="Q47" s="49"/>
      <c r="R47" s="49"/>
      <c r="S47" s="99"/>
    </row>
    <row r="48" s="82" customFormat="true" ht="42.75" hidden="false" customHeight="false" outlineLevel="0" collapsed="false">
      <c r="A48" s="280" t="n">
        <v>41</v>
      </c>
      <c r="B48" s="281" t="s">
        <v>459</v>
      </c>
      <c r="C48" s="282" t="s">
        <v>375</v>
      </c>
      <c r="D48" s="283" t="s">
        <v>460</v>
      </c>
      <c r="E48" s="284" t="n">
        <v>2</v>
      </c>
      <c r="F48" s="285" t="s">
        <v>377</v>
      </c>
      <c r="G48" s="286" t="n">
        <v>18.1</v>
      </c>
      <c r="H48" s="290"/>
      <c r="I48" s="81"/>
      <c r="J48" s="91" t="n">
        <f aca="false">'Ocorrências Mensais - FAT'!G66</f>
        <v>2</v>
      </c>
      <c r="K48" s="288" t="n">
        <f aca="false">G48*J48</f>
        <v>36.2</v>
      </c>
      <c r="L48" s="49"/>
      <c r="N48" s="289"/>
      <c r="O48" s="49"/>
      <c r="P48" s="49"/>
      <c r="Q48" s="49"/>
      <c r="R48" s="49"/>
      <c r="S48" s="99"/>
    </row>
    <row r="49" s="82" customFormat="true" ht="57" hidden="false" customHeight="false" outlineLevel="0" collapsed="false">
      <c r="A49" s="280" t="n">
        <v>42</v>
      </c>
      <c r="B49" s="281" t="s">
        <v>461</v>
      </c>
      <c r="C49" s="282" t="s">
        <v>375</v>
      </c>
      <c r="D49" s="283"/>
      <c r="E49" s="284" t="n">
        <v>1</v>
      </c>
      <c r="F49" s="285" t="s">
        <v>391</v>
      </c>
      <c r="G49" s="286" t="n">
        <v>37.39</v>
      </c>
      <c r="H49" s="290"/>
      <c r="I49" s="81"/>
      <c r="J49" s="91" t="n">
        <f aca="false">'Ocorrências Mensais - FAT'!G67</f>
        <v>0.0833333333333333</v>
      </c>
      <c r="K49" s="288" t="n">
        <f aca="false">G49*J49</f>
        <v>3.11583333333333</v>
      </c>
      <c r="L49" s="49"/>
      <c r="N49" s="289"/>
      <c r="O49" s="49"/>
      <c r="P49" s="49"/>
      <c r="Q49" s="49"/>
      <c r="R49" s="49"/>
      <c r="S49" s="99"/>
    </row>
    <row r="50" s="82" customFormat="true" ht="28.5" hidden="false" customHeight="false" outlineLevel="0" collapsed="false">
      <c r="A50" s="280" t="n">
        <v>43</v>
      </c>
      <c r="B50" s="281" t="s">
        <v>462</v>
      </c>
      <c r="C50" s="282" t="s">
        <v>375</v>
      </c>
      <c r="D50" s="283"/>
      <c r="E50" s="284" t="n">
        <v>1</v>
      </c>
      <c r="F50" s="285" t="s">
        <v>391</v>
      </c>
      <c r="G50" s="286" t="n">
        <v>66.5</v>
      </c>
      <c r="H50" s="290"/>
      <c r="I50" s="81"/>
      <c r="J50" s="91" t="n">
        <f aca="false">'Ocorrências Mensais - FAT'!G68</f>
        <v>0.0833333333333333</v>
      </c>
      <c r="K50" s="288" t="n">
        <f aca="false">G50*J50</f>
        <v>5.54166666666667</v>
      </c>
      <c r="L50" s="49" t="n">
        <f aca="false">IF(F50="MENSAL",1,IF(F50="BIMESTRAL",2,IF(F50="TRIMESTRAL",3,IF(F50="QUADRIMESTRAL",4,IF(F50="SEMESTRAL",6,IF(F50="ANUAL",12,IF(F50="BIENAL",24,"")))))))</f>
        <v>12</v>
      </c>
      <c r="N50" s="289" t="n">
        <v>5.5</v>
      </c>
      <c r="O50" s="49" t="n">
        <f aca="false">ROUND(IF(Dados!$J$56="SIM",N50*Dados!$N$56,N50),2)</f>
        <v>5.5</v>
      </c>
      <c r="P50" s="49" t="n">
        <f aca="false">ROUND(IF(Dados!$J$57="SIM",O50*Dados!$N$57,O50),2)</f>
        <v>5.5</v>
      </c>
      <c r="Q50" s="49" t="n">
        <f aca="false">ROUND(IF(Dados!$J$58="SIM",P50*Dados!$N$58,P50),2)</f>
        <v>5.5</v>
      </c>
      <c r="R50" s="49" t="n">
        <f aca="false">ROUND(IF(Dados!$J$59="SIM",Q50*Dados!$N$59,Q50),2)</f>
        <v>5.5</v>
      </c>
      <c r="S50" s="99" t="n">
        <f aca="false">ROUND(IF(Dados!$J$60="SIM",R50*Dados!$N$60,R50),2)</f>
        <v>5.5</v>
      </c>
    </row>
    <row r="51" customFormat="false" ht="15.75" hidden="false" customHeight="false" outlineLevel="0" collapsed="false">
      <c r="A51" s="292"/>
      <c r="B51" s="292"/>
      <c r="C51" s="292"/>
      <c r="D51" s="292"/>
      <c r="E51" s="292"/>
      <c r="F51" s="292"/>
      <c r="G51" s="292"/>
      <c r="H51" s="293"/>
      <c r="I51" s="68"/>
      <c r="J51" s="294" t="s">
        <v>189</v>
      </c>
      <c r="K51" s="295" t="n">
        <f aca="false">SUM(K8:K50)</f>
        <v>1844.56333333333</v>
      </c>
      <c r="N51" s="296"/>
      <c r="O51" s="76"/>
      <c r="P51" s="76"/>
      <c r="Q51" s="76"/>
      <c r="R51" s="76"/>
      <c r="S51" s="76"/>
    </row>
    <row r="52" customFormat="false" ht="30.75" hidden="false" customHeight="false" outlineLevel="0" collapsed="false">
      <c r="A52" s="297"/>
      <c r="H52" s="298"/>
      <c r="J52" s="299" t="s">
        <v>463</v>
      </c>
      <c r="K52" s="295" t="n">
        <f aca="false">Dados!B7+Dados!B8</f>
        <v>2</v>
      </c>
      <c r="N52" s="296"/>
      <c r="O52" s="76"/>
      <c r="P52" s="76"/>
      <c r="Q52" s="76"/>
      <c r="R52" s="76"/>
      <c r="S52" s="76"/>
    </row>
    <row r="53" customFormat="false" ht="30.75" hidden="false" customHeight="false" outlineLevel="0" collapsed="false">
      <c r="A53" s="297"/>
      <c r="H53" s="298"/>
      <c r="J53" s="299" t="s">
        <v>464</v>
      </c>
      <c r="K53" s="295" t="n">
        <f aca="false">K51/K52</f>
        <v>922.281666666667</v>
      </c>
      <c r="N53" s="296"/>
      <c r="O53" s="76"/>
      <c r="P53" s="76"/>
      <c r="Q53" s="76"/>
      <c r="R53" s="76"/>
      <c r="S53" s="76"/>
    </row>
    <row r="54" customFormat="false" ht="18" hidden="false" customHeight="true" outlineLevel="0" collapsed="false">
      <c r="A54" s="267" t="s">
        <v>465</v>
      </c>
      <c r="B54" s="267"/>
      <c r="C54" s="267"/>
      <c r="D54" s="267"/>
      <c r="E54" s="267"/>
      <c r="F54" s="267"/>
      <c r="G54" s="267"/>
      <c r="H54" s="267"/>
      <c r="I54" s="82"/>
      <c r="J54" s="82"/>
      <c r="L54" s="82"/>
      <c r="N54" s="75" t="s">
        <v>367</v>
      </c>
      <c r="O54" s="75"/>
      <c r="P54" s="75"/>
      <c r="Q54" s="75"/>
      <c r="R54" s="75"/>
      <c r="S54" s="75"/>
    </row>
    <row r="55" customFormat="false" ht="14.25" hidden="false" customHeight="false" outlineLevel="0" collapsed="false">
      <c r="A55" s="300"/>
      <c r="B55" s="127"/>
      <c r="C55" s="127"/>
      <c r="D55" s="127"/>
      <c r="E55" s="127"/>
      <c r="F55" s="127"/>
      <c r="G55" s="127"/>
      <c r="H55" s="301"/>
      <c r="I55" s="82"/>
      <c r="J55" s="82"/>
      <c r="L55" s="82"/>
      <c r="N55" s="75"/>
      <c r="O55" s="75"/>
      <c r="P55" s="75"/>
      <c r="Q55" s="75"/>
      <c r="R55" s="75"/>
      <c r="S55" s="75"/>
    </row>
    <row r="56" customFormat="false" ht="14.25" hidden="false" customHeight="true" outlineLevel="0" collapsed="false">
      <c r="A56" s="271" t="s">
        <v>54</v>
      </c>
      <c r="B56" s="272" t="s">
        <v>368</v>
      </c>
      <c r="C56" s="272"/>
      <c r="D56" s="272"/>
      <c r="E56" s="272"/>
      <c r="F56" s="272"/>
      <c r="G56" s="272"/>
      <c r="H56" s="273" t="s">
        <v>466</v>
      </c>
      <c r="I56" s="82"/>
      <c r="J56" s="274" t="s">
        <v>369</v>
      </c>
      <c r="K56" s="274"/>
      <c r="L56" s="274"/>
      <c r="N56" s="75"/>
      <c r="O56" s="75"/>
      <c r="P56" s="75"/>
      <c r="Q56" s="75"/>
      <c r="R56" s="75"/>
      <c r="S56" s="75"/>
    </row>
    <row r="57" customFormat="false" ht="41.25" hidden="false" customHeight="false" outlineLevel="0" collapsed="false">
      <c r="A57" s="271"/>
      <c r="B57" s="272" t="s">
        <v>59</v>
      </c>
      <c r="C57" s="276" t="s">
        <v>60</v>
      </c>
      <c r="D57" s="276" t="s">
        <v>467</v>
      </c>
      <c r="E57" s="277" t="s">
        <v>370</v>
      </c>
      <c r="F57" s="278" t="s">
        <v>66</v>
      </c>
      <c r="G57" s="276" t="s">
        <v>371</v>
      </c>
      <c r="H57" s="273"/>
      <c r="I57" s="82"/>
      <c r="J57" s="302" t="s">
        <v>64</v>
      </c>
      <c r="K57" s="302" t="s">
        <v>63</v>
      </c>
      <c r="L57" s="277" t="s">
        <v>372</v>
      </c>
      <c r="N57" s="279" t="s">
        <v>373</v>
      </c>
      <c r="O57" s="32" t="s">
        <v>274</v>
      </c>
      <c r="P57" s="32" t="s">
        <v>275</v>
      </c>
      <c r="Q57" s="32" t="s">
        <v>276</v>
      </c>
      <c r="R57" s="32" t="s">
        <v>277</v>
      </c>
      <c r="S57" s="34" t="s">
        <v>278</v>
      </c>
    </row>
    <row r="58" customFormat="false" ht="86.25" hidden="false" customHeight="false" outlineLevel="0" collapsed="false">
      <c r="A58" s="114" t="n">
        <v>1</v>
      </c>
      <c r="B58" s="291" t="s">
        <v>468</v>
      </c>
      <c r="C58" s="283" t="s">
        <v>411</v>
      </c>
      <c r="D58" s="283" t="s">
        <v>469</v>
      </c>
      <c r="E58" s="284" t="n">
        <v>1</v>
      </c>
      <c r="F58" s="283" t="s">
        <v>393</v>
      </c>
      <c r="G58" s="286" t="n">
        <v>19.17</v>
      </c>
      <c r="H58" s="303"/>
      <c r="I58" s="82"/>
      <c r="J58" s="91" t="n">
        <f aca="false">'Ocorrências Mensais - FAT'!G77</f>
        <v>0.5</v>
      </c>
      <c r="K58" s="288" t="n">
        <f aca="false">G58*J58</f>
        <v>9.585</v>
      </c>
      <c r="L58" s="49" t="n">
        <f aca="false">IF(F58="MENSAL",1,IF(F58="BIMESTRAL",2,IF(F58="TRIMESTRAL",3,IF(F58="QUADRIMESTRAL",4,IF(F58="SEMESTRAL",6,IF(F58="ANUAL",12,IF(F58="BIENAL",24,"")))))))</f>
        <v>2</v>
      </c>
      <c r="N58" s="304" t="n">
        <v>3.1</v>
      </c>
      <c r="O58" s="49" t="n">
        <f aca="false">ROUND(IF(Dados!$J$56="SIM",N58*Dados!$N$56,N58),2)</f>
        <v>3.1</v>
      </c>
      <c r="P58" s="49" t="n">
        <f aca="false">ROUND(IF(Dados!$J$57="SIM",O58*Dados!$N$57,O58),2)</f>
        <v>3.1</v>
      </c>
      <c r="Q58" s="49" t="n">
        <f aca="false">ROUND(IF(Dados!$J$58="SIM",P58*Dados!$N$58,P58),2)</f>
        <v>3.1</v>
      </c>
      <c r="R58" s="49" t="n">
        <f aca="false">ROUND(IF(Dados!$J$59="SIM",Q58*Dados!$N$59,Q58),2)</f>
        <v>3.1</v>
      </c>
      <c r="S58" s="99" t="n">
        <f aca="false">ROUND(IF(Dados!$J$60="SIM",R58*Dados!$N$60,R58),2)</f>
        <v>3.1</v>
      </c>
    </row>
    <row r="59" customFormat="false" ht="129" hidden="false" customHeight="false" outlineLevel="0" collapsed="false">
      <c r="A59" s="114" t="n">
        <v>2</v>
      </c>
      <c r="B59" s="291" t="s">
        <v>470</v>
      </c>
      <c r="C59" s="283" t="s">
        <v>375</v>
      </c>
      <c r="D59" s="283" t="s">
        <v>471</v>
      </c>
      <c r="E59" s="284" t="n">
        <v>1</v>
      </c>
      <c r="F59" s="283" t="s">
        <v>472</v>
      </c>
      <c r="G59" s="286" t="n">
        <v>7.92</v>
      </c>
      <c r="H59" s="303"/>
      <c r="I59" s="82"/>
      <c r="J59" s="91" t="n">
        <f aca="false">'Ocorrências Mensais - FAT'!G78</f>
        <v>0.5</v>
      </c>
      <c r="K59" s="288" t="n">
        <f aca="false">G59*J59</f>
        <v>3.96</v>
      </c>
      <c r="L59" s="49" t="n">
        <f aca="false">IF(F59="MENSAL",1,IF(F59="BIMESTRAL",2,IF(F59="TRIMESTRAL",3,IF(F59="QUADRIMESTRAL",4,IF(F59="SEMESTRAL",6,IF(F59="ANUAL",12,IF(F59="BIENAL",24,"")))))))</f>
        <v>2</v>
      </c>
      <c r="N59" s="304" t="n">
        <v>4.04</v>
      </c>
      <c r="O59" s="49" t="n">
        <f aca="false">ROUND(IF(Dados!$J$56="SIM",N59*Dados!$N$56,N59),2)</f>
        <v>4.04</v>
      </c>
      <c r="P59" s="49" t="n">
        <f aca="false">ROUND(IF(Dados!$J$57="SIM",O59*Dados!$N$57,O59),2)</f>
        <v>4.04</v>
      </c>
      <c r="Q59" s="49" t="n">
        <f aca="false">ROUND(IF(Dados!$J$58="SIM",P59*Dados!$N$58,P59),2)</f>
        <v>4.04</v>
      </c>
      <c r="R59" s="49" t="n">
        <f aca="false">ROUND(IF(Dados!$J$59="SIM",Q59*Dados!$N$59,Q59),2)</f>
        <v>4.04</v>
      </c>
      <c r="S59" s="99" t="n">
        <f aca="false">ROUND(IF(Dados!$J$60="SIM",R59*Dados!$N$60,R59),2)</f>
        <v>4.04</v>
      </c>
    </row>
    <row r="60" customFormat="false" ht="18" hidden="false" customHeight="true" outlineLevel="0" collapsed="false">
      <c r="A60" s="114" t="n">
        <v>3</v>
      </c>
      <c r="B60" s="291" t="s">
        <v>473</v>
      </c>
      <c r="C60" s="283" t="s">
        <v>390</v>
      </c>
      <c r="D60" s="283" t="s">
        <v>474</v>
      </c>
      <c r="E60" s="284" t="n">
        <v>1</v>
      </c>
      <c r="F60" s="283" t="s">
        <v>381</v>
      </c>
      <c r="G60" s="286" t="n">
        <v>12.25</v>
      </c>
      <c r="H60" s="303"/>
      <c r="I60" s="82"/>
      <c r="J60" s="91" t="n">
        <f aca="false">'Ocorrências Mensais - FAT'!G79</f>
        <v>0.333333333333333</v>
      </c>
      <c r="K60" s="288" t="n">
        <f aca="false">G60*J60</f>
        <v>4.08333333333333</v>
      </c>
      <c r="L60" s="49" t="n">
        <f aca="false">IF(F60="MENSAL",1,IF(F60="BIMESTRAL",2,IF(F60="TRIMESTRAL",3,IF(F60="QUADRIMESTRAL",4,IF(F60="SEMESTRAL",6,IF(F60="ANUAL",12,IF(F60="BIENAL",24,"")))))))</f>
        <v>3</v>
      </c>
      <c r="N60" s="304" t="n">
        <v>1.5</v>
      </c>
      <c r="O60" s="49" t="n">
        <f aca="false">ROUND(IF(Dados!$J$56="SIM",N60*Dados!$N$56,N60),2)</f>
        <v>1.5</v>
      </c>
      <c r="P60" s="49" t="n">
        <f aca="false">ROUND(IF(Dados!$J$57="SIM",O60*Dados!$N$57,O60),2)</f>
        <v>1.5</v>
      </c>
      <c r="Q60" s="49" t="n">
        <f aca="false">ROUND(IF(Dados!$J$58="SIM",P60*Dados!$N$58,P60),2)</f>
        <v>1.5</v>
      </c>
      <c r="R60" s="49" t="n">
        <f aca="false">ROUND(IF(Dados!$J$59="SIM",Q60*Dados!$N$59,Q60),2)</f>
        <v>1.5</v>
      </c>
      <c r="S60" s="99" t="n">
        <f aca="false">ROUND(IF(Dados!$J$60="SIM",R60*Dados!$N$60,R60),2)</f>
        <v>1.5</v>
      </c>
    </row>
    <row r="61" customFormat="false" ht="45.75" hidden="false" customHeight="true" outlineLevel="0" collapsed="false">
      <c r="A61" s="114" t="n">
        <v>4</v>
      </c>
      <c r="B61" s="291" t="s">
        <v>475</v>
      </c>
      <c r="C61" s="283" t="s">
        <v>375</v>
      </c>
      <c r="D61" s="283" t="s">
        <v>476</v>
      </c>
      <c r="E61" s="284" t="n">
        <v>1</v>
      </c>
      <c r="F61" s="283" t="s">
        <v>386</v>
      </c>
      <c r="G61" s="286" t="n">
        <v>13.89</v>
      </c>
      <c r="H61" s="303"/>
      <c r="I61" s="82"/>
      <c r="J61" s="91" t="n">
        <f aca="false">'Ocorrências Mensais - FAT'!G80</f>
        <v>0.166666666666667</v>
      </c>
      <c r="K61" s="288" t="n">
        <f aca="false">G61*J61</f>
        <v>2.315</v>
      </c>
      <c r="L61" s="49" t="n">
        <f aca="false">IF(F61="MENSAL",1,IF(F61="BIMESTRAL",2,IF(F61="TRIMESTRAL",3,IF(F61="QUADRIMESTRAL",4,IF(F61="SEMESTRAL",6,IF(F61="ANUAL",12,IF(F61="BIENAL",24,"")))))))</f>
        <v>6</v>
      </c>
      <c r="N61" s="304" t="n">
        <v>1.2</v>
      </c>
      <c r="O61" s="49" t="n">
        <f aca="false">ROUND(IF(Dados!$J$56="SIM",N61*Dados!$N$56,N61),2)</f>
        <v>1.2</v>
      </c>
      <c r="P61" s="49" t="n">
        <f aca="false">ROUND(IF(Dados!$J$57="SIM",O61*Dados!$N$57,O61),2)</f>
        <v>1.2</v>
      </c>
      <c r="Q61" s="49" t="n">
        <f aca="false">ROUND(IF(Dados!$J$58="SIM",P61*Dados!$N$58,P61),2)</f>
        <v>1.2</v>
      </c>
      <c r="R61" s="49" t="n">
        <f aca="false">ROUND(IF(Dados!$J$59="SIM",Q61*Dados!$N$59,Q61),2)</f>
        <v>1.2</v>
      </c>
      <c r="S61" s="99" t="n">
        <f aca="false">ROUND(IF(Dados!$J$60="SIM",R61*Dados!$N$60,R61),2)</f>
        <v>1.2</v>
      </c>
    </row>
    <row r="62" customFormat="false" ht="144" hidden="false" customHeight="false" outlineLevel="0" collapsed="false">
      <c r="A62" s="114" t="n">
        <v>5</v>
      </c>
      <c r="B62" s="291" t="s">
        <v>477</v>
      </c>
      <c r="C62" s="283" t="s">
        <v>375</v>
      </c>
      <c r="D62" s="283" t="s">
        <v>478</v>
      </c>
      <c r="E62" s="284" t="n">
        <v>3</v>
      </c>
      <c r="F62" s="283" t="s">
        <v>377</v>
      </c>
      <c r="G62" s="286" t="n">
        <v>29.53</v>
      </c>
      <c r="H62" s="303"/>
      <c r="I62" s="82"/>
      <c r="J62" s="91" t="n">
        <f aca="false">'Ocorrências Mensais - FAT'!G81</f>
        <v>3</v>
      </c>
      <c r="K62" s="288" t="n">
        <f aca="false">G62*J62</f>
        <v>88.59</v>
      </c>
      <c r="L62" s="49" t="n">
        <f aca="false">IF(F62="MENSAL",1,IF(F62="BIMESTRAL",2,IF(F62="TRIMESTRAL",3,IF(F62="QUADRIMESTRAL",4,IF(F62="SEMESTRAL",6,IF(F62="ANUAL",12,IF(F62="BIENAL",24,"")))))))</f>
        <v>1</v>
      </c>
      <c r="N62" s="304" t="n">
        <v>1.5</v>
      </c>
      <c r="O62" s="49" t="n">
        <f aca="false">ROUND(IF(Dados!$J$56="SIM",N62*Dados!$N$56,N62),2)</f>
        <v>1.5</v>
      </c>
      <c r="P62" s="49" t="n">
        <f aca="false">ROUND(IF(Dados!$J$57="SIM",O62*Dados!$N$57,O62),2)</f>
        <v>1.5</v>
      </c>
      <c r="Q62" s="49" t="n">
        <f aca="false">ROUND(IF(Dados!$J$58="SIM",P62*Dados!$N$58,P62),2)</f>
        <v>1.5</v>
      </c>
      <c r="R62" s="49" t="n">
        <f aca="false">ROUND(IF(Dados!$J$59="SIM",Q62*Dados!$N$59,Q62),2)</f>
        <v>1.5</v>
      </c>
      <c r="S62" s="99" t="n">
        <f aca="false">ROUND(IF(Dados!$J$60="SIM",R62*Dados!$N$60,R62),2)</f>
        <v>1.5</v>
      </c>
    </row>
    <row r="63" customFormat="false" ht="57" hidden="false" customHeight="false" outlineLevel="0" collapsed="false">
      <c r="A63" s="114" t="n">
        <v>6</v>
      </c>
      <c r="B63" s="291" t="s">
        <v>479</v>
      </c>
      <c r="C63" s="283" t="s">
        <v>375</v>
      </c>
      <c r="D63" s="283" t="s">
        <v>480</v>
      </c>
      <c r="E63" s="284" t="n">
        <v>2</v>
      </c>
      <c r="F63" s="283" t="s">
        <v>377</v>
      </c>
      <c r="G63" s="286" t="n">
        <v>9.99</v>
      </c>
      <c r="H63" s="303"/>
      <c r="I63" s="82"/>
      <c r="J63" s="91" t="n">
        <f aca="false">'Ocorrências Mensais - FAT'!G82</f>
        <v>2</v>
      </c>
      <c r="K63" s="288" t="n">
        <f aca="false">G63*J63</f>
        <v>19.98</v>
      </c>
      <c r="L63" s="49" t="n">
        <f aca="false">IF(F63="MENSAL",1,IF(F63="BIMESTRAL",2,IF(F63="TRIMESTRAL",3,IF(F63="QUADRIMESTRAL",4,IF(F63="SEMESTRAL",6,IF(F63="ANUAL",12,IF(F63="BIENAL",24,"")))))))</f>
        <v>1</v>
      </c>
      <c r="N63" s="304" t="n">
        <v>1.6</v>
      </c>
      <c r="O63" s="49" t="n">
        <f aca="false">ROUND(IF(Dados!$J$56="SIM",N63*Dados!$N$56,N63),2)</f>
        <v>1.6</v>
      </c>
      <c r="P63" s="49" t="n">
        <f aca="false">ROUND(IF(Dados!$J$57="SIM",O63*Dados!$N$57,O63),2)</f>
        <v>1.6</v>
      </c>
      <c r="Q63" s="49" t="n">
        <f aca="false">ROUND(IF(Dados!$J$58="SIM",P63*Dados!$N$58,P63),2)</f>
        <v>1.6</v>
      </c>
      <c r="R63" s="49" t="n">
        <f aca="false">ROUND(IF(Dados!$J$59="SIM",Q63*Dados!$N$59,Q63),2)</f>
        <v>1.6</v>
      </c>
      <c r="S63" s="99" t="n">
        <f aca="false">ROUND(IF(Dados!$J$60="SIM",R63*Dados!$N$60,R63),2)</f>
        <v>1.6</v>
      </c>
    </row>
    <row r="64" customFormat="false" ht="42.75" hidden="false" customHeight="false" outlineLevel="0" collapsed="false">
      <c r="A64" s="114" t="n">
        <v>7</v>
      </c>
      <c r="B64" s="281" t="s">
        <v>481</v>
      </c>
      <c r="C64" s="283" t="s">
        <v>375</v>
      </c>
      <c r="D64" s="283" t="s">
        <v>395</v>
      </c>
      <c r="E64" s="284" t="n">
        <v>1</v>
      </c>
      <c r="F64" s="283" t="s">
        <v>391</v>
      </c>
      <c r="G64" s="286" t="n">
        <v>10.41</v>
      </c>
      <c r="H64" s="303"/>
      <c r="I64" s="82"/>
      <c r="J64" s="91" t="n">
        <f aca="false">'Ocorrências Mensais - FAT'!G83</f>
        <v>0.0833333333333333</v>
      </c>
      <c r="K64" s="288" t="n">
        <f aca="false">G64*J64</f>
        <v>0.8675</v>
      </c>
      <c r="L64" s="49" t="n">
        <f aca="false">IF(F64="MENSAL",1,IF(F64="BIMESTRAL",2,IF(F64="TRIMESTRAL",3,IF(F64="QUADRIMESTRAL",4,IF(F64="SEMESTRAL",6,IF(F64="ANUAL",12,IF(F64="BIENAL",24,"")))))))</f>
        <v>12</v>
      </c>
      <c r="N64" s="304" t="n">
        <v>1.3</v>
      </c>
      <c r="O64" s="49" t="n">
        <f aca="false">ROUND(IF(Dados!$J$56="SIM",N64*Dados!$N$56,N64),2)</f>
        <v>1.3</v>
      </c>
      <c r="P64" s="49" t="n">
        <f aca="false">ROUND(IF(Dados!$J$57="SIM",O64*Dados!$N$57,O64),2)</f>
        <v>1.3</v>
      </c>
      <c r="Q64" s="49" t="n">
        <f aca="false">ROUND(IF(Dados!$J$58="SIM",P64*Dados!$N$58,P64),2)</f>
        <v>1.3</v>
      </c>
      <c r="R64" s="49" t="n">
        <f aca="false">ROUND(IF(Dados!$J$59="SIM",Q64*Dados!$N$59,Q64),2)</f>
        <v>1.3</v>
      </c>
      <c r="S64" s="99" t="n">
        <f aca="false">ROUND(IF(Dados!$J$60="SIM",R64*Dados!$N$60,R64),2)</f>
        <v>1.3</v>
      </c>
    </row>
    <row r="65" customFormat="false" ht="72" hidden="false" customHeight="false" outlineLevel="0" collapsed="false">
      <c r="A65" s="114" t="n">
        <v>8</v>
      </c>
      <c r="B65" s="281" t="s">
        <v>404</v>
      </c>
      <c r="C65" s="283" t="s">
        <v>375</v>
      </c>
      <c r="D65" s="283" t="s">
        <v>482</v>
      </c>
      <c r="E65" s="284" t="n">
        <v>3</v>
      </c>
      <c r="F65" s="283" t="s">
        <v>377</v>
      </c>
      <c r="G65" s="286" t="n">
        <v>2.99</v>
      </c>
      <c r="H65" s="303"/>
      <c r="I65" s="82"/>
      <c r="J65" s="91" t="n">
        <f aca="false">'Ocorrências Mensais - FAT'!G84</f>
        <v>3</v>
      </c>
      <c r="K65" s="288" t="n">
        <f aca="false">G65*J65</f>
        <v>8.97</v>
      </c>
      <c r="L65" s="49" t="n">
        <f aca="false">IF(F65="MENSAL",1,IF(F65="BIMESTRAL",2,IF(F65="TRIMESTRAL",3,IF(F65="QUADRIMESTRAL",4,IF(F65="SEMESTRAL",6,IF(F65="ANUAL",12,IF(F65="BIENAL",24,"")))))))</f>
        <v>1</v>
      </c>
      <c r="N65" s="304" t="n">
        <v>1.2</v>
      </c>
      <c r="O65" s="49" t="n">
        <f aca="false">ROUND(IF(Dados!$J$56="SIM",N65*Dados!$N$56,N65),2)</f>
        <v>1.2</v>
      </c>
      <c r="P65" s="49" t="n">
        <f aca="false">ROUND(IF(Dados!$J$57="SIM",O65*Dados!$N$57,O65),2)</f>
        <v>1.2</v>
      </c>
      <c r="Q65" s="49" t="n">
        <f aca="false">ROUND(IF(Dados!$J$58="SIM",P65*Dados!$N$58,P65),2)</f>
        <v>1.2</v>
      </c>
      <c r="R65" s="49" t="n">
        <f aca="false">ROUND(IF(Dados!$J$59="SIM",Q65*Dados!$N$59,Q65),2)</f>
        <v>1.2</v>
      </c>
      <c r="S65" s="99" t="n">
        <f aca="false">ROUND(IF(Dados!$J$60="SIM",R65*Dados!$N$60,R65),2)</f>
        <v>1.2</v>
      </c>
    </row>
    <row r="66" customFormat="false" ht="57" hidden="false" customHeight="false" outlineLevel="0" collapsed="false">
      <c r="A66" s="114" t="n">
        <v>9</v>
      </c>
      <c r="B66" s="281" t="s">
        <v>483</v>
      </c>
      <c r="C66" s="283" t="s">
        <v>375</v>
      </c>
      <c r="D66" s="283" t="s">
        <v>484</v>
      </c>
      <c r="E66" s="284" t="n">
        <v>1</v>
      </c>
      <c r="F66" s="283" t="s">
        <v>386</v>
      </c>
      <c r="G66" s="286" t="n">
        <v>28.07</v>
      </c>
      <c r="H66" s="303"/>
      <c r="I66" s="82"/>
      <c r="J66" s="91" t="n">
        <f aca="false">'Ocorrências Mensais - FAT'!G85</f>
        <v>0.166666666666667</v>
      </c>
      <c r="K66" s="288" t="n">
        <f aca="false">G66*J66</f>
        <v>4.67833333333333</v>
      </c>
      <c r="L66" s="49" t="n">
        <f aca="false">IF(F66="MENSAL",1,IF(F66="BIMESTRAL",2,IF(F66="TRIMESTRAL",3,IF(F66="QUADRIMESTRAL",4,IF(F66="SEMESTRAL",6,IF(F66="ANUAL",12,IF(F66="BIENAL",24,"")))))))</f>
        <v>6</v>
      </c>
      <c r="N66" s="304" t="n">
        <v>1.4</v>
      </c>
      <c r="O66" s="49" t="n">
        <f aca="false">ROUND(IF(Dados!$J$56="SIM",N66*Dados!$N$56,N66),2)</f>
        <v>1.4</v>
      </c>
      <c r="P66" s="49" t="n">
        <f aca="false">ROUND(IF(Dados!$J$57="SIM",O66*Dados!$N$57,O66),2)</f>
        <v>1.4</v>
      </c>
      <c r="Q66" s="49" t="n">
        <f aca="false">ROUND(IF(Dados!$J$58="SIM",P66*Dados!$N$58,P66),2)</f>
        <v>1.4</v>
      </c>
      <c r="R66" s="49" t="n">
        <f aca="false">ROUND(IF(Dados!$J$59="SIM",Q66*Dados!$N$59,Q66),2)</f>
        <v>1.4</v>
      </c>
      <c r="S66" s="99" t="n">
        <f aca="false">ROUND(IF(Dados!$J$60="SIM",R66*Dados!$N$60,R66),2)</f>
        <v>1.4</v>
      </c>
    </row>
    <row r="67" customFormat="false" ht="72" hidden="false" customHeight="false" outlineLevel="0" collapsed="false">
      <c r="A67" s="49" t="n">
        <v>10</v>
      </c>
      <c r="B67" s="281" t="s">
        <v>410</v>
      </c>
      <c r="C67" s="283" t="s">
        <v>375</v>
      </c>
      <c r="D67" s="283" t="s">
        <v>412</v>
      </c>
      <c r="E67" s="284" t="n">
        <v>4</v>
      </c>
      <c r="F67" s="283" t="s">
        <v>377</v>
      </c>
      <c r="G67" s="286" t="n">
        <v>6.4</v>
      </c>
      <c r="H67" s="303"/>
      <c r="I67" s="82"/>
      <c r="J67" s="91" t="n">
        <f aca="false">'Ocorrências Mensais - FAT'!G86</f>
        <v>4</v>
      </c>
      <c r="K67" s="288" t="n">
        <f aca="false">G67*J67</f>
        <v>25.6</v>
      </c>
      <c r="L67" s="49" t="n">
        <f aca="false">IF(F67="MENSAL",1,IF(F67="BIMESTRAL",2,IF(F67="TRIMESTRAL",3,IF(F67="QUADRIMESTRAL",4,IF(F67="SEMESTRAL",6,IF(F67="ANUAL",12,IF(F67="BIENAL",24,"")))))))</f>
        <v>1</v>
      </c>
      <c r="N67" s="304" t="n">
        <v>1.2</v>
      </c>
      <c r="O67" s="49" t="n">
        <f aca="false">ROUND(IF(Dados!$J$56="SIM",N67*Dados!$N$56,N67),2)</f>
        <v>1.2</v>
      </c>
      <c r="P67" s="49" t="n">
        <f aca="false">ROUND(IF(Dados!$J$57="SIM",O67*Dados!$N$57,O67),2)</f>
        <v>1.2</v>
      </c>
      <c r="Q67" s="49" t="n">
        <f aca="false">ROUND(IF(Dados!$J$58="SIM",P67*Dados!$N$58,P67),2)</f>
        <v>1.2</v>
      </c>
      <c r="R67" s="49" t="n">
        <f aca="false">ROUND(IF(Dados!$J$59="SIM",Q67*Dados!$N$59,Q67),2)</f>
        <v>1.2</v>
      </c>
      <c r="S67" s="99" t="n">
        <f aca="false">ROUND(IF(Dados!$J$60="SIM",R67*Dados!$N$60,R67),2)</f>
        <v>1.2</v>
      </c>
    </row>
    <row r="68" customFormat="false" ht="42.75" hidden="false" customHeight="false" outlineLevel="0" collapsed="false">
      <c r="A68" s="49" t="n">
        <v>11</v>
      </c>
      <c r="B68" s="281" t="s">
        <v>485</v>
      </c>
      <c r="C68" s="283" t="s">
        <v>436</v>
      </c>
      <c r="D68" s="283" t="s">
        <v>414</v>
      </c>
      <c r="E68" s="284" t="n">
        <v>2</v>
      </c>
      <c r="F68" s="283" t="s">
        <v>381</v>
      </c>
      <c r="G68" s="286" t="n">
        <v>2.94</v>
      </c>
      <c r="H68" s="303"/>
      <c r="I68" s="82"/>
      <c r="J68" s="91" t="n">
        <f aca="false">'Ocorrências Mensais - FAT'!G87</f>
        <v>0.666666666666667</v>
      </c>
      <c r="K68" s="288" t="n">
        <f aca="false">G68*J68</f>
        <v>1.96</v>
      </c>
      <c r="L68" s="49" t="n">
        <f aca="false">IF(F68="MENSAL",1,IF(F68="BIMESTRAL",2,IF(F68="TRIMESTRAL",3,IF(F68="QUADRIMESTRAL",4,IF(F68="SEMESTRAL",6,IF(F68="ANUAL",12,IF(F68="BIENAL",24,"")))))))</f>
        <v>3</v>
      </c>
      <c r="N68" s="304"/>
      <c r="O68" s="49"/>
      <c r="P68" s="49"/>
      <c r="Q68" s="49"/>
      <c r="R68" s="49"/>
      <c r="S68" s="99"/>
    </row>
    <row r="69" customFormat="false" ht="129" hidden="false" customHeight="false" outlineLevel="0" collapsed="false">
      <c r="A69" s="49" t="n">
        <v>12</v>
      </c>
      <c r="B69" s="281" t="s">
        <v>417</v>
      </c>
      <c r="C69" s="283" t="s">
        <v>375</v>
      </c>
      <c r="D69" s="283" t="s">
        <v>452</v>
      </c>
      <c r="E69" s="284" t="n">
        <v>8</v>
      </c>
      <c r="F69" s="283" t="s">
        <v>377</v>
      </c>
      <c r="G69" s="286" t="n">
        <v>4.28</v>
      </c>
      <c r="H69" s="303"/>
      <c r="I69" s="82"/>
      <c r="J69" s="91" t="n">
        <f aca="false">'Ocorrências Mensais - FAT'!G88</f>
        <v>8</v>
      </c>
      <c r="K69" s="288" t="n">
        <f aca="false">G69*J69</f>
        <v>34.24</v>
      </c>
      <c r="L69" s="49" t="n">
        <f aca="false">IF(F69="MENSAL",1,IF(F69="BIMESTRAL",2,IF(F69="TRIMESTRAL",3,IF(F69="QUADRIMESTRAL",4,IF(F69="SEMESTRAL",6,IF(F69="ANUAL",12,IF(F69="BIENAL",24,"")))))))</f>
        <v>1</v>
      </c>
      <c r="N69" s="304"/>
      <c r="O69" s="49"/>
      <c r="P69" s="49"/>
      <c r="Q69" s="49"/>
      <c r="R69" s="49"/>
      <c r="S69" s="99"/>
    </row>
    <row r="70" customFormat="false" ht="86.25" hidden="false" customHeight="false" outlineLevel="0" collapsed="false">
      <c r="A70" s="49" t="n">
        <v>13</v>
      </c>
      <c r="B70" s="281" t="s">
        <v>486</v>
      </c>
      <c r="C70" s="283" t="s">
        <v>436</v>
      </c>
      <c r="D70" s="283" t="s">
        <v>487</v>
      </c>
      <c r="E70" s="284" t="n">
        <v>3</v>
      </c>
      <c r="F70" s="283" t="s">
        <v>381</v>
      </c>
      <c r="G70" s="286" t="n">
        <v>5.95</v>
      </c>
      <c r="H70" s="303"/>
      <c r="I70" s="82"/>
      <c r="J70" s="91" t="n">
        <f aca="false">'Ocorrências Mensais - FAT'!G89</f>
        <v>1</v>
      </c>
      <c r="K70" s="288" t="n">
        <f aca="false">G70*J70</f>
        <v>5.95</v>
      </c>
      <c r="L70" s="49" t="n">
        <f aca="false">IF(F70="MENSAL",1,IF(F70="BIMESTRAL",2,IF(F70="TRIMESTRAL",3,IF(F70="QUADRIMESTRAL",4,IF(F70="SEMESTRAL",6,IF(F70="ANUAL",12,IF(F70="BIENAL",24,"")))))))</f>
        <v>3</v>
      </c>
      <c r="N70" s="304"/>
      <c r="O70" s="49"/>
      <c r="P70" s="49"/>
      <c r="Q70" s="49"/>
      <c r="R70" s="49"/>
      <c r="S70" s="99"/>
    </row>
    <row r="71" customFormat="false" ht="56.25" hidden="false" customHeight="true" outlineLevel="0" collapsed="false">
      <c r="A71" s="49" t="n">
        <v>14</v>
      </c>
      <c r="B71" s="281" t="s">
        <v>488</v>
      </c>
      <c r="C71" s="283" t="s">
        <v>436</v>
      </c>
      <c r="D71" s="283" t="s">
        <v>487</v>
      </c>
      <c r="E71" s="284" t="n">
        <v>3</v>
      </c>
      <c r="F71" s="283" t="s">
        <v>381</v>
      </c>
      <c r="G71" s="286" t="n">
        <v>6.48</v>
      </c>
      <c r="H71" s="303"/>
      <c r="I71" s="82"/>
      <c r="J71" s="91" t="n">
        <f aca="false">'Ocorrências Mensais - FAT'!G90</f>
        <v>1</v>
      </c>
      <c r="K71" s="288" t="n">
        <f aca="false">G71*J71</f>
        <v>6.48</v>
      </c>
      <c r="L71" s="49" t="n">
        <f aca="false">IF(F71="MENSAL",1,IF(F71="BIMESTRAL",2,IF(F71="TRIMESTRAL",3,IF(F71="QUADRIMESTRAL",4,IF(F71="SEMESTRAL",6,IF(F71="ANUAL",12,IF(F71="BIENAL",24,"")))))))</f>
        <v>3</v>
      </c>
      <c r="N71" s="304"/>
      <c r="O71" s="49"/>
      <c r="P71" s="49"/>
      <c r="Q71" s="49"/>
      <c r="R71" s="49"/>
      <c r="S71" s="99"/>
    </row>
    <row r="72" customFormat="false" ht="114.75" hidden="false" customHeight="false" outlineLevel="0" collapsed="false">
      <c r="A72" s="49" t="n">
        <v>15</v>
      </c>
      <c r="B72" s="281" t="s">
        <v>387</v>
      </c>
      <c r="C72" s="283" t="s">
        <v>375</v>
      </c>
      <c r="D72" s="283" t="s">
        <v>376</v>
      </c>
      <c r="E72" s="284" t="n">
        <v>3</v>
      </c>
      <c r="F72" s="283" t="s">
        <v>381</v>
      </c>
      <c r="G72" s="286" t="n">
        <v>5.46</v>
      </c>
      <c r="H72" s="303"/>
      <c r="I72" s="82"/>
      <c r="J72" s="91" t="n">
        <f aca="false">'Ocorrências Mensais - FAT'!G91</f>
        <v>1</v>
      </c>
      <c r="K72" s="288" t="n">
        <f aca="false">G72*J72</f>
        <v>5.46</v>
      </c>
      <c r="L72" s="49" t="n">
        <f aca="false">IF(F72="MENSAL",1,IF(F72="BIMESTRAL",2,IF(F72="TRIMESTRAL",3,IF(F72="QUADRIMESTRAL",4,IF(F72="SEMESTRAL",6,IF(F72="ANUAL",12,IF(F72="BIENAL",24,"")))))))</f>
        <v>3</v>
      </c>
      <c r="N72" s="304"/>
      <c r="O72" s="49"/>
      <c r="P72" s="49"/>
      <c r="Q72" s="49"/>
      <c r="R72" s="49"/>
      <c r="S72" s="99"/>
    </row>
    <row r="73" customFormat="false" ht="57" hidden="false" customHeight="false" outlineLevel="0" collapsed="false">
      <c r="A73" s="49" t="n">
        <v>16</v>
      </c>
      <c r="B73" s="281" t="s">
        <v>489</v>
      </c>
      <c r="C73" s="283" t="s">
        <v>427</v>
      </c>
      <c r="D73" s="283" t="s">
        <v>428</v>
      </c>
      <c r="E73" s="284" t="n">
        <v>1</v>
      </c>
      <c r="F73" s="283" t="s">
        <v>377</v>
      </c>
      <c r="G73" s="286" t="n">
        <v>13.38</v>
      </c>
      <c r="H73" s="303"/>
      <c r="I73" s="82"/>
      <c r="J73" s="91" t="n">
        <f aca="false">'Ocorrências Mensais - FAT'!G92</f>
        <v>1</v>
      </c>
      <c r="K73" s="288" t="n">
        <f aca="false">G73*J73</f>
        <v>13.38</v>
      </c>
      <c r="L73" s="49" t="n">
        <f aca="false">IF(F73="MENSAL",1,IF(F73="BIMESTRAL",2,IF(F73="TRIMESTRAL",3,IF(F73="QUADRIMESTRAL",4,IF(F73="SEMESTRAL",6,IF(F73="ANUAL",12,IF(F73="BIENAL",24,"")))))))</f>
        <v>1</v>
      </c>
      <c r="N73" s="304"/>
      <c r="O73" s="49"/>
      <c r="P73" s="49"/>
      <c r="Q73" s="49"/>
      <c r="R73" s="49"/>
      <c r="S73" s="99"/>
    </row>
    <row r="74" customFormat="false" ht="72" hidden="false" customHeight="false" outlineLevel="0" collapsed="false">
      <c r="A74" s="114" t="n">
        <v>17</v>
      </c>
      <c r="B74" s="281" t="s">
        <v>423</v>
      </c>
      <c r="C74" s="283" t="s">
        <v>375</v>
      </c>
      <c r="D74" s="283" t="s">
        <v>424</v>
      </c>
      <c r="E74" s="284" t="n">
        <v>2</v>
      </c>
      <c r="F74" s="283" t="s">
        <v>377</v>
      </c>
      <c r="G74" s="286" t="n">
        <v>5.08</v>
      </c>
      <c r="H74" s="303"/>
      <c r="I74" s="82"/>
      <c r="J74" s="91" t="n">
        <f aca="false">'Ocorrências Mensais - FAT'!G93</f>
        <v>2</v>
      </c>
      <c r="K74" s="288" t="n">
        <f aca="false">G74*J74</f>
        <v>10.16</v>
      </c>
      <c r="L74" s="49" t="n">
        <f aca="false">IF(F74="MENSAL",1,IF(F74="BIMESTRAL",2,IF(F74="TRIMESTRAL",3,IF(F74="QUADRIMESTRAL",4,IF(F74="SEMESTRAL",6,IF(F74="ANUAL",12,IF(F74="BIENAL",24,"")))))))</f>
        <v>1</v>
      </c>
      <c r="N74" s="304" t="n">
        <v>1.75</v>
      </c>
      <c r="O74" s="49" t="n">
        <f aca="false">ROUND(IF(Dados!$J$56="SIM",N74*Dados!$N$56,N74),2)</f>
        <v>1.75</v>
      </c>
      <c r="P74" s="49" t="n">
        <f aca="false">ROUND(IF(Dados!$J$57="SIM",O74*Dados!$N$57,O74),2)</f>
        <v>1.75</v>
      </c>
      <c r="Q74" s="49" t="n">
        <f aca="false">ROUND(IF(Dados!$J$58="SIM",P74*Dados!$N$58,P74),2)</f>
        <v>1.75</v>
      </c>
      <c r="R74" s="49" t="n">
        <f aca="false">ROUND(IF(Dados!$J$59="SIM",Q74*Dados!$N$59,Q74),2)</f>
        <v>1.75</v>
      </c>
      <c r="S74" s="99" t="n">
        <f aca="false">ROUND(IF(Dados!$J$60="SIM",R74*Dados!$N$60,R74),2)</f>
        <v>1.75</v>
      </c>
    </row>
    <row r="75" customFormat="false" ht="28.5" hidden="false" customHeight="false" outlineLevel="0" collapsed="false">
      <c r="A75" s="114" t="n">
        <v>18</v>
      </c>
      <c r="B75" s="281" t="s">
        <v>490</v>
      </c>
      <c r="C75" s="283" t="s">
        <v>375</v>
      </c>
      <c r="D75" s="283" t="s">
        <v>428</v>
      </c>
      <c r="E75" s="284" t="n">
        <v>1</v>
      </c>
      <c r="F75" s="283" t="s">
        <v>386</v>
      </c>
      <c r="G75" s="286" t="n">
        <v>13.09</v>
      </c>
      <c r="H75" s="303"/>
      <c r="I75" s="82"/>
      <c r="J75" s="91" t="n">
        <f aca="false">'Ocorrências Mensais - FAT'!G94</f>
        <v>0.166666666666667</v>
      </c>
      <c r="K75" s="288" t="n">
        <f aca="false">G75*J75</f>
        <v>2.18166666666667</v>
      </c>
      <c r="L75" s="49" t="n">
        <f aca="false">IF(F75="MENSAL",1,IF(F75="BIMESTRAL",2,IF(F75="TRIMESTRAL",3,IF(F75="QUADRIMESTRAL",4,IF(F75="SEMESTRAL",6,IF(F75="ANUAL",12,IF(F75="BIENAL",24,"")))))))</f>
        <v>6</v>
      </c>
      <c r="N75" s="304" t="n">
        <v>3.1</v>
      </c>
      <c r="O75" s="49" t="n">
        <f aca="false">ROUND(IF(Dados!$J$56="SIM",N75*Dados!$N$56,N75),2)</f>
        <v>3.1</v>
      </c>
      <c r="P75" s="49" t="n">
        <f aca="false">ROUND(IF(Dados!$J$57="SIM",O75*Dados!$N$57,O75),2)</f>
        <v>3.1</v>
      </c>
      <c r="Q75" s="49" t="n">
        <f aca="false">ROUND(IF(Dados!$J$58="SIM",P75*Dados!$N$58,P75),2)</f>
        <v>3.1</v>
      </c>
      <c r="R75" s="49" t="n">
        <f aca="false">ROUND(IF(Dados!$J$59="SIM",Q75*Dados!$N$59,Q75),2)</f>
        <v>3.1</v>
      </c>
      <c r="S75" s="99" t="n">
        <f aca="false">ROUND(IF(Dados!$J$60="SIM",R75*Dados!$N$60,R75),2)</f>
        <v>3.1</v>
      </c>
    </row>
    <row r="76" customFormat="false" ht="14.25" hidden="false" customHeight="false" outlineLevel="0" collapsed="false">
      <c r="A76" s="114" t="n">
        <v>19</v>
      </c>
      <c r="B76" s="281" t="s">
        <v>491</v>
      </c>
      <c r="C76" s="283" t="s">
        <v>375</v>
      </c>
      <c r="D76" s="283" t="s">
        <v>492</v>
      </c>
      <c r="E76" s="284" t="n">
        <v>5</v>
      </c>
      <c r="F76" s="283" t="s">
        <v>377</v>
      </c>
      <c r="G76" s="286" t="n">
        <v>10</v>
      </c>
      <c r="H76" s="303"/>
      <c r="I76" s="82"/>
      <c r="J76" s="91" t="n">
        <f aca="false">'Ocorrências Mensais - FAT'!G95</f>
        <v>5</v>
      </c>
      <c r="K76" s="288" t="n">
        <f aca="false">G76*J76</f>
        <v>50</v>
      </c>
      <c r="L76" s="49" t="n">
        <f aca="false">IF(F76="MENSAL",1,IF(F76="BIMESTRAL",2,IF(F76="TRIMESTRAL",3,IF(F76="QUADRIMESTRAL",4,IF(F76="SEMESTRAL",6,IF(F76="ANUAL",12,IF(F76="BIENAL",24,"")))))))</f>
        <v>1</v>
      </c>
      <c r="N76" s="304" t="n">
        <v>1.8</v>
      </c>
      <c r="O76" s="49" t="n">
        <f aca="false">ROUND(IF(Dados!$J$56="SIM",N76*Dados!$N$56,N76),2)</f>
        <v>1.8</v>
      </c>
      <c r="P76" s="49" t="n">
        <f aca="false">ROUND(IF(Dados!$J$57="SIM",O76*Dados!$N$57,O76),2)</f>
        <v>1.8</v>
      </c>
      <c r="Q76" s="49" t="n">
        <f aca="false">ROUND(IF(Dados!$J$58="SIM",P76*Dados!$N$58,P76),2)</f>
        <v>1.8</v>
      </c>
      <c r="R76" s="49" t="n">
        <f aca="false">ROUND(IF(Dados!$J$59="SIM",Q76*Dados!$N$59,Q76),2)</f>
        <v>1.8</v>
      </c>
      <c r="S76" s="99" t="n">
        <f aca="false">ROUND(IF(Dados!$J$60="SIM",R76*Dados!$N$60,R76),2)</f>
        <v>1.8</v>
      </c>
    </row>
    <row r="77" customFormat="false" ht="100.5" hidden="false" customHeight="false" outlineLevel="0" collapsed="false">
      <c r="A77" s="114" t="n">
        <v>20</v>
      </c>
      <c r="B77" s="281" t="s">
        <v>493</v>
      </c>
      <c r="C77" s="283" t="s">
        <v>375</v>
      </c>
      <c r="D77" s="283" t="s">
        <v>441</v>
      </c>
      <c r="E77" s="284" t="n">
        <v>1</v>
      </c>
      <c r="F77" s="283" t="s">
        <v>386</v>
      </c>
      <c r="G77" s="286" t="n">
        <v>25.67</v>
      </c>
      <c r="H77" s="303"/>
      <c r="I77" s="82"/>
      <c r="J77" s="91" t="n">
        <f aca="false">'Ocorrências Mensais - FAT'!G96</f>
        <v>0.166666666666667</v>
      </c>
      <c r="K77" s="288" t="n">
        <f aca="false">G77*J77</f>
        <v>4.27833333333333</v>
      </c>
      <c r="L77" s="49" t="n">
        <f aca="false">IF(F77="MENSAL",1,IF(F77="BIMESTRAL",2,IF(F77="TRIMESTRAL",3,IF(F77="QUADRIMESTRAL",4,IF(F77="SEMESTRAL",6,IF(F77="ANUAL",12,IF(F77="BIENAL",24,"")))))))</f>
        <v>6</v>
      </c>
      <c r="N77" s="304" t="n">
        <v>2.5</v>
      </c>
      <c r="O77" s="49" t="n">
        <f aca="false">ROUND(IF(Dados!$J$56="SIM",N77*Dados!$N$56,N77),2)</f>
        <v>2.5</v>
      </c>
      <c r="P77" s="49" t="n">
        <f aca="false">ROUND(IF(Dados!$J$57="SIM",O77*Dados!$N$57,O77),2)</f>
        <v>2.5</v>
      </c>
      <c r="Q77" s="49" t="n">
        <f aca="false">ROUND(IF(Dados!$J$58="SIM",P77*Dados!$N$58,P77),2)</f>
        <v>2.5</v>
      </c>
      <c r="R77" s="49" t="n">
        <f aca="false">ROUND(IF(Dados!$J$59="SIM",Q77*Dados!$N$59,Q77),2)</f>
        <v>2.5</v>
      </c>
      <c r="S77" s="99" t="n">
        <f aca="false">ROUND(IF(Dados!$J$60="SIM",R77*Dados!$N$60,R77),2)</f>
        <v>2.5</v>
      </c>
    </row>
    <row r="78" customFormat="false" ht="28.5" hidden="false" customHeight="false" outlineLevel="0" collapsed="false">
      <c r="A78" s="114" t="n">
        <v>21</v>
      </c>
      <c r="B78" s="281" t="s">
        <v>494</v>
      </c>
      <c r="C78" s="283" t="s">
        <v>375</v>
      </c>
      <c r="D78" s="283" t="s">
        <v>444</v>
      </c>
      <c r="E78" s="284" t="n">
        <v>1</v>
      </c>
      <c r="F78" s="283" t="s">
        <v>377</v>
      </c>
      <c r="G78" s="286" t="n">
        <v>12</v>
      </c>
      <c r="H78" s="303"/>
      <c r="I78" s="82"/>
      <c r="J78" s="91" t="n">
        <f aca="false">'Ocorrências Mensais - FAT'!G97</f>
        <v>1</v>
      </c>
      <c r="K78" s="288" t="n">
        <f aca="false">G78*J78</f>
        <v>12</v>
      </c>
      <c r="L78" s="49" t="n">
        <f aca="false">IF(F78="MENSAL",1,IF(F78="BIMESTRAL",2,IF(F78="TRIMESTRAL",3,IF(F78="QUADRIMESTRAL",4,IF(F78="SEMESTRAL",6,IF(F78="ANUAL",12,IF(F78="BIENAL",24,"")))))))</f>
        <v>1</v>
      </c>
      <c r="N78" s="304" t="n">
        <v>2.5</v>
      </c>
      <c r="O78" s="49" t="n">
        <f aca="false">ROUND(IF(Dados!$J$56="SIM",N78*Dados!$N$56,N78),2)</f>
        <v>2.5</v>
      </c>
      <c r="P78" s="49" t="n">
        <f aca="false">ROUND(IF(Dados!$J$57="SIM",O78*Dados!$N$57,O78),2)</f>
        <v>2.5</v>
      </c>
      <c r="Q78" s="49" t="n">
        <f aca="false">ROUND(IF(Dados!$J$58="SIM",P78*Dados!$N$58,P78),2)</f>
        <v>2.5</v>
      </c>
      <c r="R78" s="49" t="n">
        <f aca="false">ROUND(IF(Dados!$J$59="SIM",Q78*Dados!$N$59,Q78),2)</f>
        <v>2.5</v>
      </c>
      <c r="S78" s="99" t="n">
        <f aca="false">ROUND(IF(Dados!$J$60="SIM",R78*Dados!$N$60,R78),2)</f>
        <v>2.5</v>
      </c>
    </row>
    <row r="79" customFormat="false" ht="28.5" hidden="false" customHeight="false" outlineLevel="0" collapsed="false">
      <c r="A79" s="114" t="n">
        <v>22</v>
      </c>
      <c r="B79" s="281" t="s">
        <v>495</v>
      </c>
      <c r="C79" s="283" t="s">
        <v>375</v>
      </c>
      <c r="D79" s="283" t="s">
        <v>496</v>
      </c>
      <c r="E79" s="284" t="n">
        <v>4</v>
      </c>
      <c r="F79" s="283" t="s">
        <v>377</v>
      </c>
      <c r="G79" s="286" t="n">
        <v>8.23</v>
      </c>
      <c r="H79" s="303"/>
      <c r="I79" s="82"/>
      <c r="J79" s="91" t="n">
        <f aca="false">'Ocorrências Mensais - FAT'!G98</f>
        <v>4</v>
      </c>
      <c r="K79" s="288" t="n">
        <f aca="false">G79*J79</f>
        <v>32.92</v>
      </c>
      <c r="L79" s="49" t="n">
        <f aca="false">IF(F79="MENSAL",1,IF(F79="BIMESTRAL",2,IF(F79="TRIMESTRAL",3,IF(F79="QUADRIMESTRAL",4,IF(F79="SEMESTRAL",6,IF(F79="ANUAL",12,IF(F79="BIENAL",24,"")))))))</f>
        <v>1</v>
      </c>
      <c r="N79" s="304" t="n">
        <v>4.1</v>
      </c>
      <c r="O79" s="49" t="n">
        <f aca="false">ROUND(IF(Dados!$J$56="SIM",N79*Dados!$N$56,N79),2)</f>
        <v>4.1</v>
      </c>
      <c r="P79" s="49" t="n">
        <f aca="false">ROUND(IF(Dados!$J$57="SIM",O79*Dados!$N$57,O79),2)</f>
        <v>4.1</v>
      </c>
      <c r="Q79" s="49" t="n">
        <f aca="false">ROUND(IF(Dados!$J$58="SIM",P79*Dados!$N$58,P79),2)</f>
        <v>4.1</v>
      </c>
      <c r="R79" s="49" t="n">
        <f aca="false">ROUND(IF(Dados!$J$59="SIM",Q79*Dados!$N$59,Q79),2)</f>
        <v>4.1</v>
      </c>
      <c r="S79" s="99" t="n">
        <f aca="false">ROUND(IF(Dados!$J$60="SIM",R79*Dados!$N$60,R79),2)</f>
        <v>4.1</v>
      </c>
    </row>
    <row r="80" customFormat="false" ht="15.75" hidden="false" customHeight="false" outlineLevel="0" collapsed="false">
      <c r="A80" s="292"/>
      <c r="B80" s="292"/>
      <c r="C80" s="292"/>
      <c r="D80" s="292"/>
      <c r="E80" s="292"/>
      <c r="F80" s="292"/>
      <c r="G80" s="292"/>
      <c r="H80" s="305"/>
      <c r="I80" s="82"/>
      <c r="J80" s="306" t="s">
        <v>189</v>
      </c>
      <c r="K80" s="307" t="n">
        <f aca="false">SUM(K58:K79)</f>
        <v>347.639166666667</v>
      </c>
      <c r="L80" s="82"/>
      <c r="N80" s="3"/>
      <c r="O80" s="3"/>
      <c r="P80" s="3"/>
      <c r="Q80" s="3"/>
      <c r="R80" s="3"/>
      <c r="S80" s="3"/>
    </row>
    <row r="81" customFormat="false" ht="30.75" hidden="false" customHeight="false" outlineLevel="0" collapsed="false">
      <c r="A81" s="297"/>
      <c r="J81" s="299" t="s">
        <v>463</v>
      </c>
      <c r="K81" s="295" t="n">
        <f aca="false">Dados!B8</f>
        <v>1</v>
      </c>
      <c r="N81" s="3"/>
      <c r="O81" s="3"/>
      <c r="P81" s="3"/>
      <c r="Q81" s="3"/>
      <c r="R81" s="3"/>
      <c r="S81" s="3"/>
    </row>
    <row r="82" customFormat="false" ht="30.75" hidden="false" customHeight="false" outlineLevel="0" collapsed="false">
      <c r="J82" s="299" t="s">
        <v>464</v>
      </c>
      <c r="K82" s="295" t="n">
        <f aca="false">K80/K81</f>
        <v>347.639166666667</v>
      </c>
    </row>
  </sheetData>
  <sheetProtection algorithmName="SHA-512" hashValue="5042M/iSHL2DPGC/zqy3lq0HS2lbA6cvcLQLFYyNzWXjte0+RR9CGe/DKX/L5y9skLXa5q1+mNURvBio1XkbtQ==" saltValue="FSB11+49CRfV610UF/uXSA==" spinCount="100000" sheet="true" objects="true" scenarios="true"/>
  <mergeCells count="15">
    <mergeCell ref="A4:H4"/>
    <mergeCell ref="A5:H5"/>
    <mergeCell ref="N5:S6"/>
    <mergeCell ref="A6:A7"/>
    <mergeCell ref="B6:G6"/>
    <mergeCell ref="H6:H7"/>
    <mergeCell ref="J6:L6"/>
    <mergeCell ref="A51:G51"/>
    <mergeCell ref="A54:H54"/>
    <mergeCell ref="N54:S56"/>
    <mergeCell ref="A56:A57"/>
    <mergeCell ref="B56:D56"/>
    <mergeCell ref="H56:H57"/>
    <mergeCell ref="J56:L56"/>
    <mergeCell ref="A80:G80"/>
  </mergeCells>
  <dataValidations count="1">
    <dataValidation allowBlank="true" errorStyle="stop" operator="between" showDropDown="false" showErrorMessage="true" showInputMessage="true" sqref="F8:F50 F58:F79" type="list">
      <formula1>"Mensal,Bimestral,Trimestral,Quadrimestral,Semestral,Anual,Bienal"</formula1>
      <formula2>0</formula2>
    </dataValidation>
  </dataValidation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17"/>
  <sheetViews>
    <sheetView showFormulas="false" showGridLines="false" showRowColHeaders="true" showZeros="true" rightToLeft="false" tabSelected="false" showOutlineSymbols="true" defaultGridColor="true" view="pageBreakPreview" topLeftCell="A1" colorId="64" zoomScale="140" zoomScaleNormal="100" zoomScalePageLayoutView="140" workbookViewId="0">
      <selection pane="topLeft" activeCell="A1" activeCellId="0" sqref="A1"/>
    </sheetView>
  </sheetViews>
  <sheetFormatPr defaultColWidth="8.66796875" defaultRowHeight="14.25" zeroHeight="false" outlineLevelRow="0" outlineLevelCol="0"/>
  <cols>
    <col collapsed="false" customWidth="true" hidden="false" outlineLevel="0" max="1" min="1" style="82" width="5.56"/>
    <col collapsed="false" customWidth="true" hidden="false" outlineLevel="0" max="2" min="2" style="82" width="64.67"/>
    <col collapsed="false" customWidth="true" hidden="false" outlineLevel="0" max="3" min="3" style="82" width="7.88"/>
    <col collapsed="false" customWidth="true" hidden="false" outlineLevel="0" max="6" min="4" style="82" width="13.67"/>
    <col collapsed="false" customWidth="true" hidden="false" outlineLevel="0" max="255" min="7" style="0" width="9"/>
    <col collapsed="false" customWidth="true" hidden="false" outlineLevel="0" max="256" min="256" style="0" width="5.56"/>
    <col collapsed="false" customWidth="true" hidden="false" outlineLevel="0" max="257" min="257" style="0" width="45.11"/>
    <col collapsed="false" customWidth="true" hidden="false" outlineLevel="0" max="258" min="258" style="0" width="6.33"/>
    <col collapsed="false" customWidth="true" hidden="false" outlineLevel="0" max="262" min="259" style="0" width="13.67"/>
    <col collapsed="false" customWidth="true" hidden="false" outlineLevel="0" max="511" min="263" style="0" width="9"/>
    <col collapsed="false" customWidth="true" hidden="false" outlineLevel="0" max="512" min="512" style="0" width="5.56"/>
    <col collapsed="false" customWidth="true" hidden="false" outlineLevel="0" max="513" min="513" style="0" width="45.11"/>
    <col collapsed="false" customWidth="true" hidden="false" outlineLevel="0" max="514" min="514" style="0" width="6.33"/>
    <col collapsed="false" customWidth="true" hidden="false" outlineLevel="0" max="518" min="515" style="0" width="13.67"/>
    <col collapsed="false" customWidth="true" hidden="false" outlineLevel="0" max="767" min="519" style="0" width="9"/>
    <col collapsed="false" customWidth="true" hidden="false" outlineLevel="0" max="768" min="768" style="0" width="5.56"/>
    <col collapsed="false" customWidth="true" hidden="false" outlineLevel="0" max="769" min="769" style="0" width="45.11"/>
    <col collapsed="false" customWidth="true" hidden="false" outlineLevel="0" max="770" min="770" style="0" width="6.33"/>
    <col collapsed="false" customWidth="true" hidden="false" outlineLevel="0" max="774" min="771" style="0" width="13.67"/>
    <col collapsed="false" customWidth="true" hidden="false" outlineLevel="0" max="1024" min="775" style="0" width="9"/>
  </cols>
  <sheetData>
    <row r="1" s="82" customFormat="true" ht="11.25" hidden="false" customHeight="true" outlineLevel="0" collapsed="false">
      <c r="A1" s="203"/>
      <c r="B1" s="123" t="str">
        <f aca="false">INSTRUÇÕES!B1</f>
        <v>Tribunal Regional Federal da 6ª Região</v>
      </c>
      <c r="C1" s="308"/>
      <c r="D1" s="309"/>
      <c r="E1" s="309"/>
      <c r="F1" s="310"/>
    </row>
    <row r="2" s="82" customFormat="true" ht="11.25" hidden="false" customHeight="true" outlineLevel="0" collapsed="false">
      <c r="A2" s="205"/>
      <c r="B2" s="125" t="str">
        <f aca="false">INSTRUÇÕES!B2</f>
        <v>Seção Judiciária de Minas Gerais</v>
      </c>
      <c r="C2" s="311"/>
      <c r="D2" s="312"/>
      <c r="E2" s="312"/>
      <c r="F2" s="313"/>
    </row>
    <row r="3" s="82" customFormat="true" ht="10.5" hidden="false" customHeight="true" outlineLevel="0" collapsed="false">
      <c r="A3" s="207"/>
      <c r="B3" s="125" t="str">
        <f aca="false">INSTRUÇÕES!B3</f>
        <v>Subseção Judiciária de Poços de Caldas</v>
      </c>
      <c r="C3" s="311"/>
      <c r="D3" s="312"/>
      <c r="E3" s="312"/>
      <c r="F3" s="313"/>
    </row>
    <row r="4" s="82" customFormat="true" ht="21.75" hidden="false" customHeight="true" outlineLevel="0" collapsed="false">
      <c r="A4" s="314" t="s">
        <v>497</v>
      </c>
      <c r="B4" s="314"/>
      <c r="C4" s="314"/>
      <c r="D4" s="314"/>
      <c r="E4" s="314"/>
      <c r="F4" s="314"/>
    </row>
    <row r="5" s="82" customFormat="true" ht="26.25" hidden="false" customHeight="true" outlineLevel="0" collapsed="false">
      <c r="A5" s="315" t="s">
        <v>366</v>
      </c>
      <c r="B5" s="315"/>
      <c r="C5" s="315"/>
      <c r="D5" s="315"/>
      <c r="E5" s="315"/>
      <c r="F5" s="315"/>
    </row>
    <row r="6" s="82" customFormat="true" ht="15" hidden="false" customHeight="false" outlineLevel="0" collapsed="false">
      <c r="A6" s="316"/>
      <c r="B6" s="317"/>
      <c r="C6" s="317"/>
      <c r="D6" s="317" t="s">
        <v>498</v>
      </c>
      <c r="E6" s="317"/>
      <c r="F6" s="318"/>
    </row>
    <row r="7" s="82" customFormat="true" ht="27" hidden="false" customHeight="false" outlineLevel="0" collapsed="false">
      <c r="A7" s="319" t="s">
        <v>499</v>
      </c>
      <c r="B7" s="272" t="s">
        <v>500</v>
      </c>
      <c r="C7" s="272" t="s">
        <v>501</v>
      </c>
      <c r="D7" s="320" t="s">
        <v>502</v>
      </c>
      <c r="E7" s="320" t="s">
        <v>503</v>
      </c>
      <c r="F7" s="321" t="s">
        <v>504</v>
      </c>
    </row>
    <row r="8" s="82" customFormat="true" ht="13.5" hidden="false" customHeight="false" outlineLevel="0" collapsed="false">
      <c r="A8" s="322" t="s">
        <v>505</v>
      </c>
      <c r="B8" s="322"/>
      <c r="C8" s="322"/>
      <c r="D8" s="322"/>
      <c r="E8" s="322"/>
      <c r="F8" s="322"/>
    </row>
    <row r="9" s="82" customFormat="true" ht="13.5" hidden="false" customHeight="false" outlineLevel="0" collapsed="false">
      <c r="A9" s="323" t="n">
        <v>1</v>
      </c>
      <c r="B9" s="324" t="s">
        <v>506</v>
      </c>
      <c r="C9" s="325" t="n">
        <v>1</v>
      </c>
      <c r="D9" s="326" t="n">
        <v>257.08</v>
      </c>
      <c r="E9" s="327" t="n">
        <f aca="false">ROUND((D9*C9),2)</f>
        <v>257.08</v>
      </c>
      <c r="F9" s="328" t="n">
        <f aca="false">ROUND(E9/12,2)</f>
        <v>21.42</v>
      </c>
    </row>
    <row r="10" s="82" customFormat="true" ht="13.5" hidden="false" customHeight="false" outlineLevel="0" collapsed="false">
      <c r="A10" s="323" t="n">
        <v>2</v>
      </c>
      <c r="B10" s="324" t="s">
        <v>507</v>
      </c>
      <c r="C10" s="325" t="n">
        <v>1</v>
      </c>
      <c r="D10" s="326" t="n">
        <v>168.66</v>
      </c>
      <c r="E10" s="327" t="n">
        <f aca="false">ROUND((D10*C10),2)</f>
        <v>168.66</v>
      </c>
      <c r="F10" s="328" t="n">
        <f aca="false">ROUND(E10/12,2)</f>
        <v>14.06</v>
      </c>
    </row>
    <row r="11" s="82" customFormat="true" ht="14.25" hidden="false" customHeight="true" outlineLevel="0" collapsed="false">
      <c r="A11" s="329" t="s">
        <v>508</v>
      </c>
      <c r="B11" s="329"/>
      <c r="C11" s="329"/>
      <c r="D11" s="329"/>
      <c r="E11" s="329"/>
      <c r="F11" s="328" t="n">
        <f aca="false">F10+F9</f>
        <v>35.48</v>
      </c>
    </row>
    <row r="12" s="82" customFormat="true" ht="14.25" hidden="false" customHeight="true" outlineLevel="0" collapsed="false">
      <c r="A12" s="329" t="s">
        <v>509</v>
      </c>
      <c r="B12" s="329"/>
      <c r="C12" s="329"/>
      <c r="D12" s="329"/>
      <c r="E12" s="329"/>
      <c r="F12" s="328" t="n">
        <f aca="false">Dados!B9</f>
        <v>1</v>
      </c>
    </row>
    <row r="13" s="82" customFormat="true" ht="15" hidden="false" customHeight="true" outlineLevel="0" collapsed="false">
      <c r="A13" s="329" t="s">
        <v>510</v>
      </c>
      <c r="B13" s="329"/>
      <c r="C13" s="329"/>
      <c r="D13" s="329"/>
      <c r="E13" s="329"/>
      <c r="F13" s="330" t="n">
        <f aca="false">F11/F12</f>
        <v>35.48</v>
      </c>
    </row>
    <row r="14" s="82" customFormat="true" ht="27" hidden="false" customHeight="false" outlineLevel="0" collapsed="false">
      <c r="A14" s="331" t="n">
        <v>1</v>
      </c>
      <c r="B14" s="332" t="s">
        <v>511</v>
      </c>
      <c r="C14" s="325" t="n">
        <v>6</v>
      </c>
      <c r="D14" s="333" t="n">
        <v>59.29</v>
      </c>
      <c r="E14" s="334" t="n">
        <f aca="false">ROUND((D14*C14),2)</f>
        <v>355.74</v>
      </c>
      <c r="F14" s="335" t="n">
        <f aca="false">ROUND(E14/12,2)</f>
        <v>29.65</v>
      </c>
    </row>
    <row r="15" s="82" customFormat="true" ht="15.75" hidden="false" customHeight="true" outlineLevel="0" collapsed="false">
      <c r="A15" s="336" t="s">
        <v>512</v>
      </c>
      <c r="B15" s="336"/>
      <c r="C15" s="336"/>
      <c r="D15" s="336"/>
      <c r="E15" s="336"/>
      <c r="F15" s="337" t="n">
        <f aca="false">F14</f>
        <v>29.65</v>
      </c>
    </row>
    <row r="16" customFormat="false" ht="14.25" hidden="false" customHeight="true" outlineLevel="0" collapsed="false">
      <c r="A16" s="338" t="s">
        <v>509</v>
      </c>
      <c r="B16" s="338"/>
      <c r="C16" s="338"/>
      <c r="D16" s="338"/>
      <c r="E16" s="338"/>
      <c r="F16" s="339" t="n">
        <f aca="false">Dados!B7+Dados!B8+Dados!B9</f>
        <v>3</v>
      </c>
    </row>
    <row r="17" customFormat="false" ht="15" hidden="false" customHeight="true" outlineLevel="0" collapsed="false">
      <c r="A17" s="340" t="s">
        <v>510</v>
      </c>
      <c r="B17" s="340"/>
      <c r="C17" s="340"/>
      <c r="D17" s="340"/>
      <c r="E17" s="340"/>
      <c r="F17" s="341" t="n">
        <f aca="false">F15/F16</f>
        <v>9.88333333333333</v>
      </c>
    </row>
  </sheetData>
  <sheetProtection algorithmName="SHA-512" hashValue="Ki7JcU8jTU9kq7DGlDLPrG+ryqk6B78EGBIn2SP/5vb3cROMyrV7hekORn7ThGwh4iuGz4aj+20Fq+PLX5weTw==" saltValue="NNdAzPfmZhzW7b9kOx2Eng==" spinCount="100000" sheet="true" objects="true" scenarios="true"/>
  <mergeCells count="9">
    <mergeCell ref="A4:F4"/>
    <mergeCell ref="A5:F5"/>
    <mergeCell ref="A8:F8"/>
    <mergeCell ref="A11:E11"/>
    <mergeCell ref="A12:E12"/>
    <mergeCell ref="A13:E13"/>
    <mergeCell ref="A15:E15"/>
    <mergeCell ref="A16:E16"/>
    <mergeCell ref="A17:E17"/>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18"/>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6796875" defaultRowHeight="14.25" zeroHeight="false" outlineLevelRow="0" outlineLevelCol="0"/>
  <cols>
    <col collapsed="false" customWidth="true" hidden="false" outlineLevel="0" max="1" min="1" style="82" width="5.56"/>
    <col collapsed="false" customWidth="true" hidden="false" outlineLevel="0" max="2" min="2" style="82" width="64.67"/>
    <col collapsed="false" customWidth="true" hidden="false" outlineLevel="0" max="3" min="3" style="82" width="7.88"/>
    <col collapsed="false" customWidth="true" hidden="false" outlineLevel="0" max="7" min="4" style="82" width="13.67"/>
    <col collapsed="false" customWidth="true" hidden="false" outlineLevel="0" max="256" min="8" style="0" width="9"/>
    <col collapsed="false" customWidth="true" hidden="false" outlineLevel="0" max="257" min="257" style="0" width="5.56"/>
    <col collapsed="false" customWidth="true" hidden="false" outlineLevel="0" max="258" min="258" style="0" width="45.11"/>
    <col collapsed="false" customWidth="true" hidden="false" outlineLevel="0" max="259" min="259" style="0" width="6.33"/>
    <col collapsed="false" customWidth="true" hidden="false" outlineLevel="0" max="263" min="260" style="0" width="13.67"/>
    <col collapsed="false" customWidth="true" hidden="false" outlineLevel="0" max="512" min="264" style="0" width="9"/>
    <col collapsed="false" customWidth="true" hidden="false" outlineLevel="0" max="513" min="513" style="0" width="5.56"/>
    <col collapsed="false" customWidth="true" hidden="false" outlineLevel="0" max="514" min="514" style="0" width="45.11"/>
    <col collapsed="false" customWidth="true" hidden="false" outlineLevel="0" max="515" min="515" style="0" width="6.33"/>
    <col collapsed="false" customWidth="true" hidden="false" outlineLevel="0" max="519" min="516" style="0" width="13.67"/>
    <col collapsed="false" customWidth="true" hidden="false" outlineLevel="0" max="768" min="520" style="0" width="9"/>
    <col collapsed="false" customWidth="true" hidden="false" outlineLevel="0" max="769" min="769" style="0" width="5.56"/>
    <col collapsed="false" customWidth="true" hidden="false" outlineLevel="0" max="770" min="770" style="0" width="45.11"/>
    <col collapsed="false" customWidth="true" hidden="false" outlineLevel="0" max="771" min="771" style="0" width="6.33"/>
    <col collapsed="false" customWidth="true" hidden="false" outlineLevel="0" max="775" min="772" style="0" width="13.67"/>
    <col collapsed="false" customWidth="true" hidden="false" outlineLevel="0" max="1025" min="776" style="0" width="9"/>
  </cols>
  <sheetData>
    <row r="1" s="82" customFormat="true" ht="11.25" hidden="false" customHeight="true" outlineLevel="0" collapsed="false">
      <c r="A1" s="203"/>
      <c r="B1" s="123" t="str">
        <f aca="false">INSTRUÇÕES!B1</f>
        <v>Tribunal Regional Federal da 6ª Região</v>
      </c>
      <c r="C1" s="308"/>
      <c r="D1" s="309"/>
      <c r="E1" s="309"/>
      <c r="F1" s="309"/>
      <c r="G1" s="310"/>
    </row>
    <row r="2" s="82" customFormat="true" ht="11.25" hidden="false" customHeight="true" outlineLevel="0" collapsed="false">
      <c r="A2" s="205"/>
      <c r="B2" s="125" t="str">
        <f aca="false">INSTRUÇÕES!B2</f>
        <v>Seção Judiciária de Minas Gerais</v>
      </c>
      <c r="C2" s="311"/>
      <c r="D2" s="312"/>
      <c r="E2" s="312"/>
      <c r="F2" s="312"/>
      <c r="G2" s="313"/>
    </row>
    <row r="3" s="82" customFormat="true" ht="10.5" hidden="false" customHeight="true" outlineLevel="0" collapsed="false">
      <c r="A3" s="207"/>
      <c r="B3" s="125" t="str">
        <f aca="false">INSTRUÇÕES!B3</f>
        <v>Subseção Judiciária de Poços de Caldas</v>
      </c>
      <c r="C3" s="311"/>
      <c r="D3" s="312"/>
      <c r="E3" s="312"/>
      <c r="F3" s="312"/>
      <c r="G3" s="313"/>
    </row>
    <row r="4" s="82" customFormat="true" ht="21.75" hidden="false" customHeight="true" outlineLevel="0" collapsed="false">
      <c r="A4" s="314" t="s">
        <v>513</v>
      </c>
      <c r="B4" s="314"/>
      <c r="C4" s="314"/>
      <c r="D4" s="314"/>
      <c r="E4" s="314"/>
      <c r="F4" s="314"/>
      <c r="G4" s="314"/>
    </row>
    <row r="5" s="82" customFormat="true" ht="26.25" hidden="false" customHeight="true" outlineLevel="0" collapsed="false">
      <c r="A5" s="315" t="s">
        <v>366</v>
      </c>
      <c r="B5" s="315"/>
      <c r="C5" s="315"/>
      <c r="D5" s="315"/>
      <c r="E5" s="315"/>
      <c r="F5" s="315"/>
      <c r="G5" s="315"/>
    </row>
    <row r="6" s="82" customFormat="true" ht="15" hidden="false" customHeight="false" outlineLevel="0" collapsed="false">
      <c r="A6" s="316"/>
      <c r="B6" s="317"/>
      <c r="C6" s="317"/>
      <c r="D6" s="317" t="s">
        <v>498</v>
      </c>
      <c r="E6" s="317"/>
      <c r="G6" s="318" t="n">
        <v>0.1</v>
      </c>
    </row>
    <row r="7" s="82" customFormat="true" ht="27" hidden="false" customHeight="false" outlineLevel="0" collapsed="false">
      <c r="A7" s="319" t="s">
        <v>499</v>
      </c>
      <c r="B7" s="272" t="s">
        <v>500</v>
      </c>
      <c r="C7" s="272" t="s">
        <v>501</v>
      </c>
      <c r="D7" s="320" t="s">
        <v>502</v>
      </c>
      <c r="E7" s="320" t="s">
        <v>503</v>
      </c>
      <c r="F7" s="320" t="s">
        <v>514</v>
      </c>
      <c r="G7" s="321" t="s">
        <v>504</v>
      </c>
    </row>
    <row r="8" s="82" customFormat="true" ht="13.5" hidden="false" customHeight="false" outlineLevel="0" collapsed="false">
      <c r="A8" s="322" t="s">
        <v>515</v>
      </c>
      <c r="B8" s="322"/>
      <c r="C8" s="322"/>
      <c r="D8" s="322"/>
      <c r="E8" s="322"/>
      <c r="F8" s="322"/>
      <c r="G8" s="322"/>
    </row>
    <row r="9" s="82" customFormat="true" ht="39" hidden="false" customHeight="true" outlineLevel="0" collapsed="false">
      <c r="A9" s="323" t="n">
        <v>1</v>
      </c>
      <c r="B9" s="342" t="s">
        <v>516</v>
      </c>
      <c r="C9" s="325" t="n">
        <v>1</v>
      </c>
      <c r="D9" s="326" t="n">
        <v>598.49</v>
      </c>
      <c r="E9" s="327" t="n">
        <f aca="false">ROUND((D9*C9),2)</f>
        <v>598.49</v>
      </c>
      <c r="F9" s="327" t="n">
        <f aca="false">ROUND(E9*$G$6,2)</f>
        <v>59.85</v>
      </c>
      <c r="G9" s="328" t="n">
        <f aca="false">ROUND(F9/12,2)</f>
        <v>4.99</v>
      </c>
    </row>
    <row r="10" s="82" customFormat="true" ht="41.25" hidden="false" customHeight="false" outlineLevel="0" collapsed="false">
      <c r="A10" s="323" t="n">
        <v>2</v>
      </c>
      <c r="B10" s="342" t="s">
        <v>517</v>
      </c>
      <c r="C10" s="325" t="n">
        <v>1</v>
      </c>
      <c r="D10" s="326" t="n">
        <v>834.47</v>
      </c>
      <c r="E10" s="327" t="n">
        <f aca="false">ROUND((D10*C10),2)</f>
        <v>834.47</v>
      </c>
      <c r="F10" s="327" t="n">
        <f aca="false">ROUND(E10*$G$6,2)</f>
        <v>83.45</v>
      </c>
      <c r="G10" s="328" t="n">
        <f aca="false">ROUND(F10/12,2)</f>
        <v>6.95</v>
      </c>
    </row>
    <row r="11" s="82" customFormat="true" ht="15" hidden="false" customHeight="true" outlineLevel="0" collapsed="false">
      <c r="A11" s="323" t="n">
        <v>3</v>
      </c>
      <c r="B11" s="343" t="s">
        <v>518</v>
      </c>
      <c r="C11" s="325" t="n">
        <v>1</v>
      </c>
      <c r="D11" s="344" t="n">
        <v>557.5</v>
      </c>
      <c r="E11" s="327" t="n">
        <f aca="false">ROUND((D11*C11),2)</f>
        <v>557.5</v>
      </c>
      <c r="F11" s="327" t="n">
        <f aca="false">ROUND(E11*$G$6,2)</f>
        <v>55.75</v>
      </c>
      <c r="G11" s="328" t="n">
        <f aca="false">ROUND(F11/12,2)</f>
        <v>4.65</v>
      </c>
    </row>
    <row r="12" s="82" customFormat="true" ht="13.5" hidden="false" customHeight="false" outlineLevel="0" collapsed="false">
      <c r="A12" s="323" t="n">
        <v>4</v>
      </c>
      <c r="B12" s="324" t="s">
        <v>519</v>
      </c>
      <c r="C12" s="325" t="n">
        <v>1</v>
      </c>
      <c r="D12" s="345" t="n">
        <v>28.72</v>
      </c>
      <c r="E12" s="327" t="n">
        <f aca="false">ROUND((D12*C12),2)</f>
        <v>28.72</v>
      </c>
      <c r="F12" s="327" t="n">
        <f aca="false">ROUND(E12*$G$6,2)</f>
        <v>2.87</v>
      </c>
      <c r="G12" s="328" t="n">
        <f aca="false">ROUND(F12/12,2)</f>
        <v>0.24</v>
      </c>
    </row>
    <row r="13" s="82" customFormat="true" ht="13.5" hidden="false" customHeight="false" outlineLevel="0" collapsed="false">
      <c r="A13" s="323" t="n">
        <v>5</v>
      </c>
      <c r="B13" s="346" t="s">
        <v>520</v>
      </c>
      <c r="C13" s="347" t="n">
        <v>1</v>
      </c>
      <c r="D13" s="345" t="n">
        <v>57.33</v>
      </c>
      <c r="E13" s="327" t="n">
        <f aca="false">ROUND((D13*C13),2)</f>
        <v>57.33</v>
      </c>
      <c r="F13" s="327" t="n">
        <f aca="false">ROUND(E13*$G$6,2)</f>
        <v>5.73</v>
      </c>
      <c r="G13" s="328" t="n">
        <f aca="false">ROUND(F13/12,2)</f>
        <v>0.48</v>
      </c>
    </row>
    <row r="14" s="82" customFormat="true" ht="41.25" hidden="false" customHeight="false" outlineLevel="0" collapsed="false">
      <c r="A14" s="323" t="n">
        <v>6</v>
      </c>
      <c r="B14" s="346" t="s">
        <v>521</v>
      </c>
      <c r="C14" s="347" t="n">
        <v>1</v>
      </c>
      <c r="D14" s="345" t="n">
        <v>264.2</v>
      </c>
      <c r="E14" s="327" t="n">
        <f aca="false">ROUND((D14*C14),2)</f>
        <v>264.2</v>
      </c>
      <c r="F14" s="327" t="n">
        <f aca="false">ROUND(E14*$G$6,2)</f>
        <v>26.42</v>
      </c>
      <c r="G14" s="328" t="n">
        <f aca="false">ROUND(F14/12,2)</f>
        <v>2.2</v>
      </c>
    </row>
    <row r="15" s="82" customFormat="true" ht="27" hidden="false" customHeight="false" outlineLevel="0" collapsed="false">
      <c r="A15" s="323" t="n">
        <v>7</v>
      </c>
      <c r="B15" s="346" t="s">
        <v>522</v>
      </c>
      <c r="C15" s="347" t="n">
        <v>1</v>
      </c>
      <c r="D15" s="345" t="n">
        <v>735.76</v>
      </c>
      <c r="E15" s="327" t="n">
        <f aca="false">ROUND((D15*C15),2)</f>
        <v>735.76</v>
      </c>
      <c r="F15" s="327" t="n">
        <f aca="false">ROUND(E15*$G$6,2)</f>
        <v>73.58</v>
      </c>
      <c r="G15" s="328" t="n">
        <f aca="false">ROUND(F15/12,2)</f>
        <v>6.13</v>
      </c>
    </row>
    <row r="16" s="82" customFormat="true" ht="15" hidden="false" customHeight="true" outlineLevel="0" collapsed="false">
      <c r="A16" s="348" t="s">
        <v>523</v>
      </c>
      <c r="B16" s="348"/>
      <c r="C16" s="348"/>
      <c r="D16" s="348"/>
      <c r="E16" s="348"/>
      <c r="F16" s="348"/>
      <c r="G16" s="335" t="n">
        <f aca="false">SUM(G9:G15)</f>
        <v>25.64</v>
      </c>
    </row>
    <row r="17" s="82" customFormat="true" ht="15" hidden="false" customHeight="true" outlineLevel="0" collapsed="false">
      <c r="A17" s="348" t="s">
        <v>524</v>
      </c>
      <c r="B17" s="348"/>
      <c r="C17" s="348"/>
      <c r="D17" s="348"/>
      <c r="E17" s="348"/>
      <c r="F17" s="348"/>
      <c r="G17" s="335" t="n">
        <f aca="false">Dados!B9</f>
        <v>1</v>
      </c>
    </row>
    <row r="18" s="82" customFormat="true" ht="15.75" hidden="false" customHeight="true" outlineLevel="0" collapsed="false">
      <c r="A18" s="348" t="s">
        <v>523</v>
      </c>
      <c r="B18" s="348"/>
      <c r="C18" s="348"/>
      <c r="D18" s="348"/>
      <c r="E18" s="348"/>
      <c r="F18" s="348"/>
      <c r="G18" s="349" t="n">
        <f aca="false">G16/G17</f>
        <v>25.64</v>
      </c>
    </row>
  </sheetData>
  <sheetProtection algorithmName="SHA-512" hashValue="LFN3DzR54A7H6xf8dAMkPaLy1tkfR5xajRjG9fg4CLSRVlw1dLTcQoIZgJ/DJCgL9/g0n6xmyWUPQ91xmJZIZA==" saltValue="e0Y/fgBPcqddck/+K1uZhA==" spinCount="100000" sheet="true" objects="true" scenarios="true"/>
  <mergeCells count="6">
    <mergeCell ref="A4:G4"/>
    <mergeCell ref="A5:G5"/>
    <mergeCell ref="A8:G8"/>
    <mergeCell ref="A16:F16"/>
    <mergeCell ref="A17:F17"/>
    <mergeCell ref="A18:F18"/>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36"/>
  <sheetViews>
    <sheetView showFormulas="false" showGridLines="false" showRowColHeaders="true" showZeros="true" rightToLeft="false" tabSelected="false" showOutlineSymbols="true" defaultGridColor="true" view="pageBreakPreview" topLeftCell="A1" colorId="64" zoomScale="140" zoomScaleNormal="100" zoomScalePageLayoutView="140" workbookViewId="0">
      <selection pane="topLeft" activeCell="A1" activeCellId="0" sqref="A1"/>
    </sheetView>
  </sheetViews>
  <sheetFormatPr defaultColWidth="8.66796875" defaultRowHeight="14.25" zeroHeight="false" outlineLevelRow="0" outlineLevelCol="0"/>
  <cols>
    <col collapsed="false" customWidth="true" hidden="false" outlineLevel="0" max="1" min="1" style="3" width="13.34"/>
    <col collapsed="false" customWidth="true" hidden="false" outlineLevel="0" max="2" min="2" style="2" width="10.21"/>
    <col collapsed="false" customWidth="true" hidden="false" outlineLevel="0" max="3" min="3" style="350" width="7.33"/>
    <col collapsed="false" customWidth="true" hidden="false" outlineLevel="0" max="4" min="4" style="1" width="56.11"/>
    <col collapsed="false" customWidth="true" hidden="false" outlineLevel="0" max="5" min="5" style="1" width="9.33"/>
    <col collapsed="false" customWidth="true" hidden="false" outlineLevel="0" max="6" min="6" style="350" width="14.88"/>
    <col collapsed="false" customWidth="true" hidden="false" outlineLevel="0" max="7" min="7" style="351" width="12.44"/>
    <col collapsed="false" customWidth="true" hidden="false" outlineLevel="0" max="8" min="8" style="352" width="10.88"/>
    <col collapsed="false" customWidth="true" hidden="false" outlineLevel="0" max="9" min="9" style="0" width="9"/>
    <col collapsed="false" customWidth="true" hidden="true" outlineLevel="0" max="10" min="10" style="353" width="16.44"/>
    <col collapsed="false" customWidth="true" hidden="true" outlineLevel="0" max="15" min="11" style="353" width="11.33"/>
    <col collapsed="false" customWidth="true" hidden="false" outlineLevel="0" max="254" min="16" style="0" width="9"/>
    <col collapsed="false" customWidth="true" hidden="false" outlineLevel="0" max="255" min="255" style="0" width="13.34"/>
    <col collapsed="false" customWidth="true" hidden="false" outlineLevel="0" max="256" min="256" style="0" width="7.67"/>
    <col collapsed="false" customWidth="true" hidden="false" outlineLevel="0" max="257" min="257" style="0" width="6.11"/>
    <col collapsed="false" customWidth="true" hidden="false" outlineLevel="0" max="258" min="258" style="0" width="56.11"/>
    <col collapsed="false" customWidth="true" hidden="false" outlineLevel="0" max="259" min="259" style="0" width="9.33"/>
    <col collapsed="false" customWidth="true" hidden="false" outlineLevel="0" max="261" min="260" style="0" width="12.44"/>
    <col collapsed="false" customWidth="true" hidden="false" outlineLevel="0" max="262" min="262" style="0" width="10.88"/>
    <col collapsed="false" customWidth="true" hidden="false" outlineLevel="0" max="265" min="263" style="0" width="9"/>
    <col collapsed="false" customWidth="true" hidden="false" outlineLevel="0" max="266" min="266" style="0" width="11.44"/>
    <col collapsed="false" customWidth="true" hidden="false" outlineLevel="0" max="271" min="267" style="0" width="11.33"/>
    <col collapsed="false" customWidth="true" hidden="false" outlineLevel="0" max="510" min="272" style="0" width="9"/>
    <col collapsed="false" customWidth="true" hidden="false" outlineLevel="0" max="511" min="511" style="0" width="13.34"/>
    <col collapsed="false" customWidth="true" hidden="false" outlineLevel="0" max="512" min="512" style="0" width="7.67"/>
    <col collapsed="false" customWidth="true" hidden="false" outlineLevel="0" max="513" min="513" style="0" width="6.11"/>
    <col collapsed="false" customWidth="true" hidden="false" outlineLevel="0" max="514" min="514" style="0" width="56.11"/>
    <col collapsed="false" customWidth="true" hidden="false" outlineLevel="0" max="515" min="515" style="0" width="9.33"/>
    <col collapsed="false" customWidth="true" hidden="false" outlineLevel="0" max="517" min="516" style="0" width="12.44"/>
    <col collapsed="false" customWidth="true" hidden="false" outlineLevel="0" max="518" min="518" style="0" width="10.88"/>
    <col collapsed="false" customWidth="true" hidden="false" outlineLevel="0" max="521" min="519" style="0" width="9"/>
    <col collapsed="false" customWidth="true" hidden="false" outlineLevel="0" max="522" min="522" style="0" width="11.44"/>
    <col collapsed="false" customWidth="true" hidden="false" outlineLevel="0" max="527" min="523" style="0" width="11.33"/>
    <col collapsed="false" customWidth="true" hidden="false" outlineLevel="0" max="766" min="528" style="0" width="9"/>
    <col collapsed="false" customWidth="true" hidden="false" outlineLevel="0" max="767" min="767" style="0" width="13.34"/>
    <col collapsed="false" customWidth="true" hidden="false" outlineLevel="0" max="768" min="768" style="0" width="7.67"/>
    <col collapsed="false" customWidth="true" hidden="false" outlineLevel="0" max="769" min="769" style="0" width="6.11"/>
    <col collapsed="false" customWidth="true" hidden="false" outlineLevel="0" max="770" min="770" style="0" width="56.11"/>
    <col collapsed="false" customWidth="true" hidden="false" outlineLevel="0" max="771" min="771" style="0" width="9.33"/>
    <col collapsed="false" customWidth="true" hidden="false" outlineLevel="0" max="773" min="772" style="0" width="12.44"/>
    <col collapsed="false" customWidth="true" hidden="false" outlineLevel="0" max="774" min="774" style="0" width="10.88"/>
    <col collapsed="false" customWidth="true" hidden="false" outlineLevel="0" max="777" min="775" style="0" width="9"/>
    <col collapsed="false" customWidth="true" hidden="false" outlineLevel="0" max="778" min="778" style="0" width="11.44"/>
    <col collapsed="false" customWidth="true" hidden="false" outlineLevel="0" max="783" min="779" style="0" width="11.33"/>
    <col collapsed="false" customWidth="true" hidden="false" outlineLevel="0" max="1022" min="784" style="0" width="9"/>
    <col collapsed="false" customWidth="true" hidden="false" outlineLevel="0" max="1023" min="1023" style="0" width="13.34"/>
    <col collapsed="false" customWidth="true" hidden="false" outlineLevel="0" max="1025" min="1024" style="0" width="7.67"/>
  </cols>
  <sheetData>
    <row r="1" s="1" customFormat="true" ht="12.75" hidden="false" customHeight="true" outlineLevel="0" collapsed="false">
      <c r="A1" s="354"/>
      <c r="B1" s="355" t="str">
        <f aca="false">INSTRUÇÕES!B1</f>
        <v>Tribunal Regional Federal da 6ª Região</v>
      </c>
      <c r="C1" s="356"/>
      <c r="D1" s="357"/>
      <c r="E1" s="358"/>
      <c r="F1" s="359"/>
      <c r="G1" s="360"/>
      <c r="H1" s="361"/>
      <c r="J1" s="362" t="s">
        <v>367</v>
      </c>
      <c r="K1" s="362"/>
      <c r="L1" s="362"/>
      <c r="M1" s="362"/>
      <c r="N1" s="362"/>
      <c r="O1" s="362"/>
    </row>
    <row r="2" s="1" customFormat="true" ht="12.75" hidden="false" customHeight="true" outlineLevel="0" collapsed="false">
      <c r="A2" s="363"/>
      <c r="B2" s="364" t="str">
        <f aca="false">INSTRUÇÕES!B2</f>
        <v>Seção Judiciária de Minas Gerais</v>
      </c>
      <c r="C2" s="365"/>
      <c r="D2" s="366"/>
      <c r="F2" s="350"/>
      <c r="G2" s="351"/>
      <c r="H2" s="367"/>
      <c r="J2" s="362"/>
      <c r="K2" s="362"/>
      <c r="L2" s="362"/>
      <c r="M2" s="362"/>
      <c r="N2" s="362"/>
      <c r="O2" s="362"/>
    </row>
    <row r="3" s="141" customFormat="true" ht="14.25" hidden="false" customHeight="false" outlineLevel="0" collapsed="false">
      <c r="A3" s="363"/>
      <c r="B3" s="368" t="str">
        <f aca="false">INSTRUÇÕES!B3</f>
        <v>Subseção Judiciária de Poços de Caldas</v>
      </c>
      <c r="C3" s="369"/>
      <c r="D3" s="370"/>
      <c r="F3" s="371"/>
      <c r="G3" s="372"/>
      <c r="H3" s="373"/>
      <c r="J3" s="362"/>
      <c r="K3" s="362"/>
      <c r="L3" s="362"/>
      <c r="M3" s="362"/>
      <c r="N3" s="362"/>
      <c r="O3" s="362"/>
    </row>
    <row r="4" s="312" customFormat="true" ht="15" hidden="false" customHeight="false" outlineLevel="0" collapsed="false">
      <c r="A4" s="374" t="s">
        <v>525</v>
      </c>
      <c r="B4" s="374"/>
      <c r="C4" s="374"/>
      <c r="D4" s="374"/>
      <c r="E4" s="374"/>
      <c r="F4" s="374"/>
      <c r="G4" s="374"/>
      <c r="H4" s="374"/>
      <c r="J4" s="362"/>
      <c r="K4" s="362"/>
      <c r="L4" s="362"/>
      <c r="M4" s="362"/>
      <c r="N4" s="362"/>
      <c r="O4" s="362"/>
    </row>
    <row r="5" s="1" customFormat="true" ht="27" hidden="false" customHeight="true" outlineLevel="0" collapsed="false">
      <c r="A5" s="375" t="s">
        <v>366</v>
      </c>
      <c r="B5" s="375"/>
      <c r="C5" s="375"/>
      <c r="D5" s="375"/>
      <c r="E5" s="375"/>
      <c r="F5" s="375"/>
      <c r="G5" s="375"/>
      <c r="H5" s="375"/>
      <c r="J5" s="376" t="s">
        <v>373</v>
      </c>
      <c r="K5" s="75" t="s">
        <v>274</v>
      </c>
      <c r="L5" s="75" t="s">
        <v>275</v>
      </c>
      <c r="M5" s="75" t="s">
        <v>276</v>
      </c>
      <c r="N5" s="75" t="s">
        <v>277</v>
      </c>
      <c r="O5" s="75" t="s">
        <v>278</v>
      </c>
    </row>
    <row r="6" s="1" customFormat="true" ht="15.75" hidden="false" customHeight="true" outlineLevel="0" collapsed="false">
      <c r="A6" s="377" t="s">
        <v>526</v>
      </c>
      <c r="B6" s="377"/>
      <c r="C6" s="377"/>
      <c r="D6" s="377"/>
      <c r="E6" s="377"/>
      <c r="F6" s="377"/>
      <c r="G6" s="377"/>
      <c r="H6" s="377"/>
      <c r="J6" s="376"/>
      <c r="K6" s="75"/>
      <c r="L6" s="75"/>
      <c r="M6" s="75"/>
      <c r="N6" s="75"/>
      <c r="O6" s="75"/>
    </row>
    <row r="7" s="1" customFormat="true" ht="15.75" hidden="false" customHeight="true" outlineLevel="0" collapsed="false">
      <c r="A7" s="378"/>
      <c r="B7" s="379"/>
      <c r="C7" s="380"/>
      <c r="D7" s="379"/>
      <c r="E7" s="379"/>
      <c r="F7" s="380"/>
      <c r="G7" s="381"/>
      <c r="H7" s="382"/>
      <c r="J7" s="376"/>
      <c r="K7" s="75"/>
      <c r="L7" s="75"/>
      <c r="M7" s="75"/>
      <c r="N7" s="75"/>
      <c r="O7" s="75"/>
    </row>
    <row r="8" s="1" customFormat="true" ht="27" hidden="false" customHeight="false" outlineLevel="0" collapsed="false">
      <c r="A8" s="383" t="s">
        <v>527</v>
      </c>
      <c r="B8" s="383" t="s">
        <v>252</v>
      </c>
      <c r="C8" s="383" t="s">
        <v>528</v>
      </c>
      <c r="D8" s="383" t="s">
        <v>529</v>
      </c>
      <c r="E8" s="383" t="s">
        <v>530</v>
      </c>
      <c r="F8" s="383" t="s">
        <v>531</v>
      </c>
      <c r="G8" s="383" t="s">
        <v>532</v>
      </c>
      <c r="H8" s="383" t="s">
        <v>189</v>
      </c>
      <c r="J8" s="376"/>
      <c r="K8" s="75"/>
      <c r="L8" s="75"/>
      <c r="M8" s="75"/>
      <c r="N8" s="75"/>
      <c r="O8" s="75"/>
      <c r="P8" s="193"/>
    </row>
    <row r="9" s="141" customFormat="true" ht="108.75" hidden="false" customHeight="true" outlineLevel="0" collapsed="false">
      <c r="A9" s="384" t="s">
        <v>533</v>
      </c>
      <c r="B9" s="49" t="s">
        <v>534</v>
      </c>
      <c r="C9" s="385" t="n">
        <v>2</v>
      </c>
      <c r="D9" s="386" t="s">
        <v>535</v>
      </c>
      <c r="E9" s="283" t="s">
        <v>536</v>
      </c>
      <c r="F9" s="387" t="n">
        <f aca="false">C9*$A$12</f>
        <v>4</v>
      </c>
      <c r="G9" s="388" t="n">
        <v>74.1</v>
      </c>
      <c r="H9" s="389" t="n">
        <f aca="false">ROUND(F9*G9,2)</f>
        <v>296.4</v>
      </c>
      <c r="J9" s="390" t="n">
        <v>25.8</v>
      </c>
      <c r="K9" s="49" t="n">
        <f aca="false">ROUND(IF(Dados!$I$60="SIM",J9*Dados!$N$60,J9),2)</f>
        <v>25.8</v>
      </c>
      <c r="L9" s="49" t="n">
        <f aca="false">ROUND(IF(Dados!$I$61="SIM",K9*Dados!$N$61,K9),2)</f>
        <v>25.8</v>
      </c>
      <c r="M9" s="49" t="n">
        <f aca="false">ROUND(IF(Dados!$I$62="SIM",L9*Dados!$N$62,L9),2)</f>
        <v>25.8</v>
      </c>
      <c r="N9" s="49" t="n">
        <f aca="false">ROUND(IF(Dados!$I$63="SIM",M9*Dados!$N$63,M9),2)</f>
        <v>25.8</v>
      </c>
      <c r="O9" s="49" t="n">
        <f aca="false">ROUND(IF(Dados!$I$64="SIM",N9*Dados!$N$64,N9),2)</f>
        <v>25.8</v>
      </c>
    </row>
    <row r="10" s="141" customFormat="true" ht="110.25" hidden="false" customHeight="false" outlineLevel="0" collapsed="false">
      <c r="A10" s="384"/>
      <c r="B10" s="391" t="s">
        <v>537</v>
      </c>
      <c r="C10" s="392" t="n">
        <v>3</v>
      </c>
      <c r="D10" s="393" t="s">
        <v>538</v>
      </c>
      <c r="E10" s="394" t="s">
        <v>539</v>
      </c>
      <c r="F10" s="387" t="n">
        <f aca="false">C10*$A$12</f>
        <v>6</v>
      </c>
      <c r="G10" s="388" t="n">
        <v>32.65</v>
      </c>
      <c r="H10" s="389" t="n">
        <f aca="false">ROUND(F10*G10,2)</f>
        <v>195.9</v>
      </c>
      <c r="J10" s="390" t="n">
        <v>19.99</v>
      </c>
      <c r="K10" s="49" t="n">
        <f aca="false">ROUND(IF(Dados!$I$60="SIM",J10*Dados!$N$60,J10),2)</f>
        <v>19.99</v>
      </c>
      <c r="L10" s="49" t="n">
        <f aca="false">ROUND(IF(Dados!$I$61="SIM",K10*Dados!$N$61,K10),2)</f>
        <v>19.99</v>
      </c>
      <c r="M10" s="49" t="n">
        <f aca="false">ROUND(IF(Dados!$I$62="SIM",L10*Dados!$N$62,L10),2)</f>
        <v>19.99</v>
      </c>
      <c r="N10" s="49" t="n">
        <f aca="false">ROUND(IF(Dados!$I$63="SIM",M10*Dados!$N$63,M10),2)</f>
        <v>19.99</v>
      </c>
      <c r="O10" s="49" t="n">
        <f aca="false">ROUND(IF(Dados!$I$64="SIM",N10*Dados!$N$64,N10),2)</f>
        <v>19.99</v>
      </c>
    </row>
    <row r="11" s="141" customFormat="true" ht="110.25" hidden="false" customHeight="false" outlineLevel="0" collapsed="false">
      <c r="A11" s="395" t="s">
        <v>540</v>
      </c>
      <c r="B11" s="51" t="s">
        <v>541</v>
      </c>
      <c r="C11" s="385" t="n">
        <v>2</v>
      </c>
      <c r="D11" s="396" t="s">
        <v>542</v>
      </c>
      <c r="E11" s="283" t="s">
        <v>539</v>
      </c>
      <c r="F11" s="387" t="n">
        <f aca="false">C11*$A$12</f>
        <v>4</v>
      </c>
      <c r="G11" s="388" t="n">
        <v>66.54</v>
      </c>
      <c r="H11" s="389" t="n">
        <f aca="false">ROUND(F11*G11,2)</f>
        <v>266.16</v>
      </c>
      <c r="J11" s="390" t="n">
        <v>39.9</v>
      </c>
      <c r="K11" s="49" t="n">
        <f aca="false">ROUND(IF(Dados!$I$60="SIM",J11*Dados!$N$60,J11),2)</f>
        <v>39.9</v>
      </c>
      <c r="L11" s="49" t="n">
        <f aca="false">ROUND(IF(Dados!$I$61="SIM",K11*Dados!$N$61,K11),2)</f>
        <v>39.9</v>
      </c>
      <c r="M11" s="49" t="n">
        <f aca="false">ROUND(IF(Dados!$I$62="SIM",L11*Dados!$N$62,L11),2)</f>
        <v>39.9</v>
      </c>
      <c r="N11" s="49" t="n">
        <f aca="false">ROUND(IF(Dados!$I$63="SIM",M11*Dados!$N$63,M11),2)</f>
        <v>39.9</v>
      </c>
      <c r="O11" s="49" t="n">
        <f aca="false">ROUND(IF(Dados!$I$64="SIM",N11*Dados!$N$64,N11),2)</f>
        <v>39.9</v>
      </c>
    </row>
    <row r="12" s="141" customFormat="true" ht="138" hidden="false" customHeight="false" outlineLevel="0" collapsed="false">
      <c r="A12" s="397" t="n">
        <f aca="false">Dados!B7+Dados!B8</f>
        <v>2</v>
      </c>
      <c r="B12" s="49" t="s">
        <v>543</v>
      </c>
      <c r="C12" s="385" t="n">
        <v>1</v>
      </c>
      <c r="D12" s="398" t="s">
        <v>544</v>
      </c>
      <c r="E12" s="283" t="s">
        <v>539</v>
      </c>
      <c r="F12" s="387" t="n">
        <f aca="false">C12*$A$12</f>
        <v>2</v>
      </c>
      <c r="G12" s="388" t="n">
        <v>275.9</v>
      </c>
      <c r="H12" s="389" t="n">
        <f aca="false">ROUND(F12*G12,2)</f>
        <v>551.8</v>
      </c>
      <c r="J12" s="390" t="n">
        <v>45</v>
      </c>
      <c r="K12" s="49" t="n">
        <f aca="false">ROUND(IF(Dados!$I$60="SIM",J12*Dados!$N$60,J12),2)</f>
        <v>45</v>
      </c>
      <c r="L12" s="49" t="n">
        <f aca="false">ROUND(IF(Dados!$I$61="SIM",K12*Dados!$N$61,K12),2)</f>
        <v>45</v>
      </c>
      <c r="M12" s="49" t="n">
        <f aca="false">ROUND(IF(Dados!$I$62="SIM",L12*Dados!$N$62,L12),2)</f>
        <v>45</v>
      </c>
      <c r="N12" s="49" t="n">
        <f aca="false">ROUND(IF(Dados!$I$63="SIM",M12*Dados!$N$63,M12),2)</f>
        <v>45</v>
      </c>
      <c r="O12" s="49" t="n">
        <f aca="false">ROUND(IF(Dados!$I$64="SIM",N12*Dados!$N$64,N12),2)</f>
        <v>45</v>
      </c>
    </row>
    <row r="13" s="141" customFormat="true" ht="14.25" hidden="false" customHeight="false" outlineLevel="0" collapsed="false">
      <c r="A13" s="399" t="s">
        <v>545</v>
      </c>
      <c r="B13" s="399"/>
      <c r="C13" s="399"/>
      <c r="D13" s="399"/>
      <c r="E13" s="399"/>
      <c r="F13" s="399"/>
      <c r="G13" s="399"/>
      <c r="H13" s="400" t="n">
        <f aca="false">SUM(H9:H12)</f>
        <v>1310.26</v>
      </c>
      <c r="J13" s="3"/>
      <c r="K13" s="3"/>
      <c r="L13" s="3"/>
      <c r="M13" s="3"/>
      <c r="N13" s="3"/>
      <c r="O13" s="3"/>
    </row>
    <row r="14" s="141" customFormat="true" ht="15" hidden="false" customHeight="false" outlineLevel="0" collapsed="false">
      <c r="A14" s="401" t="s">
        <v>546</v>
      </c>
      <c r="B14" s="401"/>
      <c r="C14" s="401"/>
      <c r="D14" s="401"/>
      <c r="E14" s="401"/>
      <c r="F14" s="401"/>
      <c r="G14" s="402"/>
      <c r="H14" s="403" t="n">
        <f aca="false">ROUND(H13/$A$12/12,2)</f>
        <v>54.59</v>
      </c>
      <c r="J14" s="3"/>
      <c r="K14" s="3"/>
      <c r="L14" s="3"/>
      <c r="M14" s="3"/>
      <c r="N14" s="3"/>
      <c r="O14" s="3"/>
    </row>
    <row r="15" s="141" customFormat="true" ht="14.25" hidden="false" customHeight="false" outlineLevel="0" collapsed="false">
      <c r="A15" s="404"/>
      <c r="B15" s="72"/>
      <c r="C15" s="405"/>
      <c r="D15" s="406"/>
      <c r="E15" s="406"/>
      <c r="F15" s="405"/>
      <c r="G15" s="407"/>
      <c r="H15" s="408"/>
      <c r="J15" s="3"/>
      <c r="K15" s="3"/>
      <c r="L15" s="3"/>
      <c r="M15" s="3"/>
      <c r="N15" s="3"/>
      <c r="O15" s="3"/>
    </row>
    <row r="16" s="141" customFormat="true" ht="30.75" hidden="false" customHeight="true" outlineLevel="0" collapsed="false">
      <c r="A16" s="409" t="s">
        <v>527</v>
      </c>
      <c r="B16" s="410" t="s">
        <v>252</v>
      </c>
      <c r="C16" s="411" t="s">
        <v>528</v>
      </c>
      <c r="D16" s="412" t="s">
        <v>529</v>
      </c>
      <c r="E16" s="412" t="s">
        <v>530</v>
      </c>
      <c r="F16" s="413" t="s">
        <v>531</v>
      </c>
      <c r="G16" s="383" t="s">
        <v>532</v>
      </c>
      <c r="H16" s="414" t="s">
        <v>189</v>
      </c>
      <c r="J16" s="415" t="s">
        <v>373</v>
      </c>
      <c r="K16" s="416" t="s">
        <v>274</v>
      </c>
      <c r="L16" s="416" t="s">
        <v>275</v>
      </c>
      <c r="M16" s="416" t="s">
        <v>276</v>
      </c>
      <c r="N16" s="416" t="s">
        <v>277</v>
      </c>
      <c r="O16" s="416" t="s">
        <v>278</v>
      </c>
    </row>
    <row r="17" s="141" customFormat="true" ht="54.75" hidden="false" customHeight="false" outlineLevel="0" collapsed="false">
      <c r="A17" s="395" t="s">
        <v>547</v>
      </c>
      <c r="B17" s="49" t="s">
        <v>548</v>
      </c>
      <c r="C17" s="385" t="n">
        <v>1</v>
      </c>
      <c r="D17" s="396" t="s">
        <v>549</v>
      </c>
      <c r="E17" s="91" t="s">
        <v>550</v>
      </c>
      <c r="F17" s="417" t="n">
        <f aca="false">C17*A19</f>
        <v>1</v>
      </c>
      <c r="G17" s="388" t="n">
        <v>45.35</v>
      </c>
      <c r="H17" s="389" t="n">
        <f aca="false">ROUND(F17*G17,2)</f>
        <v>45.35</v>
      </c>
      <c r="J17" s="390" t="n">
        <v>29.9</v>
      </c>
      <c r="K17" s="49" t="n">
        <f aca="false">ROUND(IF(Dados!$I$60="SIM",J17*Dados!$N$60,J17),2)</f>
        <v>29.9</v>
      </c>
      <c r="L17" s="49" t="n">
        <f aca="false">ROUND(IF(Dados!$I$61="SIM",K17*Dados!$N$61,K17),2)</f>
        <v>29.9</v>
      </c>
      <c r="M17" s="49" t="n">
        <f aca="false">ROUND(IF(Dados!$I$62="SIM",L17*Dados!$N$62,L17),2)</f>
        <v>29.9</v>
      </c>
      <c r="N17" s="49" t="n">
        <f aca="false">ROUND(IF(Dados!$I$63="SIM",M17*Dados!$N$63,M17),2)</f>
        <v>29.9</v>
      </c>
      <c r="O17" s="49" t="n">
        <f aca="false">ROUND(IF(Dados!$I$64="SIM",N17*Dados!$N$64,N17),2)</f>
        <v>29.9</v>
      </c>
    </row>
    <row r="18" s="141" customFormat="true" ht="27" hidden="false" customHeight="false" outlineLevel="0" collapsed="false">
      <c r="A18" s="418" t="s">
        <v>540</v>
      </c>
      <c r="B18" s="419" t="s">
        <v>551</v>
      </c>
      <c r="C18" s="420" t="n">
        <v>2</v>
      </c>
      <c r="D18" s="421" t="s">
        <v>552</v>
      </c>
      <c r="E18" s="91" t="s">
        <v>550</v>
      </c>
      <c r="F18" s="417" t="n">
        <f aca="false">C18*A19</f>
        <v>2</v>
      </c>
      <c r="G18" s="388" t="n">
        <v>9.53</v>
      </c>
      <c r="H18" s="389" t="n">
        <f aca="false">ROUND(F18*G18,2)</f>
        <v>19.06</v>
      </c>
      <c r="J18" s="390" t="n">
        <v>5.5</v>
      </c>
      <c r="K18" s="49" t="n">
        <f aca="false">ROUND(IF(Dados!$I$60="SIM",J18*Dados!$N$60,J18),2)</f>
        <v>5.5</v>
      </c>
      <c r="L18" s="49" t="n">
        <f aca="false">ROUND(IF(Dados!$I$61="SIM",K18*Dados!$N$61,K18),2)</f>
        <v>5.5</v>
      </c>
      <c r="M18" s="49" t="n">
        <f aca="false">ROUND(IF(Dados!$I$62="SIM",L18*Dados!$N$62,L18),2)</f>
        <v>5.5</v>
      </c>
      <c r="N18" s="49" t="n">
        <f aca="false">ROUND(IF(Dados!$I$63="SIM",M18*Dados!$N$63,M18),2)</f>
        <v>5.5</v>
      </c>
      <c r="O18" s="49" t="n">
        <f aca="false">ROUND(IF(Dados!$I$64="SIM",N18*Dados!$N$64,N18),2)</f>
        <v>5.5</v>
      </c>
    </row>
    <row r="19" s="141" customFormat="true" ht="36" hidden="false" customHeight="true" outlineLevel="0" collapsed="false">
      <c r="A19" s="422" t="n">
        <f aca="false">Dados!B8</f>
        <v>1</v>
      </c>
      <c r="B19" s="423" t="s">
        <v>545</v>
      </c>
      <c r="C19" s="423"/>
      <c r="D19" s="423"/>
      <c r="E19" s="423"/>
      <c r="F19" s="423"/>
      <c r="G19" s="423"/>
      <c r="H19" s="424" t="n">
        <f aca="false">SUM(H17:H18)</f>
        <v>64.41</v>
      </c>
      <c r="J19" s="3"/>
      <c r="K19" s="3"/>
      <c r="L19" s="3"/>
      <c r="M19" s="3"/>
      <c r="N19" s="3"/>
      <c r="O19" s="3"/>
    </row>
    <row r="20" s="141" customFormat="true" ht="15.75" hidden="false" customHeight="false" outlineLevel="0" collapsed="false">
      <c r="A20" s="401" t="s">
        <v>553</v>
      </c>
      <c r="B20" s="401"/>
      <c r="C20" s="401"/>
      <c r="D20" s="401"/>
      <c r="E20" s="401"/>
      <c r="F20" s="401"/>
      <c r="G20" s="402"/>
      <c r="H20" s="403" t="n">
        <f aca="false">ROUND(H19/A19/12,2)</f>
        <v>5.37</v>
      </c>
      <c r="J20" s="3"/>
      <c r="K20" s="3"/>
      <c r="L20" s="3"/>
      <c r="M20" s="3"/>
      <c r="N20" s="3"/>
      <c r="O20" s="3"/>
    </row>
    <row r="21" s="141" customFormat="true" ht="15" hidden="false" customHeight="false" outlineLevel="0" collapsed="false">
      <c r="A21" s="316"/>
      <c r="B21" s="425"/>
      <c r="C21" s="426"/>
      <c r="D21" s="425"/>
      <c r="E21" s="425"/>
      <c r="F21" s="426"/>
      <c r="G21" s="427"/>
      <c r="H21" s="428"/>
      <c r="J21" s="3"/>
      <c r="K21" s="3"/>
      <c r="L21" s="3"/>
      <c r="M21" s="3"/>
      <c r="N21" s="3"/>
      <c r="O21" s="3"/>
    </row>
    <row r="22" s="141" customFormat="true" ht="33.75" hidden="false" customHeight="true" outlineLevel="0" collapsed="false">
      <c r="A22" s="383" t="s">
        <v>527</v>
      </c>
      <c r="B22" s="383" t="s">
        <v>252</v>
      </c>
      <c r="C22" s="383" t="s">
        <v>528</v>
      </c>
      <c r="D22" s="383" t="s">
        <v>529</v>
      </c>
      <c r="E22" s="383" t="s">
        <v>530</v>
      </c>
      <c r="F22" s="383" t="s">
        <v>531</v>
      </c>
      <c r="G22" s="383" t="s">
        <v>532</v>
      </c>
      <c r="H22" s="383" t="s">
        <v>189</v>
      </c>
      <c r="J22" s="415" t="s">
        <v>373</v>
      </c>
      <c r="K22" s="416" t="s">
        <v>274</v>
      </c>
      <c r="L22" s="416" t="s">
        <v>275</v>
      </c>
      <c r="M22" s="416" t="s">
        <v>276</v>
      </c>
      <c r="N22" s="416" t="s">
        <v>277</v>
      </c>
      <c r="O22" s="416" t="s">
        <v>278</v>
      </c>
    </row>
    <row r="23" s="141" customFormat="true" ht="151.5" hidden="false" customHeight="true" outlineLevel="0" collapsed="false">
      <c r="A23" s="384" t="s">
        <v>185</v>
      </c>
      <c r="B23" s="49" t="s">
        <v>534</v>
      </c>
      <c r="C23" s="385" t="n">
        <v>2</v>
      </c>
      <c r="D23" s="324" t="s">
        <v>554</v>
      </c>
      <c r="E23" s="91" t="s">
        <v>555</v>
      </c>
      <c r="F23" s="417" t="n">
        <f aca="false">C23*$A$26</f>
        <v>2</v>
      </c>
      <c r="G23" s="388" t="n">
        <v>79.95</v>
      </c>
      <c r="H23" s="389" t="n">
        <f aca="false">ROUND(F23*G23,2)</f>
        <v>159.9</v>
      </c>
      <c r="J23" s="390" t="n">
        <v>39.9</v>
      </c>
      <c r="K23" s="49" t="n">
        <f aca="false">ROUND(IF(Dados!$I$60="SIM",J23*Dados!$N$60,J23),2)</f>
        <v>39.9</v>
      </c>
      <c r="L23" s="49" t="n">
        <f aca="false">ROUND(IF(Dados!$I$61="SIM",K23*Dados!$N$61,K23),2)</f>
        <v>39.9</v>
      </c>
      <c r="M23" s="49" t="n">
        <f aca="false">ROUND(IF(Dados!$I$62="SIM",L23*Dados!$N$62,L23),2)</f>
        <v>39.9</v>
      </c>
      <c r="N23" s="49" t="n">
        <f aca="false">ROUND(IF(Dados!$I$63="SIM",M23*Dados!$N$63,M23),2)</f>
        <v>39.9</v>
      </c>
      <c r="O23" s="49" t="n">
        <f aca="false">ROUND(IF(Dados!$I$64="SIM",N23*Dados!$N$64,N23),2)</f>
        <v>39.9</v>
      </c>
    </row>
    <row r="24" s="141" customFormat="true" ht="207" hidden="false" customHeight="false" outlineLevel="0" collapsed="false">
      <c r="A24" s="384"/>
      <c r="B24" s="391" t="s">
        <v>537</v>
      </c>
      <c r="C24" s="392" t="n">
        <v>2</v>
      </c>
      <c r="D24" s="429" t="s">
        <v>556</v>
      </c>
      <c r="E24" s="394" t="s">
        <v>539</v>
      </c>
      <c r="F24" s="417" t="n">
        <f aca="false">C24*$A$26</f>
        <v>2</v>
      </c>
      <c r="G24" s="388" t="n">
        <v>69.1</v>
      </c>
      <c r="H24" s="389" t="n">
        <f aca="false">ROUND(F24*G24,2)</f>
        <v>138.2</v>
      </c>
      <c r="J24" s="390"/>
      <c r="K24" s="49"/>
      <c r="L24" s="49"/>
      <c r="M24" s="49"/>
      <c r="N24" s="49"/>
      <c r="O24" s="49"/>
    </row>
    <row r="25" s="141" customFormat="true" ht="110.25" hidden="false" customHeight="false" outlineLevel="0" collapsed="false">
      <c r="A25" s="395" t="s">
        <v>540</v>
      </c>
      <c r="B25" s="49" t="s">
        <v>541</v>
      </c>
      <c r="C25" s="385" t="n">
        <v>2</v>
      </c>
      <c r="D25" s="342" t="s">
        <v>542</v>
      </c>
      <c r="E25" s="283" t="s">
        <v>539</v>
      </c>
      <c r="F25" s="417" t="n">
        <f aca="false">C25*$A$26</f>
        <v>2</v>
      </c>
      <c r="G25" s="388" t="n">
        <v>66.54</v>
      </c>
      <c r="H25" s="389" t="n">
        <f aca="false">ROUND(F25*G25,2)</f>
        <v>133.08</v>
      </c>
      <c r="J25" s="390" t="n">
        <v>19.99</v>
      </c>
      <c r="K25" s="49" t="n">
        <f aca="false">ROUND(IF(Dados!$I$60="SIM",J25*Dados!$N$60,J25),2)</f>
        <v>19.99</v>
      </c>
      <c r="L25" s="49" t="n">
        <f aca="false">ROUND(IF(Dados!$I$61="SIM",K25*Dados!$N$61,K25),2)</f>
        <v>19.99</v>
      </c>
      <c r="M25" s="49" t="n">
        <f aca="false">ROUND(IF(Dados!$I$62="SIM",L25*Dados!$N$62,L25),2)</f>
        <v>19.99</v>
      </c>
      <c r="N25" s="49" t="n">
        <f aca="false">ROUND(IF(Dados!$I$63="SIM",M25*Dados!$N$63,M25),2)</f>
        <v>19.99</v>
      </c>
      <c r="O25" s="49" t="n">
        <f aca="false">ROUND(IF(Dados!$I$64="SIM",N25*Dados!$N$64,N25),2)</f>
        <v>19.99</v>
      </c>
    </row>
    <row r="26" s="141" customFormat="true" ht="138" hidden="false" customHeight="false" outlineLevel="0" collapsed="false">
      <c r="A26" s="422" t="n">
        <f aca="false">Dados!B9</f>
        <v>1</v>
      </c>
      <c r="B26" s="49" t="s">
        <v>543</v>
      </c>
      <c r="C26" s="385" t="n">
        <v>1</v>
      </c>
      <c r="D26" s="398" t="s">
        <v>544</v>
      </c>
      <c r="E26" s="283" t="s">
        <v>539</v>
      </c>
      <c r="F26" s="417" t="n">
        <f aca="false">C26*$A$26</f>
        <v>1</v>
      </c>
      <c r="G26" s="388" t="n">
        <v>275.9</v>
      </c>
      <c r="H26" s="389" t="n">
        <f aca="false">ROUND(F26*G26,2)</f>
        <v>275.9</v>
      </c>
      <c r="J26" s="390" t="n">
        <v>39.9</v>
      </c>
      <c r="K26" s="49" t="n">
        <f aca="false">ROUND(IF(Dados!$I$60="SIM",J26*Dados!$N$60,J26),2)</f>
        <v>39.9</v>
      </c>
      <c r="L26" s="49" t="n">
        <f aca="false">ROUND(IF(Dados!$I$61="SIM",K26*Dados!$N$61,K26),2)</f>
        <v>39.9</v>
      </c>
      <c r="M26" s="49" t="n">
        <f aca="false">ROUND(IF(Dados!$I$62="SIM",L26*Dados!$N$62,L26),2)</f>
        <v>39.9</v>
      </c>
      <c r="N26" s="49" t="n">
        <f aca="false">ROUND(IF(Dados!$I$63="SIM",M26*Dados!$N$63,M26),2)</f>
        <v>39.9</v>
      </c>
      <c r="O26" s="49" t="n">
        <f aca="false">ROUND(IF(Dados!$I$64="SIM",N26*Dados!$N$64,N26),2)</f>
        <v>39.9</v>
      </c>
    </row>
    <row r="27" s="141" customFormat="true" ht="36" hidden="false" customHeight="true" outlineLevel="0" collapsed="false">
      <c r="A27" s="423" t="s">
        <v>545</v>
      </c>
      <c r="B27" s="423"/>
      <c r="C27" s="423"/>
      <c r="D27" s="423"/>
      <c r="E27" s="423"/>
      <c r="F27" s="423"/>
      <c r="G27" s="423"/>
      <c r="H27" s="430" t="n">
        <f aca="false">SUM(H23:H26)</f>
        <v>707.08</v>
      </c>
      <c r="J27" s="3"/>
      <c r="K27" s="3"/>
      <c r="L27" s="3"/>
      <c r="M27" s="3"/>
      <c r="N27" s="3"/>
      <c r="O27" s="3"/>
    </row>
    <row r="28" s="141" customFormat="true" ht="15.75" hidden="false" customHeight="false" outlineLevel="0" collapsed="false">
      <c r="A28" s="401" t="s">
        <v>557</v>
      </c>
      <c r="B28" s="401"/>
      <c r="C28" s="401"/>
      <c r="D28" s="401"/>
      <c r="E28" s="401"/>
      <c r="F28" s="401"/>
      <c r="G28" s="402"/>
      <c r="H28" s="403" t="n">
        <f aca="false">ROUND(H27/A26/12,2)</f>
        <v>58.92</v>
      </c>
      <c r="J28" s="3"/>
      <c r="K28" s="3"/>
      <c r="L28" s="3"/>
      <c r="M28" s="3"/>
      <c r="N28" s="3"/>
      <c r="O28" s="3"/>
    </row>
    <row r="29" s="141" customFormat="true" ht="15" hidden="false" customHeight="false" outlineLevel="0" collapsed="false">
      <c r="A29" s="431"/>
      <c r="B29" s="431"/>
      <c r="C29" s="431"/>
      <c r="D29" s="431"/>
      <c r="E29" s="431"/>
      <c r="F29" s="431"/>
      <c r="G29" s="431"/>
      <c r="H29" s="431"/>
      <c r="J29" s="3"/>
      <c r="K29" s="3"/>
      <c r="L29" s="3"/>
      <c r="M29" s="3"/>
      <c r="N29" s="3"/>
      <c r="O29" s="3"/>
    </row>
    <row r="30" customFormat="false" ht="27" hidden="false" customHeight="true" outlineLevel="0" collapsed="false">
      <c r="A30" s="432" t="s">
        <v>527</v>
      </c>
      <c r="B30" s="432" t="s">
        <v>252</v>
      </c>
      <c r="C30" s="432" t="s">
        <v>528</v>
      </c>
      <c r="D30" s="432" t="s">
        <v>529</v>
      </c>
      <c r="E30" s="432" t="s">
        <v>530</v>
      </c>
      <c r="F30" s="432" t="s">
        <v>531</v>
      </c>
      <c r="G30" s="432" t="s">
        <v>532</v>
      </c>
      <c r="H30" s="432" t="s">
        <v>189</v>
      </c>
      <c r="J30" s="415" t="s">
        <v>373</v>
      </c>
      <c r="K30" s="416" t="s">
        <v>274</v>
      </c>
      <c r="L30" s="416" t="s">
        <v>275</v>
      </c>
      <c r="M30" s="416" t="s">
        <v>276</v>
      </c>
      <c r="N30" s="416" t="s">
        <v>277</v>
      </c>
      <c r="O30" s="416" t="s">
        <v>278</v>
      </c>
    </row>
    <row r="31" customFormat="false" ht="375.75" hidden="false" customHeight="true" outlineLevel="0" collapsed="false">
      <c r="A31" s="395" t="s">
        <v>186</v>
      </c>
      <c r="B31" s="391" t="s">
        <v>534</v>
      </c>
      <c r="C31" s="392" t="n">
        <v>2</v>
      </c>
      <c r="D31" s="433" t="s">
        <v>558</v>
      </c>
      <c r="E31" s="394" t="s">
        <v>539</v>
      </c>
      <c r="F31" s="417" t="n">
        <f aca="false">C31*$A$34</f>
        <v>4</v>
      </c>
      <c r="G31" s="388" t="n">
        <v>94.78</v>
      </c>
      <c r="H31" s="389" t="n">
        <f aca="false">ROUND(F31*G31,2)</f>
        <v>379.12</v>
      </c>
      <c r="J31" s="390" t="n">
        <v>39.9</v>
      </c>
      <c r="K31" s="49" t="n">
        <f aca="false">ROUND(IF(Dados!$I$60="SIM",J31*Dados!$N$60,J31),2)</f>
        <v>39.9</v>
      </c>
      <c r="L31" s="49" t="n">
        <f aca="false">ROUND(IF(Dados!$I$61="SIM",K31*Dados!$N$61,K31),2)</f>
        <v>39.9</v>
      </c>
      <c r="M31" s="49" t="n">
        <f aca="false">ROUND(IF(Dados!$I$62="SIM",L31*Dados!$N$62,L31),2)</f>
        <v>39.9</v>
      </c>
      <c r="N31" s="49" t="n">
        <f aca="false">ROUND(IF(Dados!$I$63="SIM",M31*Dados!$N$63,M31),2)</f>
        <v>39.9</v>
      </c>
      <c r="O31" s="49" t="n">
        <f aca="false">ROUND(IF(Dados!$I$64="SIM",N31*Dados!$N$64,N31),2)</f>
        <v>39.9</v>
      </c>
    </row>
    <row r="32" customFormat="false" ht="207" hidden="false" customHeight="false" outlineLevel="0" collapsed="false">
      <c r="A32" s="395"/>
      <c r="B32" s="49" t="s">
        <v>537</v>
      </c>
      <c r="C32" s="385" t="n">
        <v>2</v>
      </c>
      <c r="D32" s="38" t="s">
        <v>556</v>
      </c>
      <c r="E32" s="283" t="s">
        <v>539</v>
      </c>
      <c r="F32" s="417" t="n">
        <f aca="false">C32*$A$34</f>
        <v>4</v>
      </c>
      <c r="G32" s="388" t="n">
        <v>69.1</v>
      </c>
      <c r="H32" s="389" t="n">
        <f aca="false">ROUND(F32*G32,2)</f>
        <v>276.4</v>
      </c>
      <c r="J32" s="390" t="n">
        <v>19.99</v>
      </c>
      <c r="K32" s="49" t="n">
        <f aca="false">ROUND(IF(Dados!$I$60="SIM",J32*Dados!$N$60,J32),2)</f>
        <v>19.99</v>
      </c>
      <c r="L32" s="49" t="n">
        <f aca="false">ROUND(IF(Dados!$I$61="SIM",K32*Dados!$N$61,K32),2)</f>
        <v>19.99</v>
      </c>
      <c r="M32" s="49" t="n">
        <f aca="false">ROUND(IF(Dados!$I$62="SIM",L32*Dados!$N$62,L32),2)</f>
        <v>19.99</v>
      </c>
      <c r="N32" s="49" t="n">
        <f aca="false">ROUND(IF(Dados!$I$63="SIM",M32*Dados!$N$63,M32),2)</f>
        <v>19.99</v>
      </c>
      <c r="O32" s="49" t="n">
        <f aca="false">ROUND(IF(Dados!$I$64="SIM",N32*Dados!$N$64,N32),2)</f>
        <v>19.99</v>
      </c>
    </row>
    <row r="33" customFormat="false" ht="138" hidden="false" customHeight="false" outlineLevel="0" collapsed="false">
      <c r="A33" s="395" t="s">
        <v>540</v>
      </c>
      <c r="B33" s="49" t="s">
        <v>543</v>
      </c>
      <c r="C33" s="385" t="n">
        <v>1</v>
      </c>
      <c r="D33" s="398" t="s">
        <v>544</v>
      </c>
      <c r="E33" s="283" t="s">
        <v>539</v>
      </c>
      <c r="F33" s="417" t="n">
        <f aca="false">C33*$A$34</f>
        <v>2</v>
      </c>
      <c r="G33" s="388" t="n">
        <f aca="false">G26</f>
        <v>275.9</v>
      </c>
      <c r="H33" s="389" t="n">
        <f aca="false">ROUND(F33*G33,2)</f>
        <v>551.8</v>
      </c>
      <c r="J33" s="390"/>
      <c r="K33" s="49"/>
      <c r="L33" s="49"/>
      <c r="M33" s="49"/>
      <c r="N33" s="49"/>
      <c r="O33" s="49"/>
    </row>
    <row r="34" customFormat="false" ht="96" hidden="false" customHeight="false" outlineLevel="0" collapsed="false">
      <c r="A34" s="422" t="n">
        <f aca="false">Dados!B10</f>
        <v>2</v>
      </c>
      <c r="B34" s="49" t="s">
        <v>559</v>
      </c>
      <c r="C34" s="385" t="n">
        <v>1</v>
      </c>
      <c r="D34" s="434" t="s">
        <v>560</v>
      </c>
      <c r="E34" s="49" t="s">
        <v>561</v>
      </c>
      <c r="F34" s="417" t="n">
        <f aca="false">C34*$A$34</f>
        <v>2</v>
      </c>
      <c r="G34" s="388" t="n">
        <v>102.87</v>
      </c>
      <c r="H34" s="389" t="n">
        <f aca="false">ROUND(F34*G34,2)</f>
        <v>205.74</v>
      </c>
      <c r="J34" s="390" t="n">
        <v>35.5</v>
      </c>
      <c r="K34" s="49" t="n">
        <f aca="false">ROUND(IF(Dados!$I$60="SIM",J34*Dados!$N$60,J34),2)</f>
        <v>35.5</v>
      </c>
      <c r="L34" s="49" t="n">
        <f aca="false">ROUND(IF(Dados!$I$61="SIM",K34*Dados!$N$61,K34),2)</f>
        <v>35.5</v>
      </c>
      <c r="M34" s="49" t="n">
        <f aca="false">ROUND(IF(Dados!$I$62="SIM",L34*Dados!$N$62,L34),2)</f>
        <v>35.5</v>
      </c>
      <c r="N34" s="49" t="n">
        <f aca="false">ROUND(IF(Dados!$I$63="SIM",M34*Dados!$N$63,M34),2)</f>
        <v>35.5</v>
      </c>
      <c r="O34" s="49" t="n">
        <f aca="false">ROUND(IF(Dados!$I$64="SIM",N34*Dados!$N$64,N34),2)</f>
        <v>35.5</v>
      </c>
    </row>
    <row r="35" customFormat="false" ht="14.25" hidden="false" customHeight="false" outlineLevel="0" collapsed="false">
      <c r="A35" s="435" t="s">
        <v>545</v>
      </c>
      <c r="B35" s="435"/>
      <c r="C35" s="435"/>
      <c r="D35" s="435"/>
      <c r="E35" s="435"/>
      <c r="F35" s="435"/>
      <c r="G35" s="435"/>
      <c r="H35" s="436" t="n">
        <f aca="false">SUM(H31:H34)</f>
        <v>1413.06</v>
      </c>
      <c r="N35" s="3"/>
      <c r="O35" s="3"/>
      <c r="P35" s="141"/>
    </row>
    <row r="36" customFormat="false" ht="15" hidden="false" customHeight="false" outlineLevel="0" collapsed="false">
      <c r="A36" s="401" t="s">
        <v>562</v>
      </c>
      <c r="B36" s="401"/>
      <c r="C36" s="401"/>
      <c r="D36" s="401"/>
      <c r="E36" s="401"/>
      <c r="F36" s="401"/>
      <c r="G36" s="402"/>
      <c r="H36" s="403" t="n">
        <f aca="false">ROUND(H35/A34/12,2)</f>
        <v>58.88</v>
      </c>
    </row>
  </sheetData>
  <sheetProtection algorithmName="SHA-512" hashValue="Pkt217l4F9WoSIjlaFw9/ox2ueifnWAO/y8yY0ua6Tfx9eXYM+5Hw+VlhrJBMMXu5dpTza1gPEMhocoaLBg72Q==" saltValue="sgxpUy/LSB75lIjw/L0slA==" spinCount="100000" sheet="true" objects="true" scenarios="true"/>
  <mergeCells count="22">
    <mergeCell ref="J1:O4"/>
    <mergeCell ref="A4:H4"/>
    <mergeCell ref="A5:H5"/>
    <mergeCell ref="J5:J8"/>
    <mergeCell ref="K5:K8"/>
    <mergeCell ref="L5:L8"/>
    <mergeCell ref="M5:M8"/>
    <mergeCell ref="N5:N8"/>
    <mergeCell ref="O5:O8"/>
    <mergeCell ref="A6:H6"/>
    <mergeCell ref="A9:A10"/>
    <mergeCell ref="A13:G13"/>
    <mergeCell ref="A14:F14"/>
    <mergeCell ref="B19:G19"/>
    <mergeCell ref="A20:F20"/>
    <mergeCell ref="A23:A24"/>
    <mergeCell ref="A27:G27"/>
    <mergeCell ref="A28:F28"/>
    <mergeCell ref="A29:H29"/>
    <mergeCell ref="A31:A32"/>
    <mergeCell ref="A35:G35"/>
    <mergeCell ref="A36:F36"/>
  </mergeCells>
  <printOptions headings="false" gridLines="false" gridLinesSet="true" horizontalCentered="true" verticalCentered="true"/>
  <pageMargins left="0.511805555555556" right="0.511805555555556" top="0.7875" bottom="0.7875" header="0.511811023622047" footer="0.511811023622047"/>
  <pageSetup paperSize="9" scale="58"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23"/>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6796875" defaultRowHeight="14.25" zeroHeight="false" outlineLevelRow="0" outlineLevelCol="0"/>
  <cols>
    <col collapsed="false" customWidth="true" hidden="false" outlineLevel="0" max="1" min="1" style="1" width="12"/>
    <col collapsed="false" customWidth="true" hidden="false" outlineLevel="0" max="2" min="2" style="1" width="44.44"/>
    <col collapsed="false" customWidth="true" hidden="false" outlineLevel="0" max="3" min="3" style="1" width="7.11"/>
    <col collapsed="false" customWidth="true" hidden="false" outlineLevel="0" max="4" min="4" style="1" width="6.67"/>
    <col collapsed="false" customWidth="true" hidden="false" outlineLevel="0" max="5" min="5" style="1" width="10.11"/>
    <col collapsed="false" customWidth="true" hidden="false" outlineLevel="0" max="6" min="6" style="1" width="12.56"/>
    <col collapsed="false" customWidth="true" hidden="false" outlineLevel="0" max="7" min="7" style="1" width="12.33"/>
    <col collapsed="false" customWidth="true" hidden="false" outlineLevel="0" max="8" min="8" style="1" width="13.44"/>
    <col collapsed="false" customWidth="true" hidden="false" outlineLevel="0" max="9" min="9" style="1" width="11.89"/>
    <col collapsed="false" customWidth="true" hidden="false" outlineLevel="0" max="10" min="10" style="1" width="13.67"/>
    <col collapsed="false" customWidth="true" hidden="false" outlineLevel="0" max="11" min="11" style="1" width="11.33"/>
    <col collapsed="false" customWidth="true" hidden="false" outlineLevel="0" max="12" min="12" style="1" width="15.56"/>
    <col collapsed="false" customWidth="true" hidden="false" outlineLevel="0" max="13" min="13" style="1" width="12.33"/>
    <col collapsed="false" customWidth="true" hidden="false" outlineLevel="0" max="14" min="14" style="1" width="7.44"/>
    <col collapsed="false" customWidth="true" hidden="false" outlineLevel="0" max="15" min="15" style="1" width="13.34"/>
    <col collapsed="false" customWidth="true" hidden="false" outlineLevel="0" max="16" min="16" style="1" width="12"/>
    <col collapsed="false" customWidth="true" hidden="false" outlineLevel="0" max="17" min="17" style="1" width="9.56"/>
    <col collapsed="false" customWidth="true" hidden="false" outlineLevel="0" max="18" min="18" style="1" width="11.33"/>
    <col collapsed="false" customWidth="true" hidden="false" outlineLevel="0" max="19" min="19" style="1" width="16.11"/>
    <col collapsed="false" customWidth="true" hidden="false" outlineLevel="0" max="20" min="20" style="1" width="12.11"/>
    <col collapsed="false" customWidth="true" hidden="false" outlineLevel="0" max="22" min="21" style="1" width="10.11"/>
    <col collapsed="false" customWidth="true" hidden="false" outlineLevel="0" max="23" min="23" style="1" width="16.44"/>
    <col collapsed="false" customWidth="true" hidden="false" outlineLevel="0" max="259" min="24" style="1" width="9.11"/>
    <col collapsed="false" customWidth="true" hidden="false" outlineLevel="0" max="260" min="260" style="1" width="13.11"/>
    <col collapsed="false" customWidth="true" hidden="false" outlineLevel="0" max="261" min="261" style="1" width="38.44"/>
    <col collapsed="false" customWidth="true" hidden="false" outlineLevel="0" max="262" min="262" style="1" width="7.11"/>
    <col collapsed="false" customWidth="true" hidden="false" outlineLevel="0" max="263" min="263" style="1" width="6.67"/>
    <col collapsed="false" customWidth="true" hidden="false" outlineLevel="0" max="264" min="264" style="1" width="10.11"/>
    <col collapsed="false" customWidth="true" hidden="false" outlineLevel="0" max="265" min="265" style="1" width="12.56"/>
    <col collapsed="false" customWidth="true" hidden="false" outlineLevel="0" max="266" min="266" style="1" width="12.33"/>
    <col collapsed="false" customWidth="true" hidden="false" outlineLevel="0" max="267" min="267" style="1" width="13.44"/>
    <col collapsed="false" customWidth="true" hidden="false" outlineLevel="0" max="268" min="268" style="1" width="12.11"/>
    <col collapsed="false" customWidth="true" hidden="false" outlineLevel="0" max="269" min="269" style="1" width="13.67"/>
    <col collapsed="false" customWidth="true" hidden="false" outlineLevel="0" max="270" min="270" style="1" width="11.33"/>
    <col collapsed="false" customWidth="true" hidden="false" outlineLevel="0" max="271" min="271" style="1" width="15.56"/>
    <col collapsed="false" customWidth="true" hidden="false" outlineLevel="0" max="272" min="272" style="1" width="12.33"/>
    <col collapsed="false" customWidth="true" hidden="false" outlineLevel="0" max="273" min="273" style="1" width="7.44"/>
    <col collapsed="false" customWidth="true" hidden="false" outlineLevel="0" max="274" min="274" style="1" width="13.34"/>
    <col collapsed="false" customWidth="true" hidden="false" outlineLevel="0" max="275" min="275" style="1" width="14"/>
    <col collapsed="false" customWidth="true" hidden="false" outlineLevel="0" max="276" min="276" style="1" width="12.11"/>
    <col collapsed="false" customWidth="true" hidden="false" outlineLevel="0" max="278" min="277" style="1" width="10.11"/>
    <col collapsed="false" customWidth="true" hidden="false" outlineLevel="0" max="279" min="279" style="1" width="16.44"/>
    <col collapsed="false" customWidth="true" hidden="false" outlineLevel="0" max="515" min="280" style="1" width="9.11"/>
    <col collapsed="false" customWidth="true" hidden="false" outlineLevel="0" max="516" min="516" style="1" width="13.11"/>
    <col collapsed="false" customWidth="true" hidden="false" outlineLevel="0" max="517" min="517" style="1" width="38.44"/>
    <col collapsed="false" customWidth="true" hidden="false" outlineLevel="0" max="518" min="518" style="1" width="7.11"/>
    <col collapsed="false" customWidth="true" hidden="false" outlineLevel="0" max="519" min="519" style="1" width="6.67"/>
    <col collapsed="false" customWidth="true" hidden="false" outlineLevel="0" max="520" min="520" style="1" width="10.11"/>
    <col collapsed="false" customWidth="true" hidden="false" outlineLevel="0" max="521" min="521" style="1" width="12.56"/>
    <col collapsed="false" customWidth="true" hidden="false" outlineLevel="0" max="522" min="522" style="1" width="12.33"/>
    <col collapsed="false" customWidth="true" hidden="false" outlineLevel="0" max="523" min="523" style="1" width="13.44"/>
    <col collapsed="false" customWidth="true" hidden="false" outlineLevel="0" max="524" min="524" style="1" width="12.11"/>
    <col collapsed="false" customWidth="true" hidden="false" outlineLevel="0" max="525" min="525" style="1" width="13.67"/>
    <col collapsed="false" customWidth="true" hidden="false" outlineLevel="0" max="526" min="526" style="1" width="11.33"/>
    <col collapsed="false" customWidth="true" hidden="false" outlineLevel="0" max="527" min="527" style="1" width="15.56"/>
    <col collapsed="false" customWidth="true" hidden="false" outlineLevel="0" max="528" min="528" style="1" width="12.33"/>
    <col collapsed="false" customWidth="true" hidden="false" outlineLevel="0" max="529" min="529" style="1" width="7.44"/>
    <col collapsed="false" customWidth="true" hidden="false" outlineLevel="0" max="530" min="530" style="1" width="13.34"/>
    <col collapsed="false" customWidth="true" hidden="false" outlineLevel="0" max="531" min="531" style="1" width="14"/>
    <col collapsed="false" customWidth="true" hidden="false" outlineLevel="0" max="532" min="532" style="1" width="12.11"/>
    <col collapsed="false" customWidth="true" hidden="false" outlineLevel="0" max="534" min="533" style="1" width="10.11"/>
    <col collapsed="false" customWidth="true" hidden="false" outlineLevel="0" max="535" min="535" style="1" width="16.44"/>
    <col collapsed="false" customWidth="true" hidden="false" outlineLevel="0" max="771" min="536" style="1" width="9.11"/>
    <col collapsed="false" customWidth="true" hidden="false" outlineLevel="0" max="772" min="772" style="1" width="13.11"/>
    <col collapsed="false" customWidth="true" hidden="false" outlineLevel="0" max="773" min="773" style="1" width="38.44"/>
    <col collapsed="false" customWidth="true" hidden="false" outlineLevel="0" max="774" min="774" style="1" width="7.11"/>
    <col collapsed="false" customWidth="true" hidden="false" outlineLevel="0" max="775" min="775" style="1" width="6.67"/>
    <col collapsed="false" customWidth="true" hidden="false" outlineLevel="0" max="776" min="776" style="1" width="10.11"/>
    <col collapsed="false" customWidth="true" hidden="false" outlineLevel="0" max="777" min="777" style="1" width="12.56"/>
    <col collapsed="false" customWidth="true" hidden="false" outlineLevel="0" max="778" min="778" style="1" width="12.33"/>
    <col collapsed="false" customWidth="true" hidden="false" outlineLevel="0" max="779" min="779" style="1" width="13.44"/>
    <col collapsed="false" customWidth="true" hidden="false" outlineLevel="0" max="780" min="780" style="1" width="12.11"/>
    <col collapsed="false" customWidth="true" hidden="false" outlineLevel="0" max="781" min="781" style="1" width="13.67"/>
    <col collapsed="false" customWidth="true" hidden="false" outlineLevel="0" max="782" min="782" style="1" width="11.33"/>
    <col collapsed="false" customWidth="true" hidden="false" outlineLevel="0" max="783" min="783" style="1" width="15.56"/>
    <col collapsed="false" customWidth="true" hidden="false" outlineLevel="0" max="784" min="784" style="1" width="12.33"/>
    <col collapsed="false" customWidth="true" hidden="false" outlineLevel="0" max="785" min="785" style="1" width="7.44"/>
    <col collapsed="false" customWidth="true" hidden="false" outlineLevel="0" max="786" min="786" style="1" width="13.34"/>
    <col collapsed="false" customWidth="true" hidden="false" outlineLevel="0" max="787" min="787" style="1" width="14"/>
    <col collapsed="false" customWidth="true" hidden="false" outlineLevel="0" max="788" min="788" style="1" width="12.11"/>
    <col collapsed="false" customWidth="true" hidden="false" outlineLevel="0" max="790" min="789" style="1" width="10.11"/>
    <col collapsed="false" customWidth="true" hidden="false" outlineLevel="0" max="791" min="791" style="1" width="16.44"/>
    <col collapsed="false" customWidth="true" hidden="false" outlineLevel="0" max="1025" min="792" style="1" width="9.11"/>
  </cols>
  <sheetData>
    <row r="1" customFormat="false" ht="14.25" hidden="false" customHeight="false" outlineLevel="0" collapsed="false">
      <c r="A1" s="4"/>
      <c r="B1" s="437" t="str">
        <f aca="false">INSTRUÇÕES!B1</f>
        <v>Tribunal Regional Federal da 6ª Região</v>
      </c>
      <c r="C1" s="263"/>
      <c r="D1" s="263"/>
      <c r="E1" s="263"/>
      <c r="F1" s="263"/>
      <c r="G1" s="263"/>
      <c r="H1" s="263"/>
      <c r="I1" s="263"/>
      <c r="J1" s="438"/>
      <c r="K1" s="438"/>
      <c r="L1" s="438"/>
      <c r="M1" s="438"/>
      <c r="N1" s="438"/>
      <c r="O1" s="438"/>
      <c r="P1" s="438"/>
      <c r="Q1" s="438"/>
      <c r="R1" s="438"/>
      <c r="S1" s="438"/>
      <c r="T1" s="438"/>
      <c r="U1" s="438"/>
      <c r="V1" s="438"/>
      <c r="W1" s="439"/>
    </row>
    <row r="2" customFormat="false" ht="14.25" hidden="false" customHeight="false" outlineLevel="0" collapsed="false">
      <c r="A2" s="440"/>
      <c r="B2" s="139" t="str">
        <f aca="false">INSTRUÇÕES!B2</f>
        <v>Seção Judiciária de Minas Gerais</v>
      </c>
      <c r="C2" s="82"/>
      <c r="D2" s="82"/>
      <c r="E2" s="82"/>
      <c r="F2" s="82"/>
      <c r="G2" s="82"/>
      <c r="H2" s="82"/>
      <c r="I2" s="82"/>
      <c r="W2" s="441"/>
    </row>
    <row r="3" customFormat="false" ht="14.25" hidden="false" customHeight="false" outlineLevel="0" collapsed="false">
      <c r="A3" s="440"/>
      <c r="B3" s="139" t="str">
        <f aca="false">INSTRUÇÕES!B3</f>
        <v>Subseção Judiciária de Poços de Caldas</v>
      </c>
      <c r="C3" s="82"/>
      <c r="D3" s="82"/>
      <c r="E3" s="82"/>
      <c r="F3" s="82"/>
      <c r="G3" s="82"/>
      <c r="H3" s="82"/>
      <c r="I3" s="82"/>
      <c r="W3" s="441"/>
    </row>
    <row r="4" s="443" customFormat="true" ht="18.75" hidden="false" customHeight="true" outlineLevel="0" collapsed="false">
      <c r="A4" s="442" t="s">
        <v>563</v>
      </c>
      <c r="B4" s="442"/>
      <c r="C4" s="442"/>
      <c r="D4" s="442"/>
      <c r="E4" s="442"/>
      <c r="F4" s="442"/>
      <c r="G4" s="442"/>
      <c r="H4" s="442"/>
      <c r="I4" s="442"/>
      <c r="J4" s="442"/>
      <c r="K4" s="442"/>
      <c r="L4" s="442"/>
      <c r="M4" s="442"/>
      <c r="N4" s="442"/>
      <c r="O4" s="442"/>
      <c r="P4" s="442"/>
      <c r="Q4" s="442"/>
      <c r="R4" s="442"/>
      <c r="S4" s="442"/>
      <c r="T4" s="442"/>
      <c r="U4" s="442"/>
      <c r="V4" s="442"/>
      <c r="W4" s="442"/>
    </row>
    <row r="5" s="141" customFormat="true" ht="21" hidden="false" customHeight="true" outlineLevel="0" collapsed="false">
      <c r="A5" s="444" t="str">
        <f aca="false">"PREÇO MENSAL GLOBAL - "&amp;B3</f>
        <v>PREÇO MENSAL GLOBAL - Subseção Judiciária de Poços de Caldas</v>
      </c>
      <c r="B5" s="444"/>
      <c r="C5" s="444"/>
      <c r="D5" s="444"/>
      <c r="E5" s="444"/>
      <c r="F5" s="444"/>
      <c r="G5" s="444"/>
      <c r="H5" s="444"/>
      <c r="I5" s="444"/>
      <c r="J5" s="444"/>
      <c r="K5" s="444"/>
      <c r="L5" s="444"/>
      <c r="M5" s="444"/>
      <c r="N5" s="444"/>
      <c r="O5" s="444"/>
      <c r="P5" s="444"/>
      <c r="Q5" s="444"/>
      <c r="R5" s="444"/>
      <c r="S5" s="444"/>
      <c r="T5" s="444"/>
      <c r="U5" s="444"/>
      <c r="V5" s="444"/>
      <c r="W5" s="444"/>
    </row>
    <row r="6" s="3" customFormat="true" ht="23.25" hidden="false" customHeight="true" outlineLevel="0" collapsed="false">
      <c r="A6" s="445" t="str">
        <f aca="false">Dados!A4</f>
        <v>Sindicato utilizado - SINSERTH x SINTAPPI. Vigência: 01/04/2025 à 31/03/2026. Sendo a data base da categoria 1 de abril. Com número de registro no MTE MG001973/2025.</v>
      </c>
      <c r="B6" s="445"/>
      <c r="C6" s="445"/>
      <c r="D6" s="445"/>
      <c r="E6" s="445"/>
      <c r="F6" s="445"/>
      <c r="G6" s="445"/>
      <c r="H6" s="445"/>
      <c r="I6" s="445"/>
      <c r="J6" s="445"/>
      <c r="K6" s="445"/>
      <c r="L6" s="445"/>
      <c r="M6" s="445"/>
      <c r="N6" s="445"/>
      <c r="O6" s="445"/>
      <c r="P6" s="445"/>
      <c r="Q6" s="445"/>
      <c r="R6" s="445"/>
      <c r="S6" s="445"/>
      <c r="T6" s="445"/>
      <c r="U6" s="445"/>
      <c r="V6" s="445"/>
      <c r="W6" s="445"/>
    </row>
    <row r="7" s="20" customFormat="true" ht="18.75" hidden="false" customHeight="true" outlineLevel="0" collapsed="false">
      <c r="A7" s="446"/>
      <c r="B7" s="447"/>
      <c r="C7" s="447"/>
      <c r="D7" s="447"/>
      <c r="E7" s="448"/>
      <c r="F7" s="448"/>
      <c r="G7" s="448"/>
      <c r="H7" s="449" t="s">
        <v>564</v>
      </c>
      <c r="I7" s="450"/>
      <c r="J7" s="450"/>
      <c r="K7" s="448"/>
      <c r="L7" s="448"/>
      <c r="M7" s="448"/>
      <c r="N7" s="448"/>
      <c r="O7" s="448"/>
      <c r="P7" s="448"/>
      <c r="Q7" s="448"/>
      <c r="R7" s="448"/>
      <c r="S7" s="451" t="s">
        <v>565</v>
      </c>
      <c r="T7" s="451"/>
      <c r="U7" s="451"/>
      <c r="V7" s="451"/>
      <c r="W7" s="451"/>
    </row>
    <row r="8" s="20" customFormat="true" ht="22.5" hidden="false" customHeight="true" outlineLevel="0" collapsed="false">
      <c r="A8" s="452" t="s">
        <v>566</v>
      </c>
      <c r="B8" s="453" t="s">
        <v>567</v>
      </c>
      <c r="C8" s="453"/>
      <c r="D8" s="454" t="s">
        <v>40</v>
      </c>
      <c r="E8" s="454"/>
      <c r="F8" s="454"/>
      <c r="G8" s="454"/>
      <c r="H8" s="454"/>
      <c r="I8" s="454"/>
      <c r="J8" s="454"/>
      <c r="K8" s="454"/>
      <c r="L8" s="454"/>
      <c r="M8" s="454"/>
      <c r="N8" s="454"/>
      <c r="O8" s="454"/>
      <c r="P8" s="454"/>
      <c r="Q8" s="454"/>
      <c r="R8" s="454"/>
      <c r="S8" s="454"/>
      <c r="T8" s="454"/>
      <c r="U8" s="454"/>
      <c r="V8" s="454"/>
      <c r="W8" s="455" t="s">
        <v>568</v>
      </c>
    </row>
    <row r="9" s="20" customFormat="true" ht="20.25" hidden="false" customHeight="true" outlineLevel="0" collapsed="false">
      <c r="A9" s="452"/>
      <c r="B9" s="453"/>
      <c r="C9" s="453"/>
      <c r="D9" s="456" t="s">
        <v>569</v>
      </c>
      <c r="E9" s="456"/>
      <c r="F9" s="456"/>
      <c r="G9" s="456" t="s">
        <v>570</v>
      </c>
      <c r="H9" s="456"/>
      <c r="I9" s="456"/>
      <c r="J9" s="457" t="s">
        <v>571</v>
      </c>
      <c r="K9" s="457"/>
      <c r="L9" s="457"/>
      <c r="M9" s="457"/>
      <c r="N9" s="457"/>
      <c r="O9" s="457"/>
      <c r="P9" s="458" t="s">
        <v>572</v>
      </c>
      <c r="Q9" s="458"/>
      <c r="R9" s="458"/>
      <c r="S9" s="459" t="s">
        <v>573</v>
      </c>
      <c r="T9" s="460" t="s">
        <v>574</v>
      </c>
      <c r="U9" s="460"/>
      <c r="V9" s="460"/>
      <c r="W9" s="455"/>
    </row>
    <row r="10" s="20" customFormat="true" ht="27.75" hidden="false" customHeight="true" outlineLevel="0" collapsed="false">
      <c r="A10" s="452"/>
      <c r="B10" s="453"/>
      <c r="C10" s="453"/>
      <c r="D10" s="461" t="s">
        <v>575</v>
      </c>
      <c r="E10" s="461"/>
      <c r="F10" s="461"/>
      <c r="G10" s="462" t="s">
        <v>576</v>
      </c>
      <c r="H10" s="463" t="s">
        <v>577</v>
      </c>
      <c r="I10" s="463"/>
      <c r="J10" s="464" t="s">
        <v>578</v>
      </c>
      <c r="K10" s="464"/>
      <c r="L10" s="464"/>
      <c r="M10" s="465" t="s">
        <v>579</v>
      </c>
      <c r="N10" s="465"/>
      <c r="O10" s="465"/>
      <c r="P10" s="466" t="s">
        <v>580</v>
      </c>
      <c r="Q10" s="466"/>
      <c r="R10" s="466"/>
      <c r="S10" s="467" t="s">
        <v>581</v>
      </c>
      <c r="T10" s="466" t="s">
        <v>582</v>
      </c>
      <c r="U10" s="466"/>
      <c r="V10" s="466"/>
      <c r="W10" s="455"/>
    </row>
    <row r="11" s="20" customFormat="true" ht="69" hidden="false" customHeight="false" outlineLevel="0" collapsed="false">
      <c r="A11" s="452"/>
      <c r="B11" s="468" t="s">
        <v>22</v>
      </c>
      <c r="C11" s="469" t="s">
        <v>23</v>
      </c>
      <c r="D11" s="470" t="s">
        <v>21</v>
      </c>
      <c r="E11" s="471" t="s">
        <v>583</v>
      </c>
      <c r="F11" s="472" t="s">
        <v>584</v>
      </c>
      <c r="G11" s="462"/>
      <c r="H11" s="473" t="s">
        <v>585</v>
      </c>
      <c r="I11" s="474" t="s">
        <v>586</v>
      </c>
      <c r="J11" s="475" t="s">
        <v>587</v>
      </c>
      <c r="K11" s="473" t="s">
        <v>30</v>
      </c>
      <c r="L11" s="476" t="s">
        <v>588</v>
      </c>
      <c r="M11" s="468" t="s">
        <v>589</v>
      </c>
      <c r="N11" s="471" t="s">
        <v>31</v>
      </c>
      <c r="O11" s="477" t="s">
        <v>590</v>
      </c>
      <c r="P11" s="468" t="s">
        <v>591</v>
      </c>
      <c r="Q11" s="471" t="s">
        <v>592</v>
      </c>
      <c r="R11" s="469" t="s">
        <v>593</v>
      </c>
      <c r="S11" s="467"/>
      <c r="T11" s="468" t="s">
        <v>594</v>
      </c>
      <c r="U11" s="471" t="s">
        <v>595</v>
      </c>
      <c r="V11" s="478" t="s">
        <v>596</v>
      </c>
      <c r="W11" s="455"/>
    </row>
    <row r="12" s="20" customFormat="true" ht="15.75" hidden="false" customHeight="true" outlineLevel="0" collapsed="false">
      <c r="A12" s="479" t="n">
        <f aca="false">Dados!A7</f>
        <v>333903702</v>
      </c>
      <c r="B12" s="480" t="str">
        <f aca="false">Dados!C7</f>
        <v>Servente de Limpeza 40% Insalubridade</v>
      </c>
      <c r="C12" s="481" t="n">
        <f aca="false">Dados!D7</f>
        <v>220</v>
      </c>
      <c r="D12" s="482" t="n">
        <f aca="false">Dados!B7</f>
        <v>1</v>
      </c>
      <c r="E12" s="483" t="n">
        <f aca="false">'Servente Insalubre'!$F$46</f>
        <v>7210.61</v>
      </c>
      <c r="F12" s="484" t="n">
        <f aca="false">ROUND((D12*E12),2)</f>
        <v>7210.61</v>
      </c>
      <c r="G12" s="485" t="n">
        <f aca="false">'Servente Insalubre'!$I$46</f>
        <v>212.91</v>
      </c>
      <c r="H12" s="486" t="n">
        <f aca="false">'Ocorrências Mensais - FAT'!F11+'Ocorrências Mensais - FAT'!H11</f>
        <v>0</v>
      </c>
      <c r="I12" s="487" t="n">
        <f aca="false">(ROUND((G12/Dados!$G$34*H12)-(G12/'Ocorrências Mensais - FAT'!$E$5*'Ocorrências Mensais - FAT'!G11),2))</f>
        <v>0</v>
      </c>
      <c r="J12" s="488" t="n">
        <f aca="false">'Servente Insalubre'!$G$46</f>
        <v>6027.57</v>
      </c>
      <c r="K12" s="486" t="n">
        <f aca="false">'Ocorrências Mensais - FAT'!K11</f>
        <v>0</v>
      </c>
      <c r="L12" s="487" t="n">
        <f aca="false">J12/'Ocorrências Mensais - FAT'!$E$5*K12</f>
        <v>0</v>
      </c>
      <c r="M12" s="489" t="n">
        <f aca="false">'Custo Estimado Substituto'!$F$33</f>
        <v>5251</v>
      </c>
      <c r="N12" s="490" t="n">
        <f aca="false">'Ocorrências Mensais - FAT'!L11</f>
        <v>0</v>
      </c>
      <c r="O12" s="491" t="n">
        <f aca="false">M12/'Ocorrências Mensais - FAT'!$E$5*N12</f>
        <v>0</v>
      </c>
      <c r="P12" s="492" t="n">
        <f aca="false">'Servente Insalubre'!$H$46</f>
        <v>654.71</v>
      </c>
      <c r="Q12" s="493" t="n">
        <f aca="false">'Ocorrências Mensais - FAT'!M11</f>
        <v>0</v>
      </c>
      <c r="R12" s="491" t="n">
        <f aca="false">ROUND((P12/Dados!$G$37*Q12),2)</f>
        <v>0</v>
      </c>
      <c r="S12" s="494" t="n">
        <f aca="false">I12+L12+O12+R12</f>
        <v>0</v>
      </c>
      <c r="T12" s="495"/>
      <c r="U12" s="496"/>
      <c r="V12" s="497"/>
      <c r="W12" s="498" t="n">
        <f aca="false">ROUND((F12-S12+V12),2)</f>
        <v>7210.61</v>
      </c>
    </row>
    <row r="13" s="20" customFormat="true" ht="15" hidden="false" customHeight="false" outlineLevel="0" collapsed="false">
      <c r="A13" s="479"/>
      <c r="B13" s="480" t="str">
        <f aca="false">Dados!C8</f>
        <v>Servente de Limpeza  com acúmulo Copeira</v>
      </c>
      <c r="C13" s="481" t="n">
        <f aca="false">Dados!D8</f>
        <v>220</v>
      </c>
      <c r="D13" s="482" t="n">
        <f aca="false">Dados!B8</f>
        <v>1</v>
      </c>
      <c r="E13" s="483" t="n">
        <f aca="false">'Servente acúmulo de Copa'!$F$46</f>
        <v>6400.39</v>
      </c>
      <c r="F13" s="484" t="n">
        <f aca="false">ROUND((D13*E13),2)</f>
        <v>6400.39</v>
      </c>
      <c r="G13" s="499" t="n">
        <f aca="false">'Servente acúmulo de Copa'!$I$46</f>
        <v>212.91</v>
      </c>
      <c r="H13" s="500" t="n">
        <f aca="false">'Ocorrências Mensais - FAT'!F12+'Ocorrências Mensais - FAT'!H12</f>
        <v>0</v>
      </c>
      <c r="I13" s="501" t="n">
        <f aca="false">(ROUND((G13/Dados!$G$34*H13)-(G13/'Ocorrências Mensais - FAT'!$E$5*'Ocorrências Mensais - FAT'!G12),2))</f>
        <v>0</v>
      </c>
      <c r="J13" s="502" t="n">
        <f aca="false">'Servente acúmulo de Copa'!$G$46</f>
        <v>4771.43</v>
      </c>
      <c r="K13" s="500" t="n">
        <f aca="false">'Ocorrências Mensais - FAT'!K12</f>
        <v>0</v>
      </c>
      <c r="L13" s="501" t="n">
        <f aca="false">J13/'Ocorrências Mensais - FAT'!$E$5*K13</f>
        <v>0</v>
      </c>
      <c r="M13" s="502" t="n">
        <f aca="false">'Custo Estimado Substituto'!G33</f>
        <v>4159.18</v>
      </c>
      <c r="N13" s="500" t="n">
        <f aca="false">'Ocorrências Mensais - FAT'!L12</f>
        <v>0</v>
      </c>
      <c r="O13" s="503" t="n">
        <f aca="false">M13/'Ocorrências Mensais - FAT'!$E$5*N13</f>
        <v>0</v>
      </c>
      <c r="P13" s="504" t="n">
        <f aca="false">'Servente acúmulo de Copa'!$H$46</f>
        <v>654.71</v>
      </c>
      <c r="Q13" s="505" t="n">
        <f aca="false">'Ocorrências Mensais - FAT'!M12</f>
        <v>0</v>
      </c>
      <c r="R13" s="503" t="n">
        <f aca="false">ROUND((P13/Dados!$G$37*Q13),2)</f>
        <v>0</v>
      </c>
      <c r="S13" s="506" t="n">
        <f aca="false">I13+L13+O13+R13</f>
        <v>0</v>
      </c>
      <c r="T13" s="499" t="n">
        <f aca="false">'Servente Insalubre'!$J$47</f>
        <v>45.8</v>
      </c>
      <c r="U13" s="505" t="n">
        <f aca="false">'Ocorrências Mensais - FAT'!N12</f>
        <v>0</v>
      </c>
      <c r="V13" s="507" t="n">
        <f aca="false">T13*U13</f>
        <v>0</v>
      </c>
      <c r="W13" s="498" t="n">
        <f aca="false">ROUND((F13-S13+V13),2)</f>
        <v>6400.39</v>
      </c>
    </row>
    <row r="14" s="20" customFormat="true" ht="15.75" hidden="false" customHeight="false" outlineLevel="0" collapsed="false">
      <c r="A14" s="479"/>
      <c r="B14" s="480" t="str">
        <f aca="false">Dados!C9</f>
        <v>Zelador</v>
      </c>
      <c r="C14" s="481" t="n">
        <f aca="false">Dados!D9</f>
        <v>220</v>
      </c>
      <c r="D14" s="482" t="n">
        <f aca="false">Dados!B9</f>
        <v>1</v>
      </c>
      <c r="E14" s="483" t="n">
        <f aca="false">Zelador!$F$46</f>
        <v>6502.43</v>
      </c>
      <c r="F14" s="484" t="n">
        <f aca="false">ROUND((D14*E14),2)</f>
        <v>6502.43</v>
      </c>
      <c r="G14" s="499" t="n">
        <f aca="false">Zelador!$I$46</f>
        <v>150.76</v>
      </c>
      <c r="H14" s="500" t="n">
        <f aca="false">'Ocorrências Mensais - FAT'!F13+'Ocorrências Mensais - FAT'!H13</f>
        <v>0</v>
      </c>
      <c r="I14" s="501" t="n">
        <f aca="false">(ROUND((G14/Dados!$G$34*H14)-(G14/'Ocorrências Mensais - FAT'!$E$5*'Ocorrências Mensais - FAT'!G13),2))</f>
        <v>0</v>
      </c>
      <c r="J14" s="502" t="n">
        <f aca="false">Zelador!$G$46</f>
        <v>6502.43</v>
      </c>
      <c r="K14" s="500" t="n">
        <f aca="false">'Ocorrências Mensais - FAT'!K13</f>
        <v>0</v>
      </c>
      <c r="L14" s="501" t="n">
        <f aca="false">J14/'Ocorrências Mensais - FAT'!$E$5*K14</f>
        <v>0</v>
      </c>
      <c r="M14" s="502" t="n">
        <f aca="false">'Custo Estimado Substituto'!H33</f>
        <v>5580.43</v>
      </c>
      <c r="N14" s="500" t="n">
        <f aca="false">'Ocorrências Mensais - FAT'!L13</f>
        <v>0</v>
      </c>
      <c r="O14" s="503" t="n">
        <f aca="false">M14/'Ocorrências Mensais - FAT'!$E$5*N14</f>
        <v>0</v>
      </c>
      <c r="P14" s="504" t="n">
        <f aca="false">Zelador!$H$46</f>
        <v>654.71</v>
      </c>
      <c r="Q14" s="505" t="n">
        <f aca="false">'Ocorrências Mensais - FAT'!M13</f>
        <v>0</v>
      </c>
      <c r="R14" s="503" t="n">
        <f aca="false">ROUND((P14/Dados!$G$37*Q14),2)</f>
        <v>0</v>
      </c>
      <c r="S14" s="506" t="n">
        <f aca="false">I14+L14+O14+R14</f>
        <v>0</v>
      </c>
      <c r="T14" s="508"/>
      <c r="U14" s="509"/>
      <c r="V14" s="510"/>
      <c r="W14" s="498" t="n">
        <f aca="false">ROUND((F14-S14+V14),2)</f>
        <v>6502.43</v>
      </c>
    </row>
    <row r="15" s="20" customFormat="true" ht="15.75" hidden="false" customHeight="false" outlineLevel="0" collapsed="false">
      <c r="A15" s="511" t="n">
        <f aca="false">Dados!A10</f>
        <v>333903701</v>
      </c>
      <c r="B15" s="512" t="str">
        <f aca="false">Dados!C10</f>
        <v>Auxiliar Administrativo</v>
      </c>
      <c r="C15" s="513" t="n">
        <f aca="false">Dados!D10</f>
        <v>150</v>
      </c>
      <c r="D15" s="514" t="n">
        <f aca="false">Dados!B10</f>
        <v>2</v>
      </c>
      <c r="E15" s="515" t="n">
        <f aca="false">'Aux Adm'!$F$46</f>
        <v>3473.05</v>
      </c>
      <c r="F15" s="516" t="n">
        <f aca="false">ROUND((D15*E15),2)</f>
        <v>6946.1</v>
      </c>
      <c r="G15" s="517" t="n">
        <f aca="false">'Aux Adm'!$I$46</f>
        <v>231.17</v>
      </c>
      <c r="H15" s="518" t="n">
        <f aca="false">'Ocorrências Mensais - FAT'!F14+'Ocorrências Mensais - FAT'!H14</f>
        <v>0</v>
      </c>
      <c r="I15" s="519" t="n">
        <f aca="false">(ROUND((G15/Dados!$G$34*H15)-(G15/'Ocorrências Mensais - FAT'!$E$5*'Ocorrências Mensais - FAT'!G14),2))</f>
        <v>0</v>
      </c>
      <c r="J15" s="520" t="n">
        <f aca="false">'Aux Adm'!$G$46</f>
        <v>3473.05</v>
      </c>
      <c r="K15" s="518" t="n">
        <f aca="false">'Ocorrências Mensais - FAT'!K14</f>
        <v>0</v>
      </c>
      <c r="L15" s="519" t="n">
        <f aca="false">J15/'Ocorrências Mensais - FAT'!$E$5*K15</f>
        <v>0</v>
      </c>
      <c r="M15" s="520" t="n">
        <f aca="false">'Custo Estimado Substituto'!I33</f>
        <v>2962.61</v>
      </c>
      <c r="N15" s="518" t="n">
        <f aca="false">'Ocorrências Mensais - FAT'!L14</f>
        <v>0</v>
      </c>
      <c r="O15" s="521" t="n">
        <f aca="false">M15/'Ocorrências Mensais - FAT'!$E$5*N15</f>
        <v>0</v>
      </c>
      <c r="P15" s="522" t="n">
        <f aca="false">'Aux Adm'!$H$46</f>
        <v>0</v>
      </c>
      <c r="Q15" s="523" t="n">
        <f aca="false">'Ocorrências Mensais - FAT'!M14</f>
        <v>0</v>
      </c>
      <c r="R15" s="521" t="n">
        <f aca="false">ROUND((P15/Dados!$G$37*Q15),2)</f>
        <v>0</v>
      </c>
      <c r="S15" s="524" t="n">
        <f aca="false">I15+L15+O15+R15</f>
        <v>0</v>
      </c>
      <c r="T15" s="525"/>
      <c r="U15" s="526"/>
      <c r="V15" s="527"/>
      <c r="W15" s="528" t="n">
        <f aca="false">ROUND((F15-S15+V15),2)</f>
        <v>6946.1</v>
      </c>
    </row>
    <row r="16" s="76" customFormat="true" ht="21.75" hidden="false" customHeight="true" outlineLevel="0" collapsed="false">
      <c r="A16" s="529" t="s">
        <v>597</v>
      </c>
      <c r="B16" s="529"/>
      <c r="C16" s="529"/>
      <c r="D16" s="530" t="n">
        <f aca="false">SUM(D12:D15)</f>
        <v>5</v>
      </c>
      <c r="E16" s="531"/>
      <c r="F16" s="532" t="n">
        <f aca="false">SUM(F12:F15)</f>
        <v>27059.53</v>
      </c>
      <c r="G16" s="533"/>
      <c r="H16" s="531" t="n">
        <f aca="false">SUM(H12:H15)</f>
        <v>0</v>
      </c>
      <c r="I16" s="534" t="n">
        <f aca="false">SUM(I12:I15)</f>
        <v>0</v>
      </c>
      <c r="J16" s="535" t="n">
        <f aca="false">SUM(J12:J15)</f>
        <v>20774.48</v>
      </c>
      <c r="K16" s="531" t="n">
        <f aca="false">SUM(K12:K15)</f>
        <v>0</v>
      </c>
      <c r="L16" s="534" t="n">
        <f aca="false">SUM(L12:L15)</f>
        <v>0</v>
      </c>
      <c r="M16" s="536" t="n">
        <f aca="false">SUM(M12:M15)</f>
        <v>17953.22</v>
      </c>
      <c r="N16" s="531" t="n">
        <f aca="false">SUM(N12:N15)</f>
        <v>0</v>
      </c>
      <c r="O16" s="532" t="n">
        <f aca="false">SUM(O12:O15)</f>
        <v>0</v>
      </c>
      <c r="P16" s="533"/>
      <c r="Q16" s="531" t="n">
        <f aca="false">SUM(Q12:Q15)</f>
        <v>0</v>
      </c>
      <c r="R16" s="532" t="n">
        <f aca="false">SUM(R12:R15)</f>
        <v>0</v>
      </c>
      <c r="S16" s="537" t="n">
        <f aca="false">SUM(S12:S15)</f>
        <v>0</v>
      </c>
      <c r="T16" s="538"/>
      <c r="U16" s="531" t="n">
        <f aca="false">SUM(U12:U15)</f>
        <v>0</v>
      </c>
      <c r="V16" s="534" t="n">
        <f aca="false">SUM(V12:V15)</f>
        <v>0</v>
      </c>
      <c r="W16" s="539" t="n">
        <f aca="false">SUM(W12:W15)</f>
        <v>27059.53</v>
      </c>
      <c r="X16" s="540" t="s">
        <v>598</v>
      </c>
      <c r="Y16" s="131"/>
    </row>
    <row r="17" s="68" customFormat="true" ht="18" hidden="false" customHeight="true" outlineLevel="0" collapsed="false">
      <c r="A17" s="541" t="s">
        <v>599</v>
      </c>
      <c r="B17" s="541"/>
      <c r="C17" s="541"/>
      <c r="D17" s="541"/>
      <c r="E17" s="541"/>
      <c r="F17" s="541"/>
      <c r="G17" s="541"/>
      <c r="H17" s="541"/>
      <c r="I17" s="541"/>
      <c r="J17" s="541"/>
      <c r="K17" s="541"/>
      <c r="L17" s="541"/>
      <c r="M17" s="541"/>
      <c r="N17" s="541"/>
      <c r="O17" s="541"/>
      <c r="P17" s="541"/>
      <c r="Q17" s="541"/>
      <c r="R17" s="541"/>
      <c r="S17" s="541"/>
      <c r="T17" s="541"/>
      <c r="U17" s="541"/>
      <c r="V17" s="541"/>
      <c r="W17" s="542" t="n">
        <f aca="false">Insumos!K51+Insumos!K80</f>
        <v>2192.2025</v>
      </c>
    </row>
    <row r="18" s="68" customFormat="true" ht="20.25" hidden="false" customHeight="true" outlineLevel="0" collapsed="false">
      <c r="A18" s="541" t="s">
        <v>600</v>
      </c>
      <c r="B18" s="541"/>
      <c r="C18" s="541"/>
      <c r="D18" s="541"/>
      <c r="E18" s="541"/>
      <c r="F18" s="541"/>
      <c r="G18" s="541"/>
      <c r="H18" s="541"/>
      <c r="I18" s="541"/>
      <c r="J18" s="541"/>
      <c r="K18" s="541"/>
      <c r="L18" s="541"/>
      <c r="M18" s="541"/>
      <c r="N18" s="541"/>
      <c r="O18" s="541"/>
      <c r="P18" s="541"/>
      <c r="Q18" s="541"/>
      <c r="R18" s="541"/>
      <c r="S18" s="541"/>
      <c r="T18" s="541"/>
      <c r="U18" s="541"/>
      <c r="V18" s="541"/>
      <c r="W18" s="543" t="n">
        <f aca="false">W16*12</f>
        <v>324714.36</v>
      </c>
    </row>
    <row r="19" s="82" customFormat="true" ht="24" hidden="false" customHeight="true" outlineLevel="0" collapsed="false">
      <c r="A19" s="544" t="s">
        <v>45</v>
      </c>
      <c r="B19" s="544"/>
      <c r="C19" s="544"/>
      <c r="D19" s="544"/>
      <c r="E19" s="544"/>
      <c r="F19" s="544"/>
      <c r="G19" s="544"/>
      <c r="H19" s="544"/>
      <c r="I19" s="544"/>
      <c r="J19" s="544"/>
      <c r="K19" s="544"/>
      <c r="L19" s="544"/>
      <c r="M19" s="544"/>
      <c r="N19" s="544"/>
      <c r="O19" s="544"/>
      <c r="P19" s="544"/>
      <c r="Q19" s="544"/>
      <c r="R19" s="544"/>
      <c r="S19" s="544"/>
      <c r="T19" s="544"/>
      <c r="U19" s="544"/>
      <c r="V19" s="544"/>
      <c r="W19" s="544"/>
    </row>
    <row r="20" s="68" customFormat="true" ht="13.5" hidden="false" customHeight="false" outlineLevel="0" collapsed="false">
      <c r="A20" s="545" t="str">
        <f aca="false">CONCATENATE("1. Nas FÉRIAS SEM SUBSTITUIÇÃO DA SERVENTE INSALUBRE, quando o trabalho de limpeza de banheiros públicos ou de grande circulação for efetuado por outra servente do quadro, deverá ser acrescentado o valor de R$",T13," por dia em que este fato ocorrer.")</f>
        <v>1. Nas FÉRIAS SEM SUBSTITUIÇÃO DA SERVENTE INSALUBRE, quando o trabalho de limpeza de banheiros públicos ou de grande circulação for efetuado por outra servente do quadro, deverá ser acrescentado o valor de R$45,8 por dia em que este fato ocorrer.</v>
      </c>
      <c r="B20" s="545"/>
      <c r="C20" s="545"/>
      <c r="D20" s="545"/>
      <c r="E20" s="545"/>
      <c r="F20" s="545"/>
      <c r="G20" s="545"/>
      <c r="H20" s="545"/>
      <c r="I20" s="545"/>
      <c r="J20" s="545"/>
      <c r="K20" s="545"/>
      <c r="L20" s="545"/>
      <c r="M20" s="545"/>
      <c r="N20" s="545"/>
      <c r="O20" s="545"/>
      <c r="P20" s="545"/>
      <c r="Q20" s="545"/>
      <c r="R20" s="545"/>
      <c r="S20" s="545"/>
      <c r="T20" s="545"/>
      <c r="U20" s="545"/>
      <c r="V20" s="545"/>
      <c r="W20" s="545"/>
    </row>
    <row r="21" s="547" customFormat="true" ht="18.75" hidden="false" customHeight="true" outlineLevel="0" collapsed="false">
      <c r="A21" s="546" t="s">
        <v>601</v>
      </c>
      <c r="B21" s="546"/>
      <c r="C21" s="546"/>
      <c r="D21" s="546"/>
      <c r="E21" s="546"/>
      <c r="F21" s="546"/>
      <c r="G21" s="546"/>
      <c r="H21" s="546"/>
      <c r="I21" s="546"/>
      <c r="J21" s="546"/>
      <c r="K21" s="546"/>
      <c r="L21" s="546"/>
      <c r="M21" s="546"/>
      <c r="N21" s="546"/>
      <c r="O21" s="546"/>
      <c r="P21" s="546"/>
      <c r="Q21" s="546"/>
      <c r="R21" s="546"/>
      <c r="S21" s="546"/>
      <c r="T21" s="546"/>
      <c r="U21" s="546"/>
      <c r="V21" s="546"/>
      <c r="W21" s="546"/>
    </row>
    <row r="22" customFormat="false" ht="14.25" hidden="false" customHeight="false" outlineLevel="0" collapsed="false">
      <c r="A22" s="548"/>
      <c r="B22" s="548"/>
      <c r="C22" s="548"/>
      <c r="D22" s="548"/>
      <c r="E22" s="548"/>
      <c r="F22" s="548"/>
      <c r="G22" s="548"/>
      <c r="H22" s="548"/>
      <c r="I22" s="548"/>
      <c r="J22" s="548"/>
      <c r="K22" s="548"/>
      <c r="L22" s="548"/>
      <c r="M22" s="548"/>
      <c r="N22" s="548"/>
      <c r="O22" s="548"/>
      <c r="P22" s="548"/>
      <c r="Q22" s="548"/>
      <c r="R22" s="548"/>
      <c r="S22" s="548"/>
      <c r="T22" s="548"/>
      <c r="U22" s="548"/>
      <c r="V22" s="548"/>
      <c r="W22" s="548"/>
    </row>
    <row r="23" customFormat="false" ht="14.25" hidden="false" customHeight="false" outlineLevel="0" collapsed="false">
      <c r="A23" s="548"/>
      <c r="B23" s="548"/>
      <c r="C23" s="548"/>
      <c r="D23" s="548"/>
      <c r="E23" s="548"/>
      <c r="F23" s="548"/>
      <c r="G23" s="548"/>
      <c r="H23" s="548"/>
      <c r="I23" s="548"/>
      <c r="J23" s="548"/>
      <c r="K23" s="548"/>
      <c r="L23" s="548"/>
      <c r="M23" s="548"/>
      <c r="N23" s="548"/>
      <c r="O23" s="548"/>
      <c r="P23" s="548"/>
      <c r="Q23" s="548"/>
      <c r="R23" s="548"/>
      <c r="S23" s="548"/>
      <c r="T23" s="548"/>
      <c r="U23" s="548"/>
      <c r="V23" s="548"/>
      <c r="W23" s="548"/>
    </row>
  </sheetData>
  <sheetProtection algorithmName="SHA-512" hashValue="GcVDCH61nDOZdAya88wgc/9HUCQGnJP4h2gXY78m81/uvqlR/ecbYJ4QWi7Yt5wGRiUo3nBdLsLXIVTVCw6+Pg==" saltValue="SmeWv2jtKwEaLLV2nG+e0w==" spinCount="100000" sheet="true" objects="true" scenarios="true"/>
  <mergeCells count="30">
    <mergeCell ref="A4:W4"/>
    <mergeCell ref="A5:W5"/>
    <mergeCell ref="A6:W6"/>
    <mergeCell ref="S7:W7"/>
    <mergeCell ref="A8:A11"/>
    <mergeCell ref="B8:C10"/>
    <mergeCell ref="D8:V8"/>
    <mergeCell ref="W8:W11"/>
    <mergeCell ref="D9:F9"/>
    <mergeCell ref="G9:I9"/>
    <mergeCell ref="J9:O9"/>
    <mergeCell ref="P9:R9"/>
    <mergeCell ref="T9:V9"/>
    <mergeCell ref="D10:F10"/>
    <mergeCell ref="G10:G11"/>
    <mergeCell ref="H10:I10"/>
    <mergeCell ref="J10:L10"/>
    <mergeCell ref="M10:O10"/>
    <mergeCell ref="P10:R10"/>
    <mergeCell ref="S10:S11"/>
    <mergeCell ref="T10:V10"/>
    <mergeCell ref="A12:A14"/>
    <mergeCell ref="A16:C16"/>
    <mergeCell ref="A17:V17"/>
    <mergeCell ref="A18:V18"/>
    <mergeCell ref="A19:W19"/>
    <mergeCell ref="A20:W20"/>
    <mergeCell ref="A21:W21"/>
    <mergeCell ref="A22:W22"/>
    <mergeCell ref="A23:W23"/>
  </mergeCells>
  <printOptions headings="false" gridLines="false" gridLinesSet="true" horizontalCentered="true" verticalCentered="true"/>
  <pageMargins left="0.511805555555556" right="0.511805555555556" top="0.7875" bottom="0.7875"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colBreaks count="1" manualBreakCount="1">
    <brk id="23" man="true" max="65535" min="0"/>
  </colBreaks>
  <drawing r:id="rId1"/>
</worksheet>
</file>

<file path=docProps/app.xml><?xml version="1.0" encoding="utf-8"?>
<Properties xmlns="http://schemas.openxmlformats.org/officeDocument/2006/extended-properties" xmlns:vt="http://schemas.openxmlformats.org/officeDocument/2006/docPropsVTypes">
  <Template/>
  <TotalTime>134</TotalTime>
  <Application>LibreOffice/7.5.2.2$Windows_X86_64 LibreOffice_project/53bb9681a964705cf672590721dbc85eb4d0c3a2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Fábio Lucas Gouveia dos Santos</dc:creator>
  <dc:description/>
  <dc:language>pt-BR</dc:language>
  <cp:lastModifiedBy>Fábio Lucas Gouveia dos Santos</cp:lastModifiedBy>
  <dcterms:modified xsi:type="dcterms:W3CDTF">2025-10-21T21:20:07Z</dcterms:modified>
  <cp:revision>13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ProgId">
    <vt:lpwstr>Excel.Sheet</vt:lpwstr>
  </property>
  <property fmtid="{D5CDD505-2E9C-101B-9397-08002B2CF9AE}" pid="5" name="ScaleCrop">
    <vt:bool>0</vt:bool>
  </property>
  <property fmtid="{D5CDD505-2E9C-101B-9397-08002B2CF9AE}" pid="6" name="ShareDoc">
    <vt:bool>0</vt:bool>
  </property>
</Properties>
</file>