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trf6jusbr-my.sharepoint.com/personal/rafael_prado_trf6_jus_br/Documents/DIEAR/CONTRATAÇÕES/2024 - CONTRATO DE APOIO TÉCNICO/02. ESTUDO DE CUSTO/"/>
    </mc:Choice>
  </mc:AlternateContent>
  <xr:revisionPtr revIDLastSave="0" documentId="8_{BA75B9C0-A247-48AC-B088-45BB5C4DD4B3}" xr6:coauthVersionLast="47" xr6:coauthVersionMax="47" xr10:uidLastSave="{00000000-0000-0000-0000-000000000000}"/>
  <bookViews>
    <workbookView xWindow="28680" yWindow="-75" windowWidth="29040" windowHeight="15720" tabRatio="761" activeTab="1" xr2:uid="{00000000-000D-0000-FFFF-FFFF00000000}"/>
  </bookViews>
  <sheets>
    <sheet name="Ocorrências Mensais - FAT" sheetId="19" r:id="rId1"/>
    <sheet name="Resumo" sheetId="2" r:id="rId2"/>
    <sheet name="INSTRUÇÕES" sheetId="1" r:id="rId3"/>
    <sheet name="Dados" sheetId="3" r:id="rId4"/>
    <sheet name="Encargos" sheetId="5" r:id="rId5"/>
    <sheet name="Equipamentos" sheetId="27" r:id="rId6"/>
    <sheet name="Licenças" sheetId="26" r:id="rId7"/>
    <sheet name="Cotações" sheetId="4" r:id="rId8"/>
    <sheet name="NS SENIOR 200" sheetId="7" r:id="rId9"/>
    <sheet name="NS PLENO 200" sheetId="8" r:id="rId10"/>
    <sheet name="NS JUNIOR 200" sheetId="9" r:id="rId11"/>
    <sheet name="NM TECNICO SR 200" sheetId="10" r:id="rId12"/>
    <sheet name="NM TECNICO PL 200" sheetId="18" r:id="rId13"/>
    <sheet name="Custo Estimativo Substituto" sheetId="17" r:id="rId14"/>
    <sheet name="ART" sheetId="22" r:id="rId15"/>
    <sheet name="V.T e V.A - Extra" sheetId="25" r:id="rId16"/>
    <sheet name="IPCA" sheetId="20" state="hidden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14">ART!$A$1:$D$46</definedName>
    <definedName name="_xlnm.Print_Area" localSheetId="3">Dados!$A$1:$L$65</definedName>
    <definedName name="_xlnm.Print_Area" localSheetId="1">Resumo!$A$1:$AH$17</definedName>
    <definedName name="_xlnm.Print_Area" localSheetId="15">'V.T e V.A - Extra'!$A$1:$D$46</definedName>
    <definedName name="AT">'[1]Base CCT-2016-2017'!$A$20:$AU$66</definedName>
    <definedName name="BASE">[2]base!$A$4:$P$5</definedName>
    <definedName name="BS" localSheetId="5">#REF!</definedName>
    <definedName name="BS" localSheetId="6">#REF!</definedName>
    <definedName name="BS">NA()</definedName>
    <definedName name="BT" localSheetId="5">#REF!</definedName>
    <definedName name="BT" localSheetId="6">#REF!</definedName>
    <definedName name="BT">NA()</definedName>
    <definedName name="CH">'[3]Base CCT-2016-2017'!$B$81:$B$86</definedName>
    <definedName name="Cid">'[3]Cidades VT PAF ISS'!$A$4:$K$999</definedName>
    <definedName name="Cidad">'[3]Cidades VT PAF ISS'!$A$4:$A$999</definedName>
    <definedName name="CIDADE" localSheetId="5">#REF!</definedName>
    <definedName name="CIDADE" localSheetId="6">#REF!</definedName>
    <definedName name="CIDADE">NA()</definedName>
    <definedName name="CIDADES" localSheetId="5">[4]Plan1!$A$2:$A$891</definedName>
    <definedName name="CIDADES" localSheetId="6">[4]Plan1!$A$2:$A$891</definedName>
    <definedName name="CIDADES">NA()</definedName>
    <definedName name="CPMF" localSheetId="5">#REF!</definedName>
    <definedName name="CPMF" localSheetId="6">#REF!</definedName>
    <definedName name="CPMF">NA()</definedName>
    <definedName name="d" localSheetId="5">#REF!</definedName>
    <definedName name="d" localSheetId="6">#REF!</definedName>
    <definedName name="d">NA()</definedName>
    <definedName name="DF">'[3]Base CCT-2016-2017'!$A$20:$AJ$72</definedName>
    <definedName name="ENCARGOS" localSheetId="5">#REF!</definedName>
    <definedName name="ENCARGOS" localSheetId="6">#REF!</definedName>
    <definedName name="ENCARGOS">NA()</definedName>
    <definedName name="Excel_BuiltIn_Print_Area_1_1">"$#REF!.$A$2:$C$99"</definedName>
    <definedName name="Excel_BuiltIn_Print_Area_6_1" localSheetId="5">#REF!</definedName>
    <definedName name="Excel_BuiltIn_Print_Area_6_1" localSheetId="6">#REF!</definedName>
    <definedName name="Excel_BuiltIn_Print_Area_6_1">NA()</definedName>
    <definedName name="Excel_BuiltIn_Print_Area_7_1" localSheetId="5">#REF!</definedName>
    <definedName name="Excel_BuiltIn_Print_Area_7_1" localSheetId="6">#REF!</definedName>
    <definedName name="Excel_BuiltIn_Print_Area_7_1">NA()</definedName>
    <definedName name="Excel_BuiltIn_Print_Area_8_1" localSheetId="5">#REF!</definedName>
    <definedName name="Excel_BuiltIn_Print_Area_8_1" localSheetId="6">#REF!</definedName>
    <definedName name="Excel_BuiltIn_Print_Area_8_1">NA()</definedName>
    <definedName name="Excel_BuiltIn_Print_Area_9_1" localSheetId="5">#REF!</definedName>
    <definedName name="Excel_BuiltIn_Print_Area_9_1" localSheetId="6">#REF!</definedName>
    <definedName name="Excel_BuiltIn_Print_Area_9_1">NA()</definedName>
    <definedName name="Férias">'[3]Memória Encargos Sociais'!$F$22:$G$22</definedName>
    <definedName name="Func">'[3]Base CCT-2016-2017'!$A$20:$A$72</definedName>
    <definedName name="INSAL">'[3]Base CCT-2016-2017'!$F$80:$F$83</definedName>
    <definedName name="INSALU">'[3]Base CCT-2016-2017'!$G$80:$G$81</definedName>
    <definedName name="INTRA">'[3]Base CCT-2016-2017'!$E$80:$E$82</definedName>
    <definedName name="ISS" localSheetId="5">#REF!</definedName>
    <definedName name="ISS" localSheetId="6">#REF!</definedName>
    <definedName name="ISS">NA()</definedName>
    <definedName name="Jornada" localSheetId="5">#REF!</definedName>
    <definedName name="Jornada" localSheetId="6">#REF!</definedName>
    <definedName name="Jornada">NA()</definedName>
    <definedName name="Per">'[3]Base CCT-2016-2017'!$C$81:$C$82</definedName>
    <definedName name="Serv">'[3]Base CCT-2016-2017'!$A$81:$A$91</definedName>
    <definedName name="SIM">'[3]Base CCT-2016-2017'!$D$80:$D$81</definedName>
    <definedName name="SL">'[3]Base CCT-2016-2017'!$A$2:$AJ$72</definedName>
    <definedName name="TERRIT" localSheetId="5">#REF!</definedName>
    <definedName name="TERRIT" localSheetId="6">#REF!</definedName>
    <definedName name="TERRIT">NA()</definedName>
    <definedName name="Tipo_de_Joranda_de_Trabalho" localSheetId="5">OFFSET(#REF!,1,0,COUNTA(#REF!)-1,1)</definedName>
    <definedName name="Tipo_de_Joranda_de_Trabalho" localSheetId="6">OFFSET(#REF!,1,0,COUNTA(#REF!)-1,1)</definedName>
    <definedName name="Tipo_de_Joranda_de_Trabalho">NA()</definedName>
    <definedName name="TP_SERV" localSheetId="5">#REF!</definedName>
    <definedName name="TP_SERV" localSheetId="6">#REF!</definedName>
    <definedName name="TP_SERV">NA()</definedName>
    <definedName name="TP_SERVPERC" localSheetId="5">#REF!</definedName>
    <definedName name="TP_SERVPERC" localSheetId="6">#REF!</definedName>
    <definedName name="TP_SERVPERC">NA()</definedName>
    <definedName name="VRSELEC" localSheetId="5">#REF!</definedName>
    <definedName name="VRSELEC" localSheetId="6">#REF!</definedName>
    <definedName name="VRSELEC">NA()</definedName>
  </definedName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7" l="1"/>
  <c r="D16" i="27"/>
  <c r="G16" i="27" s="1"/>
  <c r="E11" i="3"/>
  <c r="E10" i="3"/>
  <c r="F70" i="3"/>
  <c r="F69" i="3"/>
  <c r="M8" i="8"/>
  <c r="M8" i="9"/>
  <c r="M8" i="10"/>
  <c r="M8" i="18"/>
  <c r="M8" i="7"/>
  <c r="L8" i="8"/>
  <c r="L8" i="9"/>
  <c r="L8" i="10"/>
  <c r="L8" i="18"/>
  <c r="L8" i="7"/>
  <c r="E60" i="19"/>
  <c r="E61" i="19"/>
  <c r="B54" i="2"/>
  <c r="E58" i="2"/>
  <c r="G22" i="27"/>
  <c r="B3" i="4"/>
  <c r="A27" i="25"/>
  <c r="A27" i="22"/>
  <c r="B3" i="19"/>
  <c r="B3" i="25"/>
  <c r="B3" i="22"/>
  <c r="B3" i="18"/>
  <c r="B3" i="10"/>
  <c r="B3" i="9"/>
  <c r="B3" i="8"/>
  <c r="B3" i="7"/>
  <c r="B3" i="26"/>
  <c r="B3" i="27"/>
  <c r="B3" i="5"/>
  <c r="B3" i="2"/>
  <c r="G29" i="19" l="1"/>
  <c r="G30" i="19"/>
  <c r="G31" i="19"/>
  <c r="D30" i="19"/>
  <c r="D31" i="19"/>
  <c r="B30" i="19"/>
  <c r="B31" i="19"/>
  <c r="D46" i="4"/>
  <c r="D15" i="27" s="1"/>
  <c r="G15" i="27" s="1"/>
  <c r="D45" i="4"/>
  <c r="E31" i="19" s="1"/>
  <c r="E73" i="19"/>
  <c r="E72" i="19"/>
  <c r="E71" i="19"/>
  <c r="E70" i="19"/>
  <c r="E67" i="19"/>
  <c r="E65" i="19"/>
  <c r="E74" i="19" l="1"/>
  <c r="E75" i="19" s="1"/>
  <c r="D17" i="8" l="1"/>
  <c r="F17" i="8" s="1"/>
  <c r="D17" i="9"/>
  <c r="F17" i="9" s="1"/>
  <c r="D17" i="10"/>
  <c r="F17" i="10" s="1"/>
  <c r="D17" i="18"/>
  <c r="F17" i="18" s="1"/>
  <c r="D17" i="7"/>
  <c r="F17" i="7" s="1"/>
  <c r="D29" i="19"/>
  <c r="B2" i="17"/>
  <c r="B3" i="17"/>
  <c r="B1" i="17"/>
  <c r="B53" i="2" l="1"/>
  <c r="B52" i="2"/>
  <c r="B51" i="2"/>
  <c r="B50" i="2"/>
  <c r="B49" i="2"/>
  <c r="G30" i="27" l="1"/>
  <c r="D24" i="8"/>
  <c r="D24" i="9"/>
  <c r="D24" i="10"/>
  <c r="D24" i="18"/>
  <c r="D24" i="7"/>
  <c r="D23" i="8"/>
  <c r="F23" i="8" s="1"/>
  <c r="D23" i="9"/>
  <c r="F23" i="9" s="1"/>
  <c r="D23" i="10"/>
  <c r="F23" i="10" s="1"/>
  <c r="D23" i="18"/>
  <c r="F23" i="18" s="1"/>
  <c r="D23" i="7"/>
  <c r="F23" i="7" s="1"/>
  <c r="A23" i="8"/>
  <c r="A23" i="9"/>
  <c r="A23" i="10"/>
  <c r="A23" i="18"/>
  <c r="A23" i="7"/>
  <c r="A22" i="8"/>
  <c r="A22" i="9"/>
  <c r="A22" i="10"/>
  <c r="A22" i="18"/>
  <c r="A22" i="7"/>
  <c r="B29" i="19"/>
  <c r="G26" i="3" l="1"/>
  <c r="K8" i="18"/>
  <c r="K8" i="10"/>
  <c r="E62" i="19" l="1"/>
  <c r="E63" i="19"/>
  <c r="A5" i="3" l="1"/>
  <c r="H40" i="3"/>
  <c r="H34" i="3"/>
  <c r="G35" i="3"/>
  <c r="D18" i="8"/>
  <c r="D18" i="9"/>
  <c r="D18" i="10"/>
  <c r="D18" i="18"/>
  <c r="D18" i="7"/>
  <c r="C18" i="8"/>
  <c r="C18" i="9"/>
  <c r="C18" i="10"/>
  <c r="C18" i="18"/>
  <c r="C18" i="7"/>
  <c r="K39" i="19"/>
  <c r="AC12" i="2" s="1"/>
  <c r="K40" i="19"/>
  <c r="AC13" i="2" s="1"/>
  <c r="K41" i="19"/>
  <c r="AC14" i="2" s="1"/>
  <c r="K42" i="19"/>
  <c r="AC15" i="2" s="1"/>
  <c r="K38" i="19"/>
  <c r="AC11" i="2" s="1"/>
  <c r="I39" i="19"/>
  <c r="AA12" i="2" s="1"/>
  <c r="I40" i="19"/>
  <c r="AA13" i="2" s="1"/>
  <c r="I41" i="19"/>
  <c r="AA14" i="2" s="1"/>
  <c r="I42" i="19"/>
  <c r="AA15" i="2" s="1"/>
  <c r="I38" i="19"/>
  <c r="AA11" i="2" s="1"/>
  <c r="G39" i="19"/>
  <c r="G40" i="19"/>
  <c r="G41" i="19"/>
  <c r="G42" i="19"/>
  <c r="G38" i="19"/>
  <c r="E39" i="19"/>
  <c r="E40" i="19"/>
  <c r="E41" i="19"/>
  <c r="E42" i="19"/>
  <c r="E38" i="19"/>
  <c r="C39" i="19"/>
  <c r="C40" i="19"/>
  <c r="C41" i="19"/>
  <c r="C42" i="19"/>
  <c r="C38" i="19"/>
  <c r="D80" i="19"/>
  <c r="E27" i="2" s="1"/>
  <c r="D79" i="19"/>
  <c r="E26" i="2" s="1"/>
  <c r="A28" i="22"/>
  <c r="D91" i="19"/>
  <c r="D20" i="26"/>
  <c r="D21" i="26"/>
  <c r="D19" i="26"/>
  <c r="F20" i="26"/>
  <c r="F21" i="26"/>
  <c r="F19" i="26"/>
  <c r="F15" i="26"/>
  <c r="F13" i="26"/>
  <c r="D43" i="4"/>
  <c r="D40" i="4"/>
  <c r="D14" i="27" s="1"/>
  <c r="G14" i="27" s="1"/>
  <c r="D36" i="4"/>
  <c r="D13" i="27" s="1"/>
  <c r="G13" i="27" s="1"/>
  <c r="D33" i="4"/>
  <c r="D12" i="27" s="1"/>
  <c r="G12" i="27" s="1"/>
  <c r="D30" i="4"/>
  <c r="D11" i="27" s="1"/>
  <c r="G11" i="27" s="1"/>
  <c r="D29" i="4"/>
  <c r="D26" i="27" s="1"/>
  <c r="G26" i="27" s="1"/>
  <c r="D28" i="4"/>
  <c r="D10" i="27" s="1"/>
  <c r="G10" i="27" s="1"/>
  <c r="D27" i="4"/>
  <c r="D9" i="27" s="1"/>
  <c r="G9" i="27" s="1"/>
  <c r="D22" i="4"/>
  <c r="D8" i="27" s="1"/>
  <c r="G8" i="27" s="1"/>
  <c r="D19" i="4"/>
  <c r="D11" i="26" s="1"/>
  <c r="D63" i="19" s="1"/>
  <c r="D14" i="4"/>
  <c r="D62" i="19" s="1"/>
  <c r="F62" i="19" s="1"/>
  <c r="D10" i="4"/>
  <c r="D9" i="26" s="1"/>
  <c r="D61" i="19" s="1"/>
  <c r="F61" i="19" s="1"/>
  <c r="D5" i="4"/>
  <c r="D8" i="26" s="1"/>
  <c r="D60" i="19" s="1"/>
  <c r="F60" i="19" s="1"/>
  <c r="D27" i="27" l="1"/>
  <c r="G28" i="27"/>
  <c r="E29" i="19"/>
  <c r="F29" i="19" s="1"/>
  <c r="F23" i="26"/>
  <c r="F63" i="19"/>
  <c r="F64" i="19" s="1"/>
  <c r="G8" i="26"/>
  <c r="G11" i="26"/>
  <c r="G10" i="26"/>
  <c r="G9" i="26"/>
  <c r="C31" i="25"/>
  <c r="D31" i="25" s="1"/>
  <c r="D32" i="25" s="1"/>
  <c r="C9" i="25"/>
  <c r="D9" i="25" s="1"/>
  <c r="D10" i="25" s="1"/>
  <c r="A46" i="25"/>
  <c r="A45" i="25"/>
  <c r="C43" i="25"/>
  <c r="A43" i="25"/>
  <c r="C42" i="25"/>
  <c r="C41" i="25"/>
  <c r="C40" i="25"/>
  <c r="C36" i="25"/>
  <c r="C34" i="25"/>
  <c r="A24" i="25"/>
  <c r="C21" i="25"/>
  <c r="A21" i="25"/>
  <c r="C20" i="25"/>
  <c r="C19" i="25"/>
  <c r="C18" i="25"/>
  <c r="C14" i="25"/>
  <c r="C12" i="25"/>
  <c r="A23" i="25"/>
  <c r="C43" i="22"/>
  <c r="A43" i="22"/>
  <c r="G20" i="27" l="1"/>
  <c r="G18" i="27"/>
  <c r="G19" i="27" s="1"/>
  <c r="G21" i="27" s="1"/>
  <c r="G23" i="27" s="1"/>
  <c r="G47" i="3" s="1"/>
  <c r="G27" i="27"/>
  <c r="G29" i="27" s="1"/>
  <c r="G31" i="27" s="1"/>
  <c r="G48" i="3" s="1"/>
  <c r="E30" i="19"/>
  <c r="F30" i="19" s="1"/>
  <c r="F31" i="19"/>
  <c r="F65" i="19"/>
  <c r="F66" i="19" s="1"/>
  <c r="F67" i="19" s="1"/>
  <c r="C22" i="25"/>
  <c r="C15" i="25"/>
  <c r="C37" i="25"/>
  <c r="C44" i="25"/>
  <c r="D12" i="25"/>
  <c r="D13" i="25" s="1"/>
  <c r="D14" i="25" s="1"/>
  <c r="D34" i="25"/>
  <c r="D35" i="25" s="1"/>
  <c r="D36" i="25" s="1"/>
  <c r="F32" i="19" l="1"/>
  <c r="F68" i="19"/>
  <c r="F69" i="19" s="1"/>
  <c r="F75" i="19" s="1"/>
  <c r="F21" i="2" s="1"/>
  <c r="D22" i="7"/>
  <c r="D22" i="8"/>
  <c r="D22" i="18"/>
  <c r="D37" i="25"/>
  <c r="D38" i="25" s="1"/>
  <c r="D45" i="25" s="1"/>
  <c r="D15" i="25"/>
  <c r="D16" i="25" s="1"/>
  <c r="D23" i="25" s="1"/>
  <c r="D22" i="10" l="1"/>
  <c r="D22" i="9"/>
  <c r="F73" i="19"/>
  <c r="E91" i="19"/>
  <c r="F70" i="19"/>
  <c r="F72" i="19"/>
  <c r="F71" i="19"/>
  <c r="AB15" i="2"/>
  <c r="AB11" i="2"/>
  <c r="AB14" i="2"/>
  <c r="AB13" i="2"/>
  <c r="AB12" i="2"/>
  <c r="J40" i="19"/>
  <c r="G51" i="19" s="1"/>
  <c r="J38" i="19"/>
  <c r="G49" i="19" s="1"/>
  <c r="J39" i="19"/>
  <c r="G50" i="19" s="1"/>
  <c r="J42" i="19"/>
  <c r="G53" i="19" s="1"/>
  <c r="J41" i="19"/>
  <c r="G52" i="19" s="1"/>
  <c r="D42" i="25"/>
  <c r="D41" i="25"/>
  <c r="D40" i="25"/>
  <c r="D46" i="25"/>
  <c r="D43" i="25"/>
  <c r="D21" i="25"/>
  <c r="D20" i="25"/>
  <c r="D24" i="25"/>
  <c r="D18" i="25"/>
  <c r="D19" i="25"/>
  <c r="F74" i="19" l="1"/>
  <c r="AD12" i="2"/>
  <c r="AD15" i="2"/>
  <c r="AD13" i="2"/>
  <c r="AD14" i="2"/>
  <c r="AD11" i="2"/>
  <c r="AB16" i="2"/>
  <c r="G54" i="19"/>
  <c r="L40" i="19"/>
  <c r="H51" i="19" s="1"/>
  <c r="L38" i="19"/>
  <c r="H49" i="19" s="1"/>
  <c r="L41" i="19"/>
  <c r="H52" i="19" s="1"/>
  <c r="L42" i="19"/>
  <c r="H53" i="19" s="1"/>
  <c r="L39" i="19"/>
  <c r="H50" i="19" s="1"/>
  <c r="D22" i="25"/>
  <c r="D44" i="25"/>
  <c r="AD16" i="2" l="1"/>
  <c r="E37" i="2" s="1"/>
  <c r="AB17" i="2"/>
  <c r="E36" i="2"/>
  <c r="H54" i="19"/>
  <c r="F37" i="2" l="1"/>
  <c r="AD17" i="2"/>
  <c r="C38" i="2"/>
  <c r="C39" i="2"/>
  <c r="D92" i="19" l="1"/>
  <c r="B80" i="19"/>
  <c r="A27" i="2" s="1"/>
  <c r="B79" i="19"/>
  <c r="A26" i="2" s="1"/>
  <c r="C9" i="22"/>
  <c r="D9" i="22" s="1"/>
  <c r="D10" i="22" s="1"/>
  <c r="C31" i="22"/>
  <c r="D31" i="22" s="1"/>
  <c r="D32" i="22" s="1"/>
  <c r="A46" i="22"/>
  <c r="C42" i="22"/>
  <c r="C41" i="22"/>
  <c r="C40" i="22"/>
  <c r="C36" i="22"/>
  <c r="C34" i="22"/>
  <c r="A24" i="22"/>
  <c r="A6" i="22"/>
  <c r="A23" i="22" s="1"/>
  <c r="C21" i="22"/>
  <c r="A21" i="22"/>
  <c r="C20" i="22"/>
  <c r="C19" i="22"/>
  <c r="C18" i="22"/>
  <c r="C14" i="22"/>
  <c r="C12" i="22"/>
  <c r="C37" i="22" l="1"/>
  <c r="C15" i="22"/>
  <c r="C44" i="22"/>
  <c r="C22" i="22"/>
  <c r="D34" i="22"/>
  <c r="D12" i="22"/>
  <c r="D35" i="22" l="1"/>
  <c r="D36" i="22" s="1"/>
  <c r="D37" i="22" s="1"/>
  <c r="D38" i="22" s="1"/>
  <c r="D45" i="22" s="1"/>
  <c r="D13" i="22"/>
  <c r="D14" i="22" s="1"/>
  <c r="D15" i="22" s="1"/>
  <c r="D16" i="22" s="1"/>
  <c r="D23" i="22" s="1"/>
  <c r="D41" i="22" l="1"/>
  <c r="D40" i="22"/>
  <c r="D43" i="22"/>
  <c r="D42" i="22"/>
  <c r="D46" i="22"/>
  <c r="D20" i="22"/>
  <c r="D19" i="22"/>
  <c r="D24" i="22"/>
  <c r="D18" i="22"/>
  <c r="D21" i="22"/>
  <c r="E79" i="19" l="1"/>
  <c r="F26" i="2"/>
  <c r="E80" i="19"/>
  <c r="F27" i="2"/>
  <c r="D44" i="22"/>
  <c r="D22" i="22"/>
  <c r="E81" i="19" l="1"/>
  <c r="E92" i="19" s="1"/>
  <c r="F28" i="2"/>
  <c r="E39" i="2" s="1"/>
  <c r="Y12" i="2" l="1"/>
  <c r="Y13" i="2"/>
  <c r="Y14" i="2"/>
  <c r="Y15" i="2"/>
  <c r="Y11" i="2"/>
  <c r="W12" i="2"/>
  <c r="W13" i="2"/>
  <c r="W14" i="2"/>
  <c r="W15" i="2"/>
  <c r="W11" i="2"/>
  <c r="U12" i="2"/>
  <c r="U13" i="2"/>
  <c r="U14" i="2"/>
  <c r="U15" i="2"/>
  <c r="U11" i="2"/>
  <c r="K8" i="8"/>
  <c r="K8" i="9"/>
  <c r="K8" i="7"/>
  <c r="M25" i="7"/>
  <c r="L25" i="7"/>
  <c r="M25" i="8"/>
  <c r="L25" i="8"/>
  <c r="M25" i="9"/>
  <c r="L25" i="9"/>
  <c r="M25" i="18"/>
  <c r="L25" i="18"/>
  <c r="M25" i="10"/>
  <c r="L25" i="10"/>
  <c r="K25" i="7"/>
  <c r="K25" i="8"/>
  <c r="K25" i="9"/>
  <c r="K25" i="18"/>
  <c r="K25" i="10"/>
  <c r="AG18" i="20"/>
  <c r="AH18" i="20" s="1"/>
  <c r="Z18" i="20"/>
  <c r="AA18" i="20" s="1"/>
  <c r="S18" i="20"/>
  <c r="T18" i="20" s="1"/>
  <c r="L18" i="20"/>
  <c r="M18" i="20" s="1"/>
  <c r="J18" i="20"/>
  <c r="I18" i="20"/>
  <c r="P18" i="20" s="1"/>
  <c r="W18" i="20" s="1"/>
  <c r="AD18" i="20" s="1"/>
  <c r="F18" i="20"/>
  <c r="AH17" i="20"/>
  <c r="AA17" i="20"/>
  <c r="T17" i="20"/>
  <c r="M17" i="20"/>
  <c r="J17" i="20"/>
  <c r="I17" i="20"/>
  <c r="P17" i="20" s="1"/>
  <c r="W17" i="20" s="1"/>
  <c r="AD17" i="20" s="1"/>
  <c r="F17" i="20"/>
  <c r="AH16" i="20"/>
  <c r="AA16" i="20"/>
  <c r="T16" i="20"/>
  <c r="M16" i="20"/>
  <c r="J16" i="20"/>
  <c r="I16" i="20"/>
  <c r="P16" i="20" s="1"/>
  <c r="W16" i="20" s="1"/>
  <c r="AD16" i="20" s="1"/>
  <c r="F16" i="20"/>
  <c r="AH15" i="20"/>
  <c r="AA15" i="20"/>
  <c r="T15" i="20"/>
  <c r="M15" i="20"/>
  <c r="J15" i="20"/>
  <c r="I15" i="20"/>
  <c r="P15" i="20" s="1"/>
  <c r="W15" i="20" s="1"/>
  <c r="AD15" i="20" s="1"/>
  <c r="F15" i="20"/>
  <c r="AH14" i="20"/>
  <c r="AA14" i="20"/>
  <c r="T14" i="20"/>
  <c r="M14" i="20"/>
  <c r="J14" i="20"/>
  <c r="I14" i="20"/>
  <c r="P14" i="20" s="1"/>
  <c r="W14" i="20" s="1"/>
  <c r="AD14" i="20" s="1"/>
  <c r="F14" i="20"/>
  <c r="AH13" i="20"/>
  <c r="AA13" i="20"/>
  <c r="T13" i="20"/>
  <c r="M13" i="20"/>
  <c r="J13" i="20"/>
  <c r="I13" i="20"/>
  <c r="P13" i="20" s="1"/>
  <c r="W13" i="20" s="1"/>
  <c r="AD13" i="20" s="1"/>
  <c r="F13" i="20"/>
  <c r="AH12" i="20"/>
  <c r="AA12" i="20"/>
  <c r="T12" i="20"/>
  <c r="M12" i="20"/>
  <c r="J12" i="20"/>
  <c r="I12" i="20"/>
  <c r="P12" i="20" s="1"/>
  <c r="W12" i="20" s="1"/>
  <c r="AD12" i="20" s="1"/>
  <c r="F12" i="20"/>
  <c r="AH11" i="20"/>
  <c r="AA11" i="20"/>
  <c r="T11" i="20"/>
  <c r="M11" i="20"/>
  <c r="J11" i="20"/>
  <c r="I11" i="20"/>
  <c r="P11" i="20" s="1"/>
  <c r="W11" i="20" s="1"/>
  <c r="AD11" i="20" s="1"/>
  <c r="F11" i="20"/>
  <c r="AH10" i="20"/>
  <c r="AA10" i="20"/>
  <c r="T10" i="20"/>
  <c r="M10" i="20"/>
  <c r="J10" i="20"/>
  <c r="I10" i="20"/>
  <c r="P10" i="20" s="1"/>
  <c r="W10" i="20" s="1"/>
  <c r="AD10" i="20" s="1"/>
  <c r="F10" i="20"/>
  <c r="AH9" i="20"/>
  <c r="AA9" i="20"/>
  <c r="T9" i="20"/>
  <c r="M9" i="20"/>
  <c r="J9" i="20"/>
  <c r="I9" i="20"/>
  <c r="P9" i="20" s="1"/>
  <c r="W9" i="20" s="1"/>
  <c r="AD9" i="20" s="1"/>
  <c r="F9" i="20"/>
  <c r="AH8" i="20"/>
  <c r="AA8" i="20"/>
  <c r="T8" i="20"/>
  <c r="P8" i="20"/>
  <c r="W8" i="20" s="1"/>
  <c r="AD8" i="20" s="1"/>
  <c r="M8" i="20"/>
  <c r="J8" i="20"/>
  <c r="I8" i="20"/>
  <c r="F8" i="20"/>
  <c r="AH7" i="20"/>
  <c r="AA7" i="20"/>
  <c r="T7" i="20"/>
  <c r="P7" i="20"/>
  <c r="W7" i="20" s="1"/>
  <c r="AD7" i="20" s="1"/>
  <c r="M7" i="20"/>
  <c r="J7" i="20"/>
  <c r="I7" i="20"/>
  <c r="F7" i="20"/>
  <c r="AG6" i="20"/>
  <c r="AH6" i="20" s="1"/>
  <c r="AI6" i="20" s="1"/>
  <c r="AI7" i="20" s="1"/>
  <c r="AI8" i="20" s="1"/>
  <c r="AA6" i="20"/>
  <c r="AB6" i="20" s="1"/>
  <c r="AB7" i="20" s="1"/>
  <c r="AB8" i="20" s="1"/>
  <c r="AB9" i="20" s="1"/>
  <c r="AB10" i="20" s="1"/>
  <c r="AB11" i="20" s="1"/>
  <c r="AB12" i="20" s="1"/>
  <c r="AB13" i="20" s="1"/>
  <c r="Z6" i="20"/>
  <c r="S6" i="20"/>
  <c r="T6" i="20" s="1"/>
  <c r="U6" i="20" s="1"/>
  <c r="M6" i="20"/>
  <c r="N6" i="20" s="1"/>
  <c r="N7" i="20" s="1"/>
  <c r="N8" i="20" s="1"/>
  <c r="N9" i="20" s="1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L6" i="20"/>
  <c r="J6" i="20"/>
  <c r="I6" i="20"/>
  <c r="P6" i="20" s="1"/>
  <c r="W6" i="20" s="1"/>
  <c r="AD6" i="20" s="1"/>
  <c r="F6" i="20"/>
  <c r="G6" i="20" s="1"/>
  <c r="G7" i="20" s="1"/>
  <c r="G8" i="20" s="1"/>
  <c r="G9" i="20" s="1"/>
  <c r="G10" i="20" s="1"/>
  <c r="G11" i="20" s="1"/>
  <c r="G12" i="20" s="1"/>
  <c r="G13" i="20" s="1"/>
  <c r="G14" i="20" s="1"/>
  <c r="G15" i="20" s="1"/>
  <c r="G16" i="20" s="1"/>
  <c r="G17" i="20" s="1"/>
  <c r="C107" i="19"/>
  <c r="C106" i="19"/>
  <c r="C105" i="19"/>
  <c r="C104" i="19"/>
  <c r="C103" i="19"/>
  <c r="C102" i="19"/>
  <c r="C101" i="19"/>
  <c r="C96" i="19"/>
  <c r="R19" i="19"/>
  <c r="W18" i="19"/>
  <c r="V18" i="19"/>
  <c r="K18" i="19"/>
  <c r="K15" i="2" s="1"/>
  <c r="F18" i="19"/>
  <c r="H15" i="2" s="1"/>
  <c r="A18" i="19"/>
  <c r="W17" i="19"/>
  <c r="V17" i="19"/>
  <c r="K17" i="19"/>
  <c r="K14" i="2" s="1"/>
  <c r="F17" i="19"/>
  <c r="H14" i="2" s="1"/>
  <c r="A17" i="19"/>
  <c r="W16" i="19"/>
  <c r="V16" i="19"/>
  <c r="K16" i="19"/>
  <c r="K13" i="2" s="1"/>
  <c r="F16" i="19"/>
  <c r="H13" i="2" s="1"/>
  <c r="A16" i="19"/>
  <c r="W15" i="19"/>
  <c r="V15" i="19"/>
  <c r="K15" i="19"/>
  <c r="K12" i="2" s="1"/>
  <c r="F15" i="19"/>
  <c r="H12" i="2" s="1"/>
  <c r="A15" i="19"/>
  <c r="K14" i="19"/>
  <c r="K11" i="2" s="1"/>
  <c r="F14" i="19"/>
  <c r="H11" i="2" s="1"/>
  <c r="A14" i="19"/>
  <c r="F8" i="19"/>
  <c r="E8" i="19"/>
  <c r="D38" i="18"/>
  <c r="A38" i="18"/>
  <c r="D37" i="18"/>
  <c r="D36" i="18"/>
  <c r="D35" i="18"/>
  <c r="D31" i="18"/>
  <c r="D29" i="18"/>
  <c r="H25" i="18"/>
  <c r="H26" i="18" s="1"/>
  <c r="F24" i="18"/>
  <c r="A24" i="18"/>
  <c r="A21" i="18"/>
  <c r="E20" i="18"/>
  <c r="D20" i="18"/>
  <c r="C20" i="18"/>
  <c r="E19" i="18"/>
  <c r="D19" i="18"/>
  <c r="C19" i="18"/>
  <c r="E10" i="18"/>
  <c r="D10" i="18"/>
  <c r="F11" i="18" s="1"/>
  <c r="E24" i="17"/>
  <c r="B24" i="17"/>
  <c r="E23" i="17"/>
  <c r="E21" i="17"/>
  <c r="E19" i="17"/>
  <c r="E18" i="17"/>
  <c r="E8" i="17"/>
  <c r="J5" i="17"/>
  <c r="I5" i="17"/>
  <c r="H5" i="17"/>
  <c r="G5" i="17"/>
  <c r="F5" i="17"/>
  <c r="D38" i="10"/>
  <c r="A38" i="10"/>
  <c r="D37" i="10"/>
  <c r="D36" i="10"/>
  <c r="D35" i="10"/>
  <c r="D31" i="10"/>
  <c r="D29" i="10"/>
  <c r="H25" i="10"/>
  <c r="H26" i="10" s="1"/>
  <c r="F24" i="10"/>
  <c r="A24" i="10"/>
  <c r="A21" i="10"/>
  <c r="E20" i="10"/>
  <c r="D20" i="10"/>
  <c r="C20" i="10"/>
  <c r="E19" i="10"/>
  <c r="D19" i="10"/>
  <c r="C19" i="10"/>
  <c r="D10" i="10"/>
  <c r="F11" i="10" s="1"/>
  <c r="D38" i="9"/>
  <c r="A38" i="9"/>
  <c r="D37" i="9"/>
  <c r="D36" i="9"/>
  <c r="D35" i="9"/>
  <c r="D31" i="9"/>
  <c r="D29" i="9"/>
  <c r="H25" i="9"/>
  <c r="H26" i="9" s="1"/>
  <c r="F24" i="9"/>
  <c r="A24" i="9"/>
  <c r="A21" i="9"/>
  <c r="E20" i="9"/>
  <c r="D20" i="9"/>
  <c r="C20" i="9"/>
  <c r="E19" i="9"/>
  <c r="D19" i="9"/>
  <c r="C19" i="9"/>
  <c r="E10" i="9"/>
  <c r="D10" i="9"/>
  <c r="F11" i="9" s="1"/>
  <c r="D38" i="8"/>
  <c r="A38" i="8"/>
  <c r="D37" i="8"/>
  <c r="D36" i="8"/>
  <c r="D35" i="8"/>
  <c r="D31" i="8"/>
  <c r="D29" i="8"/>
  <c r="H25" i="8"/>
  <c r="H26" i="8" s="1"/>
  <c r="F24" i="8"/>
  <c r="A24" i="8"/>
  <c r="A21" i="8"/>
  <c r="E20" i="8"/>
  <c r="D20" i="8"/>
  <c r="C20" i="8"/>
  <c r="E19" i="8"/>
  <c r="D19" i="8"/>
  <c r="C19" i="8"/>
  <c r="E10" i="8"/>
  <c r="D10" i="8"/>
  <c r="D38" i="7"/>
  <c r="A38" i="7"/>
  <c r="D37" i="7"/>
  <c r="D36" i="7"/>
  <c r="D35" i="7"/>
  <c r="D31" i="7"/>
  <c r="D29" i="7"/>
  <c r="H25" i="7"/>
  <c r="H26" i="7" s="1"/>
  <c r="F24" i="7"/>
  <c r="A24" i="7"/>
  <c r="A21" i="7"/>
  <c r="E20" i="7"/>
  <c r="D20" i="7"/>
  <c r="C20" i="7"/>
  <c r="E19" i="7"/>
  <c r="D19" i="7"/>
  <c r="C19" i="7"/>
  <c r="E10" i="7"/>
  <c r="D10" i="7"/>
  <c r="F11" i="7" s="1"/>
  <c r="F52" i="5"/>
  <c r="G52" i="5" s="1"/>
  <c r="H52" i="5" s="1"/>
  <c r="H50" i="5"/>
  <c r="C48" i="5"/>
  <c r="C55" i="5" s="1"/>
  <c r="C42" i="5"/>
  <c r="C41" i="5"/>
  <c r="C40" i="5"/>
  <c r="C43" i="5" s="1"/>
  <c r="C39" i="5"/>
  <c r="C35" i="5"/>
  <c r="C32" i="5"/>
  <c r="F56" i="5" s="1"/>
  <c r="G56" i="5" s="1"/>
  <c r="H56" i="5" s="1"/>
  <c r="C31" i="5"/>
  <c r="C30" i="5"/>
  <c r="C26" i="5"/>
  <c r="C21" i="5"/>
  <c r="F53" i="5" s="1"/>
  <c r="G53" i="5" s="1"/>
  <c r="H53" i="5" s="1"/>
  <c r="C20" i="5"/>
  <c r="G65" i="3"/>
  <c r="F24" i="26" s="1"/>
  <c r="B57" i="3"/>
  <c r="C14" i="5"/>
  <c r="C17" i="5" s="1"/>
  <c r="C50" i="5" s="1"/>
  <c r="F12" i="3"/>
  <c r="E10" i="10"/>
  <c r="F10" i="3"/>
  <c r="F10" i="9" s="1"/>
  <c r="F9" i="3"/>
  <c r="F10" i="8" s="1"/>
  <c r="F8" i="3"/>
  <c r="F10" i="7" s="1"/>
  <c r="A6" i="2"/>
  <c r="A45" i="22"/>
  <c r="Q15" i="2"/>
  <c r="N15" i="2"/>
  <c r="D15" i="2"/>
  <c r="C15" i="2"/>
  <c r="C18" i="19" s="1"/>
  <c r="B15" i="2"/>
  <c r="B18" i="19" s="1"/>
  <c r="B42" i="19" s="1"/>
  <c r="Q14" i="2"/>
  <c r="N14" i="2"/>
  <c r="D14" i="2"/>
  <c r="C14" i="2"/>
  <c r="C17" i="19" s="1"/>
  <c r="B14" i="2"/>
  <c r="B17" i="19" s="1"/>
  <c r="B41" i="19" s="1"/>
  <c r="Q13" i="2"/>
  <c r="N13" i="2"/>
  <c r="D13" i="2"/>
  <c r="C13" i="2"/>
  <c r="C16" i="19" s="1"/>
  <c r="B13" i="2"/>
  <c r="B16" i="19" s="1"/>
  <c r="B40" i="19" s="1"/>
  <c r="Q12" i="2"/>
  <c r="N12" i="2"/>
  <c r="C12" i="2"/>
  <c r="C15" i="19" s="1"/>
  <c r="B12" i="2"/>
  <c r="B15" i="19" s="1"/>
  <c r="B39" i="19" s="1"/>
  <c r="Q11" i="2"/>
  <c r="N11" i="2"/>
  <c r="D11" i="2"/>
  <c r="C11" i="2"/>
  <c r="C14" i="19" s="1"/>
  <c r="B11" i="2"/>
  <c r="B14" i="19" s="1"/>
  <c r="B38" i="19" s="1"/>
  <c r="F19" i="18" l="1"/>
  <c r="E18" i="18"/>
  <c r="F18" i="18" s="1"/>
  <c r="E18" i="9"/>
  <c r="F18" i="9" s="1"/>
  <c r="F19" i="9"/>
  <c r="H13" i="17" s="1"/>
  <c r="F19" i="8"/>
  <c r="E18" i="8"/>
  <c r="F18" i="8" s="1"/>
  <c r="F19" i="7"/>
  <c r="F13" i="17" s="1"/>
  <c r="E18" i="7"/>
  <c r="F18" i="7" s="1"/>
  <c r="E18" i="10"/>
  <c r="F18" i="10" s="1"/>
  <c r="F19" i="10"/>
  <c r="AB14" i="20"/>
  <c r="AB15" i="20" s="1"/>
  <c r="AB16" i="20" s="1"/>
  <c r="AB17" i="20" s="1"/>
  <c r="AB18" i="20" s="1"/>
  <c r="AB19" i="20" s="1"/>
  <c r="AI9" i="20"/>
  <c r="AI10" i="20" s="1"/>
  <c r="AI11" i="20" s="1"/>
  <c r="AI12" i="20" s="1"/>
  <c r="AI13" i="20" s="1"/>
  <c r="AI14" i="20" s="1"/>
  <c r="AI15" i="20" s="1"/>
  <c r="AI16" i="20" s="1"/>
  <c r="AI17" i="20" s="1"/>
  <c r="AI18" i="20" s="1"/>
  <c r="AI19" i="20" s="1"/>
  <c r="U7" i="20"/>
  <c r="U8" i="20" s="1"/>
  <c r="U9" i="20" s="1"/>
  <c r="U10" i="20" s="1"/>
  <c r="U11" i="20" s="1"/>
  <c r="U12" i="20" s="1"/>
  <c r="U13" i="20" s="1"/>
  <c r="U14" i="20" s="1"/>
  <c r="U15" i="20" s="1"/>
  <c r="U16" i="20" s="1"/>
  <c r="U17" i="20" s="1"/>
  <c r="U18" i="20" s="1"/>
  <c r="U19" i="20" s="1"/>
  <c r="F23" i="19"/>
  <c r="H42" i="10"/>
  <c r="H42" i="9"/>
  <c r="H42" i="8"/>
  <c r="H42" i="18"/>
  <c r="A7" i="7"/>
  <c r="A40" i="7" s="1"/>
  <c r="H29" i="7"/>
  <c r="H30" i="7" s="1"/>
  <c r="H31" i="7" s="1"/>
  <c r="H32" i="7" s="1"/>
  <c r="H33" i="7" s="1"/>
  <c r="B52" i="19"/>
  <c r="B53" i="19"/>
  <c r="B49" i="19"/>
  <c r="B51" i="19"/>
  <c r="B50" i="19"/>
  <c r="H10" i="3"/>
  <c r="N16" i="2"/>
  <c r="K16" i="2"/>
  <c r="F11" i="3"/>
  <c r="D32" i="18"/>
  <c r="M10" i="7"/>
  <c r="L10" i="9"/>
  <c r="K10" i="9"/>
  <c r="H29" i="9"/>
  <c r="H30" i="9" s="1"/>
  <c r="H31" i="9" s="1"/>
  <c r="H32" i="9" s="1"/>
  <c r="H33" i="9" s="1"/>
  <c r="A7" i="10"/>
  <c r="A41" i="10" s="1"/>
  <c r="D32" i="8"/>
  <c r="M10" i="8"/>
  <c r="M11" i="8" s="1"/>
  <c r="K10" i="8"/>
  <c r="K11" i="8" s="1"/>
  <c r="M10" i="9"/>
  <c r="K10" i="7"/>
  <c r="L10" i="7"/>
  <c r="H29" i="10"/>
  <c r="H30" i="10" s="1"/>
  <c r="H31" i="10" s="1"/>
  <c r="H32" i="10" s="1"/>
  <c r="H33" i="10" s="1"/>
  <c r="L10" i="8"/>
  <c r="L11" i="8" s="1"/>
  <c r="D39" i="8"/>
  <c r="D32" i="9"/>
  <c r="D32" i="10"/>
  <c r="F12" i="9"/>
  <c r="D32" i="7"/>
  <c r="H29" i="8"/>
  <c r="H30" i="8" s="1"/>
  <c r="H31" i="8" s="1"/>
  <c r="H32" i="8" s="1"/>
  <c r="H33" i="8" s="1"/>
  <c r="H29" i="18"/>
  <c r="H30" i="18" s="1"/>
  <c r="H31" i="18" s="1"/>
  <c r="H32" i="18" s="1"/>
  <c r="H33" i="18" s="1"/>
  <c r="D39" i="10"/>
  <c r="D39" i="18"/>
  <c r="F20" i="8"/>
  <c r="I20" i="8" s="1"/>
  <c r="H27" i="7"/>
  <c r="F12" i="7"/>
  <c r="H27" i="9"/>
  <c r="H16" i="2"/>
  <c r="H8" i="3"/>
  <c r="F10" i="18"/>
  <c r="F20" i="18" s="1"/>
  <c r="H12" i="3"/>
  <c r="C34" i="5"/>
  <c r="C36" i="5" s="1"/>
  <c r="C53" i="5" s="1"/>
  <c r="C22" i="5"/>
  <c r="F51" i="5"/>
  <c r="E9" i="17"/>
  <c r="H49" i="5"/>
  <c r="C27" i="5"/>
  <c r="C28" i="5" s="1"/>
  <c r="C52" i="5" s="1"/>
  <c r="C44" i="5"/>
  <c r="C45" i="5" s="1"/>
  <c r="C54" i="5" s="1"/>
  <c r="C23" i="5"/>
  <c r="Q16" i="2"/>
  <c r="D16" i="2"/>
  <c r="F20" i="7"/>
  <c r="H9" i="3"/>
  <c r="F20" i="9"/>
  <c r="G18" i="20"/>
  <c r="G19" i="20" s="1"/>
  <c r="D39" i="7"/>
  <c r="A5" i="18"/>
  <c r="A5" i="8"/>
  <c r="A5" i="9"/>
  <c r="A5" i="7"/>
  <c r="A5" i="10"/>
  <c r="A7" i="8"/>
  <c r="F11" i="8"/>
  <c r="F12" i="8" s="1"/>
  <c r="D39" i="9"/>
  <c r="H27" i="8"/>
  <c r="A7" i="9"/>
  <c r="H27" i="10"/>
  <c r="E20" i="17"/>
  <c r="A7" i="18"/>
  <c r="H27" i="18"/>
  <c r="G7" i="17" l="1"/>
  <c r="G9" i="17" s="1"/>
  <c r="I9" i="3"/>
  <c r="J7" i="17"/>
  <c r="J9" i="17" s="1"/>
  <c r="I12" i="3"/>
  <c r="H7" i="17"/>
  <c r="H8" i="17" s="1"/>
  <c r="I10" i="3"/>
  <c r="F7" i="17"/>
  <c r="F8" i="17" s="1"/>
  <c r="I8" i="3"/>
  <c r="G12" i="26"/>
  <c r="B10" i="10"/>
  <c r="A41" i="7"/>
  <c r="B10" i="7"/>
  <c r="M11" i="9"/>
  <c r="M12" i="9" s="1"/>
  <c r="M11" i="7"/>
  <c r="M12" i="7" s="1"/>
  <c r="L11" i="7"/>
  <c r="L12" i="7" s="1"/>
  <c r="K11" i="9"/>
  <c r="K12" i="9" s="1"/>
  <c r="K11" i="7"/>
  <c r="K12" i="7" s="1"/>
  <c r="L11" i="9"/>
  <c r="L12" i="9" s="1"/>
  <c r="A40" i="10"/>
  <c r="F10" i="10"/>
  <c r="H11" i="3"/>
  <c r="G19" i="9"/>
  <c r="G25" i="9" s="1"/>
  <c r="G26" i="9" s="1"/>
  <c r="G29" i="9" s="1"/>
  <c r="K12" i="8"/>
  <c r="H40" i="18"/>
  <c r="H36" i="18" s="1"/>
  <c r="M12" i="8"/>
  <c r="L12" i="8"/>
  <c r="L10" i="18"/>
  <c r="L11" i="18" s="1"/>
  <c r="K10" i="18"/>
  <c r="K11" i="18" s="1"/>
  <c r="M10" i="18"/>
  <c r="G14" i="17"/>
  <c r="H40" i="10"/>
  <c r="H37" i="10" s="1"/>
  <c r="H40" i="8"/>
  <c r="H36" i="8" s="1"/>
  <c r="G19" i="7"/>
  <c r="G25" i="7" s="1"/>
  <c r="G26" i="7" s="1"/>
  <c r="G29" i="7" s="1"/>
  <c r="F12" i="18"/>
  <c r="H40" i="9"/>
  <c r="H41" i="9" s="1"/>
  <c r="G19" i="10"/>
  <c r="G25" i="10" s="1"/>
  <c r="I13" i="17"/>
  <c r="A40" i="8"/>
  <c r="B10" i="8"/>
  <c r="A41" i="8"/>
  <c r="H40" i="7"/>
  <c r="I25" i="8"/>
  <c r="A40" i="18"/>
  <c r="B10" i="18"/>
  <c r="A41" i="18"/>
  <c r="A40" i="9"/>
  <c r="A41" i="9"/>
  <c r="B10" i="9"/>
  <c r="G13" i="17"/>
  <c r="G19" i="8"/>
  <c r="G25" i="8" s="1"/>
  <c r="H14" i="17"/>
  <c r="H16" i="17" s="1"/>
  <c r="H30" i="17" s="1"/>
  <c r="I20" i="9"/>
  <c r="F54" i="5"/>
  <c r="G51" i="5"/>
  <c r="J14" i="17"/>
  <c r="I20" i="18"/>
  <c r="E10" i="17"/>
  <c r="G19" i="18"/>
  <c r="G25" i="18" s="1"/>
  <c r="J13" i="17"/>
  <c r="F14" i="17"/>
  <c r="F16" i="17" s="1"/>
  <c r="F30" i="17" s="1"/>
  <c r="I20" i="7"/>
  <c r="C24" i="5"/>
  <c r="C51" i="5" s="1"/>
  <c r="C56" i="5" s="1"/>
  <c r="F9" i="17" l="1"/>
  <c r="F10" i="17" s="1"/>
  <c r="F11" i="17" s="1"/>
  <c r="F29" i="17" s="1"/>
  <c r="F31" i="17" s="1"/>
  <c r="H9" i="17"/>
  <c r="H10" i="17" s="1"/>
  <c r="H11" i="17" s="1"/>
  <c r="H29" i="17" s="1"/>
  <c r="H31" i="17" s="1"/>
  <c r="H18" i="17" s="1"/>
  <c r="G8" i="17"/>
  <c r="G10" i="17" s="1"/>
  <c r="G11" i="17" s="1"/>
  <c r="G29" i="17" s="1"/>
  <c r="J8" i="17"/>
  <c r="I7" i="17"/>
  <c r="I8" i="17" s="1"/>
  <c r="I11" i="3"/>
  <c r="G13" i="26"/>
  <c r="G14" i="26" s="1"/>
  <c r="G15" i="26" s="1"/>
  <c r="J16" i="17"/>
  <c r="J30" i="17" s="1"/>
  <c r="M11" i="18"/>
  <c r="M12" i="18" s="1"/>
  <c r="F39" i="2"/>
  <c r="H35" i="10"/>
  <c r="G23" i="3"/>
  <c r="E13" i="9" s="1"/>
  <c r="H41" i="18"/>
  <c r="F12" i="10"/>
  <c r="F20" i="10"/>
  <c r="M10" i="10"/>
  <c r="K10" i="10"/>
  <c r="L10" i="10"/>
  <c r="H36" i="10"/>
  <c r="H35" i="18"/>
  <c r="H38" i="18"/>
  <c r="H37" i="18"/>
  <c r="H35" i="8"/>
  <c r="J10" i="17"/>
  <c r="J11" i="17" s="1"/>
  <c r="J29" i="17" s="1"/>
  <c r="H37" i="9"/>
  <c r="H38" i="9"/>
  <c r="H36" i="9"/>
  <c r="G16" i="17"/>
  <c r="G30" i="17" s="1"/>
  <c r="H38" i="8"/>
  <c r="H35" i="9"/>
  <c r="H41" i="10"/>
  <c r="H37" i="8"/>
  <c r="L12" i="18"/>
  <c r="H41" i="8"/>
  <c r="H38" i="10"/>
  <c r="K12" i="18"/>
  <c r="I25" i="7"/>
  <c r="G26" i="10"/>
  <c r="G29" i="10" s="1"/>
  <c r="G26" i="18"/>
  <c r="G29" i="18" s="1"/>
  <c r="I25" i="18"/>
  <c r="I25" i="9"/>
  <c r="I26" i="8"/>
  <c r="I27" i="8" s="1"/>
  <c r="G26" i="8"/>
  <c r="G29" i="8" s="1"/>
  <c r="G30" i="7"/>
  <c r="G31" i="7" s="1"/>
  <c r="G32" i="7" s="1"/>
  <c r="G33" i="7" s="1"/>
  <c r="G40" i="7" s="1"/>
  <c r="G54" i="5"/>
  <c r="H51" i="5"/>
  <c r="H54" i="5" s="1"/>
  <c r="F55" i="5"/>
  <c r="F57" i="5" s="1"/>
  <c r="F59" i="5" s="1"/>
  <c r="H35" i="7"/>
  <c r="H41" i="7"/>
  <c r="H36" i="7"/>
  <c r="H37" i="7"/>
  <c r="G30" i="9"/>
  <c r="G31" i="9" s="1"/>
  <c r="G32" i="9" s="1"/>
  <c r="G33" i="9" s="1"/>
  <c r="G40" i="9" s="1"/>
  <c r="I9" i="17" l="1"/>
  <c r="I10" i="17" s="1"/>
  <c r="I11" i="17" s="1"/>
  <c r="I29" i="17" s="1"/>
  <c r="G16" i="26"/>
  <c r="J31" i="17"/>
  <c r="J18" i="17" s="1"/>
  <c r="E13" i="8"/>
  <c r="L13" i="8" s="1"/>
  <c r="L14" i="8" s="1"/>
  <c r="L26" i="8" s="1"/>
  <c r="L29" i="8" s="1"/>
  <c r="L30" i="8" s="1"/>
  <c r="L31" i="8" s="1"/>
  <c r="E13" i="18"/>
  <c r="F13" i="18" s="1"/>
  <c r="F14" i="18" s="1"/>
  <c r="E13" i="7"/>
  <c r="M13" i="7" s="1"/>
  <c r="M14" i="7" s="1"/>
  <c r="M26" i="7" s="1"/>
  <c r="M29" i="7" s="1"/>
  <c r="M30" i="7" s="1"/>
  <c r="M31" i="7" s="1"/>
  <c r="L11" i="10"/>
  <c r="L12" i="10" s="1"/>
  <c r="M11" i="10"/>
  <c r="M12" i="10" s="1"/>
  <c r="K11" i="10"/>
  <c r="K12" i="10" s="1"/>
  <c r="E13" i="10"/>
  <c r="F13" i="10" s="1"/>
  <c r="F14" i="10" s="1"/>
  <c r="H39" i="10"/>
  <c r="H39" i="8"/>
  <c r="H39" i="18"/>
  <c r="I20" i="10"/>
  <c r="I25" i="10" s="1"/>
  <c r="I26" i="10" s="1"/>
  <c r="I14" i="17"/>
  <c r="I16" i="17" s="1"/>
  <c r="I30" i="17" s="1"/>
  <c r="H39" i="9"/>
  <c r="G31" i="17"/>
  <c r="G18" i="17" s="1"/>
  <c r="F13" i="9"/>
  <c r="F14" i="9" s="1"/>
  <c r="K13" i="9"/>
  <c r="K14" i="9" s="1"/>
  <c r="K26" i="9" s="1"/>
  <c r="K29" i="9" s="1"/>
  <c r="L13" i="9"/>
  <c r="L14" i="9" s="1"/>
  <c r="L26" i="9" s="1"/>
  <c r="M13" i="9"/>
  <c r="M14" i="9" s="1"/>
  <c r="M26" i="9" s="1"/>
  <c r="H39" i="7"/>
  <c r="G37" i="9"/>
  <c r="G41" i="9"/>
  <c r="G38" i="9"/>
  <c r="G35" i="9"/>
  <c r="P13" i="2"/>
  <c r="R13" i="2" s="1"/>
  <c r="G36" i="9"/>
  <c r="G37" i="7"/>
  <c r="G38" i="7"/>
  <c r="G35" i="7"/>
  <c r="P11" i="2"/>
  <c r="G36" i="7"/>
  <c r="G41" i="7"/>
  <c r="G30" i="8"/>
  <c r="G31" i="8" s="1"/>
  <c r="G32" i="8" s="1"/>
  <c r="G33" i="8" s="1"/>
  <c r="G40" i="8" s="1"/>
  <c r="F18" i="17"/>
  <c r="G30" i="10"/>
  <c r="G31" i="10" s="1"/>
  <c r="G32" i="10" s="1"/>
  <c r="G33" i="10" s="1"/>
  <c r="G40" i="10" s="1"/>
  <c r="I26" i="18"/>
  <c r="G30" i="18"/>
  <c r="G31" i="18" s="1"/>
  <c r="G32" i="18" s="1"/>
  <c r="G33" i="18" s="1"/>
  <c r="G40" i="18" s="1"/>
  <c r="I26" i="7"/>
  <c r="I26" i="9"/>
  <c r="H55" i="5"/>
  <c r="H57" i="5" s="1"/>
  <c r="H59" i="5" s="1"/>
  <c r="H19" i="17"/>
  <c r="H20" i="17" s="1"/>
  <c r="G55" i="5"/>
  <c r="G57" i="5" s="1"/>
  <c r="G59" i="5" s="1"/>
  <c r="I29" i="8"/>
  <c r="I30" i="8" s="1"/>
  <c r="I31" i="8" s="1"/>
  <c r="I31" i="17" l="1"/>
  <c r="I18" i="17" s="1"/>
  <c r="I19" i="17" s="1"/>
  <c r="I20" i="17" s="1"/>
  <c r="F13" i="8"/>
  <c r="F14" i="8" s="1"/>
  <c r="K13" i="18"/>
  <c r="K14" i="18" s="1"/>
  <c r="K26" i="18" s="1"/>
  <c r="K29" i="18" s="1"/>
  <c r="G17" i="26"/>
  <c r="G24" i="26" s="1"/>
  <c r="K13" i="7"/>
  <c r="K14" i="7" s="1"/>
  <c r="K26" i="7" s="1"/>
  <c r="K29" i="7" s="1"/>
  <c r="F13" i="7"/>
  <c r="F14" i="7" s="1"/>
  <c r="K13" i="8"/>
  <c r="K14" i="8" s="1"/>
  <c r="K26" i="8" s="1"/>
  <c r="K29" i="8" s="1"/>
  <c r="M13" i="8"/>
  <c r="M14" i="8" s="1"/>
  <c r="M26" i="8" s="1"/>
  <c r="M29" i="8" s="1"/>
  <c r="M30" i="8" s="1"/>
  <c r="M31" i="8" s="1"/>
  <c r="M32" i="8" s="1"/>
  <c r="M33" i="8" s="1"/>
  <c r="M40" i="8" s="1"/>
  <c r="L13" i="7"/>
  <c r="L14" i="7" s="1"/>
  <c r="L26" i="7" s="1"/>
  <c r="L29" i="7" s="1"/>
  <c r="L30" i="7" s="1"/>
  <c r="L31" i="7" s="1"/>
  <c r="M13" i="18"/>
  <c r="M14" i="18" s="1"/>
  <c r="M26" i="18" s="1"/>
  <c r="M29" i="18" s="1"/>
  <c r="M30" i="18" s="1"/>
  <c r="M31" i="18" s="1"/>
  <c r="L13" i="18"/>
  <c r="L14" i="18" s="1"/>
  <c r="L26" i="18" s="1"/>
  <c r="L29" i="18" s="1"/>
  <c r="L30" i="18" s="1"/>
  <c r="L31" i="18" s="1"/>
  <c r="K13" i="10"/>
  <c r="K14" i="10" s="1"/>
  <c r="K26" i="10" s="1"/>
  <c r="K29" i="10" s="1"/>
  <c r="M13" i="10"/>
  <c r="M14" i="10" s="1"/>
  <c r="M26" i="10" s="1"/>
  <c r="M29" i="10" s="1"/>
  <c r="M30" i="10" s="1"/>
  <c r="M31" i="10" s="1"/>
  <c r="M32" i="10" s="1"/>
  <c r="M33" i="10" s="1"/>
  <c r="M40" i="10" s="1"/>
  <c r="G42" i="9"/>
  <c r="L13" i="10"/>
  <c r="L14" i="10" s="1"/>
  <c r="L26" i="10" s="1"/>
  <c r="L29" i="10" s="1"/>
  <c r="L30" i="10" s="1"/>
  <c r="L31" i="10" s="1"/>
  <c r="L29" i="9"/>
  <c r="L30" i="9" s="1"/>
  <c r="L31" i="9" s="1"/>
  <c r="M29" i="9"/>
  <c r="M30" i="9" s="1"/>
  <c r="M31" i="9" s="1"/>
  <c r="K30" i="9"/>
  <c r="K31" i="9" s="1"/>
  <c r="G38" i="10"/>
  <c r="G35" i="10"/>
  <c r="G41" i="10"/>
  <c r="G42" i="10" s="1"/>
  <c r="G36" i="10"/>
  <c r="P14" i="2"/>
  <c r="R14" i="2" s="1"/>
  <c r="G37" i="10"/>
  <c r="G41" i="8"/>
  <c r="G38" i="8"/>
  <c r="G35" i="8"/>
  <c r="P12" i="2"/>
  <c r="R12" i="2" s="1"/>
  <c r="G36" i="8"/>
  <c r="G37" i="8"/>
  <c r="T16" i="19"/>
  <c r="T15" i="19"/>
  <c r="T18" i="19"/>
  <c r="T14" i="19"/>
  <c r="T17" i="19"/>
  <c r="G38" i="18"/>
  <c r="G35" i="18"/>
  <c r="G41" i="18"/>
  <c r="G36" i="18"/>
  <c r="G37" i="18"/>
  <c r="P15" i="2"/>
  <c r="R15" i="2" s="1"/>
  <c r="H25" i="17"/>
  <c r="H32" i="17" s="1"/>
  <c r="H33" i="17" s="1"/>
  <c r="R11" i="2"/>
  <c r="J19" i="17"/>
  <c r="J20" i="17" s="1"/>
  <c r="I29" i="7"/>
  <c r="I30" i="7" s="1"/>
  <c r="I31" i="7" s="1"/>
  <c r="I27" i="7"/>
  <c r="I29" i="18"/>
  <c r="I30" i="18" s="1"/>
  <c r="I31" i="18" s="1"/>
  <c r="I27" i="18"/>
  <c r="G39" i="7"/>
  <c r="F19" i="17"/>
  <c r="F20" i="17" s="1"/>
  <c r="G39" i="9"/>
  <c r="I29" i="9"/>
  <c r="I30" i="9" s="1"/>
  <c r="I31" i="9" s="1"/>
  <c r="I27" i="9"/>
  <c r="I29" i="10"/>
  <c r="I27" i="10"/>
  <c r="I32" i="8"/>
  <c r="I33" i="8" s="1"/>
  <c r="I40" i="8" s="1"/>
  <c r="G19" i="17"/>
  <c r="G20" i="17" s="1"/>
  <c r="K30" i="18" l="1"/>
  <c r="K31" i="18" s="1"/>
  <c r="G21" i="26"/>
  <c r="F22" i="2"/>
  <c r="E38" i="2" s="1"/>
  <c r="G20" i="26"/>
  <c r="G19" i="26"/>
  <c r="G22" i="26"/>
  <c r="K30" i="8"/>
  <c r="K31" i="8" s="1"/>
  <c r="K32" i="8" s="1"/>
  <c r="K33" i="8" s="1"/>
  <c r="K40" i="8" s="1"/>
  <c r="M32" i="18"/>
  <c r="M33" i="18" s="1"/>
  <c r="M40" i="18" s="1"/>
  <c r="M35" i="18" s="1"/>
  <c r="K30" i="7"/>
  <c r="K31" i="7" s="1"/>
  <c r="G42" i="8"/>
  <c r="G42" i="18"/>
  <c r="J43" i="19"/>
  <c r="E89" i="19" s="1"/>
  <c r="K30" i="10"/>
  <c r="K31" i="10" s="1"/>
  <c r="K32" i="10" s="1"/>
  <c r="K33" i="10" s="1"/>
  <c r="K40" i="10" s="1"/>
  <c r="M37" i="8"/>
  <c r="M36" i="8"/>
  <c r="M35" i="8"/>
  <c r="M38" i="8"/>
  <c r="G25" i="17"/>
  <c r="G32" i="17" s="1"/>
  <c r="G33" i="17" s="1"/>
  <c r="G24" i="17" s="1"/>
  <c r="M37" i="10"/>
  <c r="M36" i="10"/>
  <c r="M35" i="10"/>
  <c r="M38" i="10"/>
  <c r="I25" i="17"/>
  <c r="I32" i="17" s="1"/>
  <c r="I33" i="17" s="1"/>
  <c r="I22" i="17" s="1"/>
  <c r="M32" i="9"/>
  <c r="M33" i="9" s="1"/>
  <c r="M40" i="9" s="1"/>
  <c r="K32" i="9"/>
  <c r="K33" i="9" s="1"/>
  <c r="K40" i="9" s="1"/>
  <c r="L32" i="18"/>
  <c r="L33" i="18" s="1"/>
  <c r="L40" i="18" s="1"/>
  <c r="M32" i="7"/>
  <c r="M33" i="7" s="1"/>
  <c r="M40" i="7" s="1"/>
  <c r="L32" i="8"/>
  <c r="L33" i="8" s="1"/>
  <c r="L40" i="8" s="1"/>
  <c r="G39" i="8"/>
  <c r="J25" i="17"/>
  <c r="J32" i="17" s="1"/>
  <c r="J33" i="17" s="1"/>
  <c r="J24" i="17" s="1"/>
  <c r="I36" i="8"/>
  <c r="I37" i="8"/>
  <c r="I38" i="8"/>
  <c r="I41" i="8"/>
  <c r="G12" i="2" s="1"/>
  <c r="I12" i="2" s="1"/>
  <c r="I35" i="8"/>
  <c r="I32" i="7"/>
  <c r="I33" i="7" s="1"/>
  <c r="I40" i="7" s="1"/>
  <c r="H24" i="17"/>
  <c r="H22" i="17"/>
  <c r="M13" i="2"/>
  <c r="O13" i="2" s="1"/>
  <c r="H21" i="17"/>
  <c r="H23" i="17"/>
  <c r="G39" i="18"/>
  <c r="T19" i="19"/>
  <c r="W14" i="19"/>
  <c r="I32" i="18"/>
  <c r="I33" i="18" s="1"/>
  <c r="I40" i="18" s="1"/>
  <c r="R16" i="2"/>
  <c r="M19" i="19" s="1"/>
  <c r="G39" i="10"/>
  <c r="I30" i="10"/>
  <c r="I31" i="10" s="1"/>
  <c r="I32" i="10" s="1"/>
  <c r="I33" i="10" s="1"/>
  <c r="I40" i="10" s="1"/>
  <c r="I32" i="9"/>
  <c r="I33" i="9" s="1"/>
  <c r="I40" i="9" s="1"/>
  <c r="F25" i="17"/>
  <c r="F32" i="17" s="1"/>
  <c r="F33" i="17" s="1"/>
  <c r="P16" i="2"/>
  <c r="F38" i="2" l="1"/>
  <c r="G23" i="26"/>
  <c r="I24" i="17"/>
  <c r="M36" i="18"/>
  <c r="M37" i="18"/>
  <c r="M38" i="18"/>
  <c r="M14" i="2"/>
  <c r="O14" i="2" s="1"/>
  <c r="I21" i="17"/>
  <c r="I23" i="17"/>
  <c r="G21" i="17"/>
  <c r="J21" i="17"/>
  <c r="M39" i="10"/>
  <c r="L37" i="18"/>
  <c r="L36" i="18"/>
  <c r="L35" i="18"/>
  <c r="L38" i="18"/>
  <c r="K37" i="9"/>
  <c r="K35" i="9"/>
  <c r="K36" i="9"/>
  <c r="M39" i="8"/>
  <c r="K37" i="10"/>
  <c r="K35" i="10"/>
  <c r="K36" i="10"/>
  <c r="K35" i="8"/>
  <c r="K36" i="8"/>
  <c r="K37" i="8"/>
  <c r="G23" i="17"/>
  <c r="M12" i="2"/>
  <c r="O12" i="2" s="1"/>
  <c r="L37" i="8"/>
  <c r="L36" i="8"/>
  <c r="L35" i="8"/>
  <c r="L38" i="8"/>
  <c r="M41" i="9"/>
  <c r="M37" i="9"/>
  <c r="M36" i="9"/>
  <c r="M35" i="9"/>
  <c r="M38" i="9"/>
  <c r="G22" i="17"/>
  <c r="M37" i="7"/>
  <c r="M36" i="7"/>
  <c r="M35" i="7"/>
  <c r="J23" i="17"/>
  <c r="M15" i="2"/>
  <c r="O15" i="2" s="1"/>
  <c r="I39" i="8"/>
  <c r="J22" i="17"/>
  <c r="M41" i="18"/>
  <c r="K38" i="10"/>
  <c r="K41" i="10"/>
  <c r="K41" i="9"/>
  <c r="K38" i="9"/>
  <c r="K32" i="18"/>
  <c r="K33" i="18" s="1"/>
  <c r="K40" i="18" s="1"/>
  <c r="L32" i="9"/>
  <c r="L33" i="9" s="1"/>
  <c r="L40" i="9" s="1"/>
  <c r="L32" i="10"/>
  <c r="L33" i="10" s="1"/>
  <c r="L40" i="10" s="1"/>
  <c r="M41" i="8"/>
  <c r="M41" i="7"/>
  <c r="M41" i="10"/>
  <c r="K32" i="7"/>
  <c r="K33" i="7" s="1"/>
  <c r="K40" i="7" s="1"/>
  <c r="K41" i="8"/>
  <c r="K38" i="8"/>
  <c r="I36" i="10"/>
  <c r="I37" i="10"/>
  <c r="I38" i="10"/>
  <c r="I41" i="10"/>
  <c r="G14" i="2" s="1"/>
  <c r="I14" i="2" s="1"/>
  <c r="I35" i="10"/>
  <c r="I35" i="7"/>
  <c r="I41" i="7"/>
  <c r="G11" i="2" s="1"/>
  <c r="I11" i="2" s="1"/>
  <c r="I36" i="7"/>
  <c r="I37" i="7"/>
  <c r="F22" i="17"/>
  <c r="F24" i="17"/>
  <c r="F23" i="17"/>
  <c r="M11" i="2"/>
  <c r="F21" i="17"/>
  <c r="I38" i="9"/>
  <c r="I35" i="9"/>
  <c r="I41" i="9"/>
  <c r="G13" i="2" s="1"/>
  <c r="I13" i="2" s="1"/>
  <c r="I36" i="9"/>
  <c r="I37" i="9"/>
  <c r="I36" i="18"/>
  <c r="I38" i="18"/>
  <c r="I41" i="18"/>
  <c r="G15" i="2" s="1"/>
  <c r="I15" i="2" s="1"/>
  <c r="I37" i="18"/>
  <c r="I35" i="18"/>
  <c r="H41" i="19" l="1"/>
  <c r="F52" i="19" s="1"/>
  <c r="Z14" i="2"/>
  <c r="M39" i="18"/>
  <c r="L43" i="19"/>
  <c r="E90" i="19" s="1"/>
  <c r="Z13" i="2"/>
  <c r="H40" i="19"/>
  <c r="F51" i="19" s="1"/>
  <c r="Z11" i="2"/>
  <c r="H38" i="19"/>
  <c r="Z15" i="2"/>
  <c r="H42" i="19"/>
  <c r="F53" i="19" s="1"/>
  <c r="H39" i="19"/>
  <c r="F50" i="19" s="1"/>
  <c r="Z12" i="2"/>
  <c r="D40" i="19"/>
  <c r="D51" i="19" s="1"/>
  <c r="V13" i="2"/>
  <c r="V14" i="2"/>
  <c r="D41" i="19"/>
  <c r="D52" i="19" s="1"/>
  <c r="D39" i="19"/>
  <c r="D50" i="19" s="1"/>
  <c r="V12" i="2"/>
  <c r="M39" i="9"/>
  <c r="L37" i="10"/>
  <c r="L36" i="10"/>
  <c r="L35" i="10"/>
  <c r="L38" i="10"/>
  <c r="M39" i="7"/>
  <c r="L37" i="9"/>
  <c r="L36" i="9"/>
  <c r="L35" i="9"/>
  <c r="L38" i="9"/>
  <c r="K37" i="18"/>
  <c r="K35" i="18"/>
  <c r="K36" i="18"/>
  <c r="K35" i="7"/>
  <c r="K36" i="7"/>
  <c r="K37" i="7"/>
  <c r="L39" i="8"/>
  <c r="L39" i="18"/>
  <c r="K39" i="9"/>
  <c r="K39" i="8"/>
  <c r="K39" i="10"/>
  <c r="K41" i="7"/>
  <c r="K38" i="18"/>
  <c r="K41" i="18"/>
  <c r="I16" i="2"/>
  <c r="H19" i="19" s="1"/>
  <c r="I39" i="7"/>
  <c r="M16" i="2"/>
  <c r="O11" i="2"/>
  <c r="O16" i="2" s="1"/>
  <c r="L19" i="19" s="1"/>
  <c r="I39" i="18"/>
  <c r="I39" i="9"/>
  <c r="I39" i="10"/>
  <c r="Z16" i="2" l="1"/>
  <c r="F49" i="19"/>
  <c r="F54" i="19" s="1"/>
  <c r="H43" i="19"/>
  <c r="D38" i="19"/>
  <c r="V11" i="2"/>
  <c r="D42" i="19"/>
  <c r="D53" i="19" s="1"/>
  <c r="V15" i="2"/>
  <c r="L39" i="10"/>
  <c r="L39" i="9"/>
  <c r="K39" i="18"/>
  <c r="L41" i="10"/>
  <c r="L41" i="18"/>
  <c r="L41" i="9"/>
  <c r="K39" i="7"/>
  <c r="L41" i="8"/>
  <c r="E88" i="19" l="1"/>
  <c r="Z17" i="2"/>
  <c r="F36" i="2" s="1"/>
  <c r="E35" i="2"/>
  <c r="X12" i="2"/>
  <c r="AE12" i="2" s="1"/>
  <c r="F39" i="19"/>
  <c r="E50" i="19" s="1"/>
  <c r="X14" i="2"/>
  <c r="AE14" i="2" s="1"/>
  <c r="F41" i="19"/>
  <c r="E52" i="19" s="1"/>
  <c r="F40" i="19"/>
  <c r="E51" i="19" s="1"/>
  <c r="X13" i="2"/>
  <c r="AE13" i="2" s="1"/>
  <c r="F42" i="19"/>
  <c r="E53" i="19" s="1"/>
  <c r="X15" i="2"/>
  <c r="AE15" i="2" s="1"/>
  <c r="V16" i="2"/>
  <c r="D49" i="19"/>
  <c r="D54" i="19" s="1"/>
  <c r="E86" i="19" s="1"/>
  <c r="D43" i="19"/>
  <c r="F35" i="2" l="1"/>
  <c r="V17" i="2"/>
  <c r="E33" i="2"/>
  <c r="F33" i="2" l="1"/>
  <c r="L32" i="7"/>
  <c r="L33" i="7" s="1"/>
  <c r="L40" i="7" s="1"/>
  <c r="L35" i="7" l="1"/>
  <c r="L37" i="7"/>
  <c r="L36" i="7"/>
  <c r="L41" i="7"/>
  <c r="D21" i="10" l="1"/>
  <c r="F21" i="10" s="1"/>
  <c r="F22" i="8"/>
  <c r="F22" i="9"/>
  <c r="F22" i="7"/>
  <c r="F22" i="10"/>
  <c r="F22" i="18"/>
  <c r="F38" i="19"/>
  <c r="X11" i="2"/>
  <c r="AE11" i="2" s="1"/>
  <c r="L39" i="7"/>
  <c r="D21" i="7"/>
  <c r="F21" i="7" s="1"/>
  <c r="D21" i="8"/>
  <c r="F21" i="8" s="1"/>
  <c r="D21" i="18"/>
  <c r="F21" i="18" s="1"/>
  <c r="D21" i="9"/>
  <c r="F21" i="9" s="1"/>
  <c r="F25" i="10" l="1"/>
  <c r="F26" i="10" s="1"/>
  <c r="F29" i="10" s="1"/>
  <c r="E31" i="10" s="1"/>
  <c r="F31" i="10" s="1"/>
  <c r="F25" i="7"/>
  <c r="F26" i="7" s="1"/>
  <c r="F29" i="7" s="1"/>
  <c r="E31" i="7" s="1"/>
  <c r="F31" i="7" s="1"/>
  <c r="F25" i="9"/>
  <c r="F26" i="9" s="1"/>
  <c r="F29" i="9" s="1"/>
  <c r="F30" i="9" s="1"/>
  <c r="F25" i="18"/>
  <c r="F26" i="18" s="1"/>
  <c r="F29" i="18" s="1"/>
  <c r="F25" i="8"/>
  <c r="F26" i="8" s="1"/>
  <c r="F29" i="8" s="1"/>
  <c r="E31" i="8" s="1"/>
  <c r="F31" i="8" s="1"/>
  <c r="AE16" i="2"/>
  <c r="AE17" i="2" s="1"/>
  <c r="X16" i="2"/>
  <c r="F43" i="19"/>
  <c r="E49" i="19"/>
  <c r="E54" i="19" s="1"/>
  <c r="E87" i="19" s="1"/>
  <c r="X17" i="2" l="1"/>
  <c r="E34" i="2"/>
  <c r="F30" i="8"/>
  <c r="F30" i="7"/>
  <c r="E31" i="9"/>
  <c r="F31" i="9" s="1"/>
  <c r="F32" i="9" s="1"/>
  <c r="F33" i="9" s="1"/>
  <c r="F40" i="9" s="1"/>
  <c r="F32" i="8"/>
  <c r="F33" i="8" s="1"/>
  <c r="F40" i="8" s="1"/>
  <c r="F32" i="10"/>
  <c r="F33" i="10" s="1"/>
  <c r="F40" i="10" s="1"/>
  <c r="F30" i="18"/>
  <c r="F30" i="10"/>
  <c r="F32" i="7"/>
  <c r="F33" i="7" s="1"/>
  <c r="F40" i="7" s="1"/>
  <c r="E31" i="18"/>
  <c r="F31" i="18" s="1"/>
  <c r="F32" i="18" s="1"/>
  <c r="F33" i="18" s="1"/>
  <c r="F40" i="18" s="1"/>
  <c r="F34" i="2" l="1"/>
  <c r="F41" i="18"/>
  <c r="F38" i="18"/>
  <c r="F36" i="18"/>
  <c r="F35" i="18"/>
  <c r="F37" i="18"/>
  <c r="F41" i="9"/>
  <c r="F36" i="9"/>
  <c r="F35" i="9"/>
  <c r="F37" i="9"/>
  <c r="F38" i="9"/>
  <c r="F36" i="7"/>
  <c r="F35" i="7"/>
  <c r="F38" i="7"/>
  <c r="F41" i="7"/>
  <c r="F37" i="7"/>
  <c r="F36" i="10"/>
  <c r="F35" i="10"/>
  <c r="F41" i="10"/>
  <c r="F38" i="10"/>
  <c r="F37" i="10"/>
  <c r="F41" i="8"/>
  <c r="F37" i="8"/>
  <c r="F38" i="8"/>
  <c r="F36" i="8"/>
  <c r="F35" i="8"/>
  <c r="F39" i="9" l="1"/>
  <c r="F42" i="9"/>
  <c r="E13" i="2"/>
  <c r="F13" i="2" s="1"/>
  <c r="J13" i="2"/>
  <c r="L13" i="2" s="1"/>
  <c r="S13" i="2" s="1"/>
  <c r="O16" i="19" s="1"/>
  <c r="E12" i="2"/>
  <c r="F12" i="2" s="1"/>
  <c r="J12" i="2"/>
  <c r="L12" i="2" s="1"/>
  <c r="S12" i="2" s="1"/>
  <c r="O15" i="19" s="1"/>
  <c r="F42" i="8"/>
  <c r="F42" i="7"/>
  <c r="J11" i="2"/>
  <c r="E11" i="2"/>
  <c r="F11" i="2" s="1"/>
  <c r="F39" i="7"/>
  <c r="F39" i="18"/>
  <c r="E14" i="2"/>
  <c r="F14" i="2" s="1"/>
  <c r="F42" i="10"/>
  <c r="J14" i="2"/>
  <c r="L14" i="2" s="1"/>
  <c r="S14" i="2" s="1"/>
  <c r="O17" i="19" s="1"/>
  <c r="F39" i="8"/>
  <c r="F39" i="10"/>
  <c r="F42" i="18"/>
  <c r="E15" i="2"/>
  <c r="F15" i="2" s="1"/>
  <c r="J15" i="2"/>
  <c r="L15" i="2" s="1"/>
  <c r="S15" i="2" s="1"/>
  <c r="O18" i="19" s="1"/>
  <c r="T14" i="2" l="1"/>
  <c r="Q17" i="19" s="1"/>
  <c r="C52" i="19" s="1"/>
  <c r="I52" i="19" s="1"/>
  <c r="T12" i="2"/>
  <c r="Q15" i="19" s="1"/>
  <c r="C50" i="19" s="1"/>
  <c r="I50" i="19" s="1"/>
  <c r="L11" i="2"/>
  <c r="J16" i="2"/>
  <c r="T15" i="2"/>
  <c r="Q18" i="19" s="1"/>
  <c r="C53" i="19" s="1"/>
  <c r="I53" i="19" s="1"/>
  <c r="T13" i="2"/>
  <c r="Q16" i="19" s="1"/>
  <c r="C51" i="19" s="1"/>
  <c r="I51" i="19" s="1"/>
  <c r="F16" i="2"/>
  <c r="L16" i="2" l="1"/>
  <c r="K19" i="19" s="1"/>
  <c r="O19" i="19" s="1"/>
  <c r="S11" i="2"/>
  <c r="S16" i="2" l="1"/>
  <c r="O14" i="19"/>
  <c r="T11" i="2"/>
  <c r="AF11" i="2" s="1"/>
  <c r="Q14" i="19" l="1"/>
  <c r="T16" i="2"/>
  <c r="E32" i="2" l="1"/>
  <c r="T17" i="2"/>
  <c r="AF16" i="2"/>
  <c r="AF17" i="2" s="1"/>
  <c r="C49" i="19"/>
  <c r="Q19" i="19"/>
  <c r="E85" i="19" s="1"/>
  <c r="E93" i="19" s="1"/>
  <c r="I49" i="19" l="1"/>
  <c r="I54" i="19" s="1"/>
  <c r="C54" i="19"/>
  <c r="E40" i="2"/>
  <c r="E59" i="2" s="1"/>
  <c r="E60" i="2" s="1"/>
  <c r="F32" i="2"/>
  <c r="F40" i="2" s="1"/>
  <c r="E42" i="2" s="1"/>
  <c r="V14" i="19" l="1"/>
</calcChain>
</file>

<file path=xl/sharedStrings.xml><?xml version="1.0" encoding="utf-8"?>
<sst xmlns="http://schemas.openxmlformats.org/spreadsheetml/2006/main" count="1321" uniqueCount="649">
  <si>
    <t>1.</t>
  </si>
  <si>
    <t>SOMENTE SERÃO ACEITAS MODIFICAÇÕES NAS CÉLULAS DESTACADAS NA COR AMARELA COMO NO EXEMPLO ABAIXO:</t>
  </si>
  <si>
    <t>Células de livre edição.</t>
  </si>
  <si>
    <t>2.</t>
  </si>
  <si>
    <t>As demais células, estarão bloqueadas para edição das licitantes.</t>
  </si>
  <si>
    <t>3.</t>
  </si>
  <si>
    <t>3.1</t>
  </si>
  <si>
    <t>Estas Abas estarão destacadas na Cor Amarela.</t>
  </si>
  <si>
    <t>3.2</t>
  </si>
  <si>
    <t>PREENCHIMENTO ABA "DADOS"</t>
  </si>
  <si>
    <t xml:space="preserve"> - Incluir outros custos não previstos previamente, bem como descreve-los, em caso de previsão legal, devendo ser apresentadas justificativas para a inserção. (Células "B49" e "G49").</t>
  </si>
  <si>
    <t xml:space="preserve"> - Alterar SOMENTE aqueles destacados na COR AMARELA.</t>
  </si>
  <si>
    <t>3.3</t>
  </si>
  <si>
    <t>PREENCHIMENTO ABA "ENCARGOS"</t>
  </si>
  <si>
    <t xml:space="preserve"> - Informar os percentuais de encargos nas células destacadas em amarelo dispostas na "Coluna C", de acordo com sua descrição "Coluna B".</t>
  </si>
  <si>
    <t xml:space="preserve"> - Atentar-se às observações continuadas ao final do quadro de encargos (Célula "B57"), com as demais instruções cabíveis aos percentuais dispostos nesta Aba.</t>
  </si>
  <si>
    <t>4.</t>
  </si>
  <si>
    <t>4.1</t>
  </si>
  <si>
    <t>4.2</t>
  </si>
  <si>
    <t>Estas abas estão destacadas na Cor Cinza.</t>
  </si>
  <si>
    <t>5.</t>
  </si>
  <si>
    <t>A Aba "Resumo", contém o detalhadamento dos custos unitários por categoria profissional, além de conter o preço final da proposta.</t>
  </si>
  <si>
    <t>5.1</t>
  </si>
  <si>
    <t>Para efeitos de lance/oferta as licitantes devem considerar o valor da célula "H44", da Aba "Resumo", correspondente ao VALOR ANUAL da contratação.</t>
  </si>
  <si>
    <t>5.2</t>
  </si>
  <si>
    <t>Esta aba está destacada na Cor Azul.</t>
  </si>
  <si>
    <t>Tribunal Regional Federal da 6ª Região</t>
  </si>
  <si>
    <t>Belo Horizonte - MG</t>
  </si>
  <si>
    <t>PLANILHA DE CUSTOS E FORMAÇÃO DE PREÇOS - RESUMO</t>
  </si>
  <si>
    <t>PREÇO MENSAL INTEGRAL</t>
  </si>
  <si>
    <t>MÊS:</t>
  </si>
  <si>
    <t>VALORES EM R$</t>
  </si>
  <si>
    <t>ELEMENTO DE DESPESA</t>
  </si>
  <si>
    <t>CATEGORIA PROFISSIONAL</t>
  </si>
  <si>
    <t>FATURAMENTO MENSAL</t>
  </si>
  <si>
    <t>CUSTO MENSAL</t>
  </si>
  <si>
    <t>GLOSA VALE-TRANSPORTE</t>
  </si>
  <si>
    <t>GLOSA DE ATRASOS, FALTAS E DESCONTO DO TITULAR EM FÉRIAS (sem material)</t>
  </si>
  <si>
    <t>GLOSA VALE ALIMENTAÇÃO</t>
  </si>
  <si>
    <t>Homem-Mês</t>
  </si>
  <si>
    <t>Custo Mensal  do vale-transporte da categoria com Encargos</t>
  </si>
  <si>
    <t xml:space="preserve">GLOSA </t>
  </si>
  <si>
    <t>Glosa de Atrasos e Faltas</t>
  </si>
  <si>
    <t>Desconto Mensal do Titular em Férias sem substituição</t>
  </si>
  <si>
    <t>Desconto de Vale Alimentação em recesso forense ou ponto facultativo.</t>
  </si>
  <si>
    <t>Total da Glosa de Atrasos, Faltas e Desconto do Titular em Férias sem substituição e desconto de VA</t>
  </si>
  <si>
    <t>Descrição das Categorias</t>
  </si>
  <si>
    <t>Carga Horária (horas)</t>
  </si>
  <si>
    <t>Quant</t>
  </si>
  <si>
    <t>Custo Unitário da categoria</t>
  </si>
  <si>
    <t>Custo Mensal da categoria</t>
  </si>
  <si>
    <t>Dias de afastamento</t>
  </si>
  <si>
    <t>Valor da Glosa do vale-transporte da categoria</t>
  </si>
  <si>
    <t>Custo Homem-Mês               (sem material)</t>
  </si>
  <si>
    <t>Quant. Atrasos e Faltas</t>
  </si>
  <si>
    <t>Valor da Glosa de Atrasos e Faltas</t>
  </si>
  <si>
    <t>Custo Unitário da categoria Planilha de Férias</t>
  </si>
  <si>
    <t>Dias de Férias</t>
  </si>
  <si>
    <t xml:space="preserve">Valor do Desconto Mensal </t>
  </si>
  <si>
    <t>Custo Mensal  do vale alimentação da categoria com Encargos</t>
  </si>
  <si>
    <t>Dias de Recesso e/ou ponto facultativo</t>
  </si>
  <si>
    <t>Valor da Glosa do vale alimentação da categoria</t>
  </si>
  <si>
    <t xml:space="preserve">TOTAL DO FATURAMENTO MENSAL </t>
  </si>
  <si>
    <t>TOTAL DO FATURAMENTO ANUAL</t>
  </si>
  <si>
    <t>Item</t>
  </si>
  <si>
    <t>Descrição</t>
  </si>
  <si>
    <t>VALOR TOTAL DA CONTRATAÇÃO</t>
  </si>
  <si>
    <t>Valor Global Anual da Contratação:</t>
  </si>
  <si>
    <t>PLANILHA DE DADOS</t>
  </si>
  <si>
    <t>Valores em R$</t>
  </si>
  <si>
    <t>Elemento Despesa</t>
  </si>
  <si>
    <t>Salário Base II
(Conforme Jornada Contratada)
(R$)</t>
  </si>
  <si>
    <t>Percentual Adicional</t>
  </si>
  <si>
    <t>Remuneração Total
(Grupo A)
(R$)</t>
  </si>
  <si>
    <t>Nível Superior Senior</t>
  </si>
  <si>
    <t>Nível Superior Pleno</t>
  </si>
  <si>
    <t>Nível Superior Junior</t>
  </si>
  <si>
    <t>Técnico Nível Médio Sênior</t>
  </si>
  <si>
    <t>Técnico Nível Médio Pleno</t>
  </si>
  <si>
    <t>DADOS DA PROPOSTA</t>
  </si>
  <si>
    <t>Data de apresentação da proposta</t>
  </si>
  <si>
    <t>ABERTURA DA PROPOSTA</t>
  </si>
  <si>
    <t>Informar data de abertura do certame / data final para cadastro da proposta comercial.</t>
  </si>
  <si>
    <t>Sindicato utilizado</t>
  </si>
  <si>
    <t>SINAENCO / MG</t>
  </si>
  <si>
    <t>Informar o sindicato utilizado pela Licitante.</t>
  </si>
  <si>
    <t>Número de registro da CCT - Código MTE</t>
  </si>
  <si>
    <t>Informar o número de registro da Convenção Coletiva de Tralbalho utilizada no processo licitatório, junto ao Ministério do Trabalho e Emprego.</t>
  </si>
  <si>
    <t>Vigência da CCT utilizada</t>
  </si>
  <si>
    <t>01/05/2024 – 30/04/2025</t>
  </si>
  <si>
    <t>Informar a vigência da Convenção Coletiva de Trabalho utilizada no processo licitatório.</t>
  </si>
  <si>
    <t>Data base da categoria</t>
  </si>
  <si>
    <t>01º DE MAIO</t>
  </si>
  <si>
    <t>Informar a data base da Convenção Coletiva de Trabalho utilizada no processo licitatório.</t>
  </si>
  <si>
    <t>ENCARGOS SOCIAIS E TRABALHISTAS</t>
  </si>
  <si>
    <t xml:space="preserve"> -</t>
  </si>
  <si>
    <t>Percentual de Encargos</t>
  </si>
  <si>
    <t>SAT - Seguro Acidentes Trabalho</t>
  </si>
  <si>
    <t>RAT (Atividade Principal)</t>
  </si>
  <si>
    <t>Informar percentual correspondente à atividade preponderante da Licitante.</t>
  </si>
  <si>
    <t>FAP (Conforme FapWeb)</t>
  </si>
  <si>
    <t>Informar Fator extraído do documento FapWeb da Licitante.</t>
  </si>
  <si>
    <t>BENEFÍCIOS</t>
  </si>
  <si>
    <t>Seguro de Vida em Grupo</t>
  </si>
  <si>
    <t>Inserir valor unitário mensal.</t>
  </si>
  <si>
    <t>Vale Alimentação</t>
  </si>
  <si>
    <t>Valor Unitário do Ticket</t>
  </si>
  <si>
    <t>Inserir valor unitário do Ticket.</t>
  </si>
  <si>
    <t>Número de dias para fornecimento</t>
  </si>
  <si>
    <t>Número de dias fixo - Conforme item 11.4 do Termo de Referência.</t>
  </si>
  <si>
    <t>Custeio do trabalhador (participação legal)</t>
  </si>
  <si>
    <t>Inserir percentual de participação do trabalhador.</t>
  </si>
  <si>
    <t>Transporte</t>
  </si>
  <si>
    <t>Nº de Tarifas por dia (tarifa 1)</t>
  </si>
  <si>
    <t>Inserir a quantidade de tarifas diárias.</t>
  </si>
  <si>
    <t>Valor da tarifa 1</t>
  </si>
  <si>
    <t>Inserir o valor unitário da tarifa 1.</t>
  </si>
  <si>
    <t>Nº de Tarifas por dia (tarifa 2)</t>
  </si>
  <si>
    <t>Valor da tarifa 2</t>
  </si>
  <si>
    <t>Inserir o valor unitário da tarifa 2.</t>
  </si>
  <si>
    <t>Outros (inserir somente com a justificativa legal)</t>
  </si>
  <si>
    <t>Inserir valor unitário mensal, quando preenchido, e apresentar as justificativas legais para inclusão.</t>
  </si>
  <si>
    <t>MONTANTE C</t>
  </si>
  <si>
    <t>Despesas Administrativas</t>
  </si>
  <si>
    <t>Informar percentual da Licitante.</t>
  </si>
  <si>
    <t>Lucro</t>
  </si>
  <si>
    <t>MONTANTE D</t>
  </si>
  <si>
    <t>OBS:</t>
  </si>
  <si>
    <t>Opção Tributária</t>
  </si>
  <si>
    <t>LUCRO REAL</t>
  </si>
  <si>
    <t>COFINS</t>
  </si>
  <si>
    <t>PIS/PASEP</t>
  </si>
  <si>
    <t>ISSQN</t>
  </si>
  <si>
    <t>Soma dos tributos</t>
  </si>
  <si>
    <t>Custo Unitário</t>
  </si>
  <si>
    <t xml:space="preserve">AUTODESK ARCHITECTURE, ENGINEERING AND CONSTRUCTION COLLECTION (Subscrição anual 12 meses) </t>
  </si>
  <si>
    <t xml:space="preserve">AUTODESK AUTOCAD LT (Subscrição anual 12 meses) </t>
  </si>
  <si>
    <t xml:space="preserve">AUTODESK REVIT LT (Subscrição anual 12 meses) </t>
  </si>
  <si>
    <t>Subscrição Anual (SSA) de 12 (doze) meses do Software AltoQi Builder - Premium Cloud</t>
  </si>
  <si>
    <t>Plano de internet para roteamento</t>
  </si>
  <si>
    <t>ART PARA SERVIÇOS COM VALOR IGUAL OU MENOR QUE R$15.000,00</t>
  </si>
  <si>
    <t>ART PARA SERVIÇOS COM VALOR MAIOR QUE R$15.000,00</t>
  </si>
  <si>
    <t>1º REAJUSTE IPCA</t>
  </si>
  <si>
    <t>2º REAJUSTE IPCA</t>
  </si>
  <si>
    <t>3º REAJUSTE IPCA</t>
  </si>
  <si>
    <t>4º REAJUSTE IPCA</t>
  </si>
  <si>
    <t>5º REAJUSTE IPCA</t>
  </si>
  <si>
    <t>DESCRIÇÃO</t>
  </si>
  <si>
    <t>PROPOSTA</t>
  </si>
  <si>
    <t>CUSTO UNITÁRIO DA PROPOSTA </t>
  </si>
  <si>
    <t>AUTODESK ARCHITECTURE, ENGINEERING AND CONSTRUCTION COLLECTION (Subscrição anual 12 meses)</t>
  </si>
  <si>
    <t>Site Autodesk</t>
  </si>
  <si>
    <t>Pregão 90013/2024 – 0014929-85.2023.4.06.8000</t>
  </si>
  <si>
    <t>Tribunal de Justiça do Estado do Rio Grande do Norte - NºPregão:900302024 UASG:925869</t>
  </si>
  <si>
    <t>Tribunal de Justiça do Estado do Amazonas NºPregão:900282024 UASG:925866</t>
  </si>
  <si>
    <t>ESTADO DO RIO DE JANEIRO 42498600000171-1-004031/2024</t>
  </si>
  <si>
    <t>AUTODESK AUTOCAD LT (Subscrição anual 12 meses)</t>
  </si>
  <si>
    <t>Prefeitura Municipal do Rio de Janeiro - Dispensa de Licitação Nº 90689/2024
UASG: 986001</t>
  </si>
  <si>
    <t>PREFEITURA MUNICIPAL DE PEDRALVA 41494-PREFEITURA MUNICIPAL DE PEDRALVA-1272024-1402024</t>
  </si>
  <si>
    <t>AUTODESK REVIT LT (Subscrição anual 12 meses)</t>
  </si>
  <si>
    <t>ASSEMBLEIA LEGISLATIVA DO ESTADO DO RIO GRANDE DO SUL 0053/2024</t>
  </si>
  <si>
    <t>MUNICIPIO DE NAO-ME-TOQUE 87613519000123-1-000180/2024</t>
  </si>
  <si>
    <t>RIO GRANDE DO SUL ASSEMBLEIA LEGISLATIVA 88243688000181-1-000085/2024</t>
  </si>
  <si>
    <t>Município de Missal MM-82024-Processo dispensa</t>
  </si>
  <si>
    <t>Subscrição Anual (SSA) de 12 (doze) meses do Software AltoQi Builder</t>
  </si>
  <si>
    <t>Site Altoqi</t>
  </si>
  <si>
    <t>MUNICIPIO DE BARAO DE COCAIS 18317685000160-1-000077/2024</t>
  </si>
  <si>
    <t>MUNICIPIO DE ALTO PARAISO 63762025000142-1-000088/2024</t>
  </si>
  <si>
    <t>Notebook capaz de atender às configurações de desempenho dos softwares Revit, AutoCAD e AltoQi</t>
  </si>
  <si>
    <t xml:space="preserve">2024-11-28 – Cotações internet – Dell G15 </t>
  </si>
  <si>
    <t>2024-11-28 – Cotações internet – Lenovo Legion</t>
  </si>
  <si>
    <t>2024-11-28 – Cotações internet – Asus TUF</t>
  </si>
  <si>
    <t>2024-11-28 – Cotações internet – Dell Inspiron</t>
  </si>
  <si>
    <t>2024-11-28 – Cotações internet – Lenovo Thinkbox</t>
  </si>
  <si>
    <t>Notebook para capaz de atender às demandas de softwares como AutoCAD, Excel, MSProject</t>
  </si>
  <si>
    <t>2024-07 - 93.22.02 - COMPUTADOR C/ PERIFÉRICOS - PROCESSADOR i5 (EQUIVALENTE OU SUPERIOR) 8GB, RAM, HD 1 TB, PLACA DE VIDEO 1 GB E WINDOWS 10</t>
  </si>
  <si>
    <t>Trena laser</t>
  </si>
  <si>
    <t>2024-07SUDECAP83.25.52TRENA A LASER COM ALCANCE DE 50 METROS</t>
  </si>
  <si>
    <t>Trena convencional</t>
  </si>
  <si>
    <t>2024-07SUDECAP83.25.53TRENA DE LONA DE 20 METROS</t>
  </si>
  <si>
    <t>Nível laser</t>
  </si>
  <si>
    <t>2024-11-28 Nível laser verde bosch</t>
  </si>
  <si>
    <t>2024-11-28 Nível laser verde Huepar</t>
  </si>
  <si>
    <t>2024-11-28 Nível laser verde DeWalt</t>
  </si>
  <si>
    <t>Termo-higrômetro - Minipa</t>
  </si>
  <si>
    <t>2024-11-28 Tecnoferramentas - Minipa</t>
  </si>
  <si>
    <t>2024-11-28 Mercado Livre - Minipa</t>
  </si>
  <si>
    <t>2024-11-28 Loja do Mecânico - Minipa</t>
  </si>
  <si>
    <t>Anemômetro Digital - Minipa</t>
  </si>
  <si>
    <t>2024-11-28 Dutra Máquinas- Minipa</t>
  </si>
  <si>
    <t>2024-11-28 Mercado Livre- Minipa</t>
  </si>
  <si>
    <t>Multímetro com alicate amperímetro cat III - ref Minipa 3166</t>
  </si>
  <si>
    <t>Plano de internet móvel para roteamento</t>
  </si>
  <si>
    <t>2024-11-29 Claro 5+</t>
  </si>
  <si>
    <t>2024-11-29 Vivo roteador 5G</t>
  </si>
  <si>
    <t>Planilha de Encargos Sociais e Trabalhistas</t>
  </si>
  <si>
    <t>ITEM</t>
  </si>
  <si>
    <t>PERCENTUAL</t>
  </si>
  <si>
    <t>Grupo A</t>
  </si>
  <si>
    <t>Encargos Previdenciários, FGTS e Outras Contribuições</t>
  </si>
  <si>
    <t>SESI ou SESC</t>
  </si>
  <si>
    <t>SENAI ou SENAC</t>
  </si>
  <si>
    <t>INCRA</t>
  </si>
  <si>
    <t>Salário Educação</t>
  </si>
  <si>
    <t>FGTS</t>
  </si>
  <si>
    <t>Seguro Acidentes Trabalho - RAT</t>
  </si>
  <si>
    <t>SEBRAE</t>
  </si>
  <si>
    <t>SECONCI</t>
  </si>
  <si>
    <t>Total Grupo A - Encargos previdenciários, FGTS e Outras Contribuições</t>
  </si>
  <si>
    <t>Grupo B</t>
  </si>
  <si>
    <t>Grupo B.1</t>
  </si>
  <si>
    <t>13º Salário e Adicional de Férias</t>
  </si>
  <si>
    <t>13º Salário</t>
  </si>
  <si>
    <t>Adicional de Férias</t>
  </si>
  <si>
    <t>Subtotal</t>
  </si>
  <si>
    <t>Incidência do Submódulo 4.1 sobre 13º salário e adicional de férias</t>
  </si>
  <si>
    <t>Total Grupo B.1 - 13º salário e adicional de férias</t>
  </si>
  <si>
    <t>Grupo B.2</t>
  </si>
  <si>
    <t>Afastamento Maternidade</t>
  </si>
  <si>
    <t>Licença Maternidade</t>
  </si>
  <si>
    <t>Incidência do submódulo 4.1 sobre o afastamento maternidade</t>
  </si>
  <si>
    <t>Total Grupo B.2 - Afastamento maternidade</t>
  </si>
  <si>
    <t>Grupo B.3</t>
  </si>
  <si>
    <t>Provisão para Rescisão</t>
  </si>
  <si>
    <t>Aviso Prévio Indenizado</t>
  </si>
  <si>
    <t>Incidência do FGTS sobre o Aviso Prévio Indenizado</t>
  </si>
  <si>
    <t>Multa do FGTS do Aviso Prévio Indenizado</t>
  </si>
  <si>
    <t>Aviso Prévio Trabalhado</t>
  </si>
  <si>
    <t xml:space="preserve">Incidência do submódulo 4.1 sobre o Aviso Prévio Trabalhado </t>
  </si>
  <si>
    <t xml:space="preserve">Multa do FGTS do Aviso Prévio Trabalhado </t>
  </si>
  <si>
    <t>Total Grupo B.3 - Provisão para rescisão</t>
  </si>
  <si>
    <t>Grupo B.4</t>
  </si>
  <si>
    <t>Composição do Custo de Reposição do Profissional Ausente</t>
  </si>
  <si>
    <t>Remuneração do profissional substituto</t>
  </si>
  <si>
    <t>Ausência por doença</t>
  </si>
  <si>
    <t>Licença Paternidade</t>
  </si>
  <si>
    <t>Ausências Legais</t>
  </si>
  <si>
    <t>Ausência por acidente de trabalho</t>
  </si>
  <si>
    <t>Incidência do submódulo 4.1 sobre custo de reposição</t>
  </si>
  <si>
    <t>PERCENTUAIS PARA CONTINGENCIAMENTO DE ENCARGOS TRABALHISTAS A SEREM APLICADOS SOBRE A NOTA FISCAL (UTILIZAÇÃO DURANTE A VIGÊNCIA CONTRATUAL)</t>
  </si>
  <si>
    <t>Total Grupo B.4 - Custo de reposição do profissional ausente</t>
  </si>
  <si>
    <t>Grupo C</t>
  </si>
  <si>
    <t>Outros (especificar)</t>
  </si>
  <si>
    <t>Título</t>
  </si>
  <si>
    <t>VARIAÇÃO RAT AJUSTADO 0,50% A 6%</t>
  </si>
  <si>
    <t>Indenização Adicional</t>
  </si>
  <si>
    <t>EMPRESAS</t>
  </si>
  <si>
    <t>Total Grupo C - Indenização Adicional</t>
  </si>
  <si>
    <t xml:space="preserve">Grupo </t>
  </si>
  <si>
    <t>Mínimo</t>
  </si>
  <si>
    <t>Máximo</t>
  </si>
  <si>
    <t>LICITANTE</t>
  </si>
  <si>
    <t>Quadro Resumo - Encargos Sociais e Trabalhistas</t>
  </si>
  <si>
    <t>SUBMÓDULO E.1 - da IN 02/2008 MPOG:</t>
  </si>
  <si>
    <t>SAT (RATxFAP):</t>
  </si>
  <si>
    <t>13º Salário + Adicional de Férias</t>
  </si>
  <si>
    <t>13º salário</t>
  </si>
  <si>
    <t>Férias</t>
  </si>
  <si>
    <t>Custo de Rescisão</t>
  </si>
  <si>
    <t>1/3 constitucional</t>
  </si>
  <si>
    <t>Custo de Reposição do profissional Ausente</t>
  </si>
  <si>
    <t>Incidência do Grupo A (*)</t>
  </si>
  <si>
    <t>Total dos Encargos Sociais Trabalhistas</t>
  </si>
  <si>
    <t>Multa do FGTS</t>
  </si>
  <si>
    <t>OBSERVAÇÃO:</t>
  </si>
  <si>
    <t>Encargos a contingenciar</t>
  </si>
  <si>
    <t>Não deverá haver alteração nos itens 9(9,09%), 10(3,03%), 13(3,49%) e 16(9,09%) dos percentuais acima, considerando que a Justiça Federal segue as diretrizes da IN 1/2016, de 20 de janeiro de 2016, do CJF.</t>
  </si>
  <si>
    <t>Taxa da conta-corrente vinculada (inciso II art. 2º IN 001/2013</t>
  </si>
  <si>
    <t>-</t>
  </si>
  <si>
    <t>Total a contingenciar</t>
  </si>
  <si>
    <t>Planilha de Custo e Formação de Preço Mensal Estimativo Por Categoria</t>
  </si>
  <si>
    <t>CUSTO UNITÁRIO DA CATEGORIA</t>
  </si>
  <si>
    <t>VALOR VALE ALIMENTAÇÃO</t>
  </si>
  <si>
    <t>VALOR MATERIAL</t>
  </si>
  <si>
    <t>VALOR VALE- TRANSPORTE</t>
  </si>
  <si>
    <t>33390.37.01 - Apoio Administrativo, Técnico e Operacional</t>
  </si>
  <si>
    <t>Função</t>
  </si>
  <si>
    <t>Carga Horária Mensal</t>
  </si>
  <si>
    <t xml:space="preserve"> Salário Base</t>
  </si>
  <si>
    <t>Valor Unitário</t>
  </si>
  <si>
    <t>TOTAL DA REMUNERAÇÃO</t>
  </si>
  <si>
    <t xml:space="preserve">Encargos sociais e trabalhistas                         </t>
  </si>
  <si>
    <t>Total do Montante "A" ( Mão-de-Obra)</t>
  </si>
  <si>
    <t>MONTANTE "B" - INSUMOS</t>
  </si>
  <si>
    <t>Itens</t>
  </si>
  <si>
    <t>Quant.</t>
  </si>
  <si>
    <t>Valor Unitario</t>
  </si>
  <si>
    <t xml:space="preserve">Seguro de vida  </t>
  </si>
  <si>
    <t>Programa de Assistência Familiar</t>
  </si>
  <si>
    <t>Vale-Alimentação</t>
  </si>
  <si>
    <t>Vale-Transporte</t>
  </si>
  <si>
    <t>Total do Montante "B" (Insumos)</t>
  </si>
  <si>
    <t>Montante "A" + Montante "B"</t>
  </si>
  <si>
    <t>MONTANTE "C" - DEMAIS COMPONENTES</t>
  </si>
  <si>
    <t>ITENS</t>
  </si>
  <si>
    <t>Percentual</t>
  </si>
  <si>
    <t>Despesas administrativas/operacionais</t>
  </si>
  <si>
    <t>Base de cálculo do lucro</t>
  </si>
  <si>
    <t>Total do Montante "C" (Demais componentes)</t>
  </si>
  <si>
    <t>Montante "A" + Montante "B" + Montante "C"</t>
  </si>
  <si>
    <t>MONTANTE "D" - TRIBUTOS</t>
  </si>
  <si>
    <t>Total do Montante "D" (Tributos)</t>
  </si>
  <si>
    <t>FATOR K</t>
  </si>
  <si>
    <t>Vale Transporte</t>
  </si>
  <si>
    <t>Observação: Para o salário do profissional de nível médio sênior foi considerada a mesma progressão obtida de um profissional júnior superior para um profissional pleno superior</t>
  </si>
  <si>
    <t xml:space="preserve">DESCRIÇÃO </t>
  </si>
  <si>
    <t>4.5</t>
  </si>
  <si>
    <t>Valor em R$</t>
  </si>
  <si>
    <t>Módulo 1 - Total da Remuneração</t>
  </si>
  <si>
    <t>A</t>
  </si>
  <si>
    <t>G</t>
  </si>
  <si>
    <t>Total do Custo MENSAL de Reposição do Profissional Ausente em Férias</t>
  </si>
  <si>
    <t>Total do Custo ANUAL de Reposição do Profissional Ausente em Férias</t>
  </si>
  <si>
    <t>Módulo 2 - Benefícios Mensais e Diários</t>
  </si>
  <si>
    <t>B</t>
  </si>
  <si>
    <t>C</t>
  </si>
  <si>
    <t>Outros (sem concessão do intervalo intrajornada)</t>
  </si>
  <si>
    <t>Total de Benefícios Mensais e Diários</t>
  </si>
  <si>
    <t>Módulo 5 - Custos Indiretos, Lucros e Tributos</t>
  </si>
  <si>
    <t>Custos Indiretos (Despesas Operacionais e Administrativas)</t>
  </si>
  <si>
    <t>Tributos</t>
  </si>
  <si>
    <t>C.1</t>
  </si>
  <si>
    <t>Tributos Federais (PIS E COFINS)</t>
  </si>
  <si>
    <t>C.2</t>
  </si>
  <si>
    <t>Tributos Estaduais (especificar)</t>
  </si>
  <si>
    <t>C.3</t>
  </si>
  <si>
    <t>Tributos Municipais (ISS)</t>
  </si>
  <si>
    <t>C.4</t>
  </si>
  <si>
    <t>Total dos Custos Indiretos e Tributos</t>
  </si>
  <si>
    <t>CUSTO TOTAL DO PROFISSIONAL SUBSTITUTO</t>
  </si>
  <si>
    <t>Resumo do Custo Por Empregado Substituto do Titular em Férias</t>
  </si>
  <si>
    <t>Mão de Obra Vinculada à Execução Contratual  (Valor Por Empregado)</t>
  </si>
  <si>
    <t>Módulo 1 - Composição Remuneração * 12 (Anual)</t>
  </si>
  <si>
    <t>Subtotal (A+B)</t>
  </si>
  <si>
    <t>E</t>
  </si>
  <si>
    <t>Módulo 5 - Custos Indiretos, Tributos e Lucro</t>
  </si>
  <si>
    <t xml:space="preserve">Valor Total Mensal Por Empregado Substituto do Titular em Férias </t>
  </si>
  <si>
    <t xml:space="preserve">OCORRÊNCIAS MENSAIS DO FATURAMENTO </t>
  </si>
  <si>
    <t>UTILIZAÇÃO DO GESTOR CONTRATUAL PARA REALIZAÇÃO DO FATURAMENTO MENSAL</t>
  </si>
  <si>
    <t>DEFINIR VERSÃO DE APRESENTAÇÃO:</t>
  </si>
  <si>
    <t>DEFINIR BASE DE DESCONTOS/GLOSAS:</t>
  </si>
  <si>
    <t>MÊS CONTÁBIL</t>
  </si>
  <si>
    <t>Informar número de Postos que não utilizam V.T.
(Coluna "D")</t>
  </si>
  <si>
    <t>Desconto automático de V.T.
(Coluna "E")</t>
  </si>
  <si>
    <t>Desconto automático de V.T.
(Coluna "F")</t>
  </si>
  <si>
    <t>Preencher o número de dias úteis em que o optante de V.T realizou trabalho em Home Office
(Coluna "G")</t>
  </si>
  <si>
    <t>Preencher o número de dias (corridos) que o terceirizado que não recebe vt ficou afastado por férias ou faltas
(Coluna "H")</t>
  </si>
  <si>
    <t>Conversão das horas de ausências em dias de ausências
(Coluna "I")</t>
  </si>
  <si>
    <t>Conversão das horas de ausência em dias de ausência
(Coluna "J")</t>
  </si>
  <si>
    <t>Nº dias de faltas comuns sem substituição.
(Coluna "K")</t>
  </si>
  <si>
    <t>Informar número de dias por férias no mês (dias)
(Coluna "L")</t>
  </si>
  <si>
    <t>Desconto de V.A. por dias de recesso forense e/ou ponto facultativo.
(Coluna "M")</t>
  </si>
  <si>
    <t>Nº de dias de férias sem substituição quando o adicional de insalubridade é passado para outra servente do quadro 
(Coluna "N")</t>
  </si>
  <si>
    <t>Somatório de glosas.
(Coluna "O")</t>
  </si>
  <si>
    <t>Somatório de acrésimo por substituição do posto insalubre por outro profissional do quadro.
(Coluna "P")</t>
  </si>
  <si>
    <t>Informativo sobre valor faturado por tipo de função.
(Coluna "Q")</t>
  </si>
  <si>
    <t>Valores correspondentes ao fornecimento de materiais e epis.
(incluindo impostos)
(Coluna "R")</t>
  </si>
  <si>
    <t>Informar código de elemento de despesa
(Coluna "S")</t>
  </si>
  <si>
    <t>INFORMATIVO PARA GESTÃO CONTRATUAL</t>
  </si>
  <si>
    <t>Nº Postos não optantes pelo recebimento de V.T.</t>
  </si>
  <si>
    <t>Realizar glosa por não fornecimento de V.T.?</t>
  </si>
  <si>
    <t>Dias de
Glosa V.T.
Para Não Optantes</t>
  </si>
  <si>
    <t>Dias de Home Office para os postos Optantes de V.T.</t>
  </si>
  <si>
    <t>Ajuste de V.T para fornecimento para
postos Não Optantes</t>
  </si>
  <si>
    <t>Dias de faltas após conversão das horas
(planilha auxiliar)</t>
  </si>
  <si>
    <t>Dias de Glosas de V.A no Mês</t>
  </si>
  <si>
    <t>*1 Dias de Deslocamento de Insalubridade</t>
  </si>
  <si>
    <t>VALOR TOTAL GLOSADO</t>
  </si>
  <si>
    <t>VALOR TOTAL ACRESCIDO</t>
  </si>
  <si>
    <t>VALOR TOTAL INSUMOS FORNECIDOS NO MÊS.</t>
  </si>
  <si>
    <t xml:space="preserve">Elemento de Despesa </t>
  </si>
  <si>
    <t>VALOR DE RETENÇÃO CONTA VINCULADA</t>
  </si>
  <si>
    <t>CÓDIGOS ELEMENTO DE DESPESA</t>
  </si>
  <si>
    <t>SIM</t>
  </si>
  <si>
    <t>ELEMENTO 1</t>
  </si>
  <si>
    <t>ELEMENTO 2</t>
  </si>
  <si>
    <t>ELEMENTO 3</t>
  </si>
  <si>
    <t>ELEMENTO 4</t>
  </si>
  <si>
    <t>ELEMENTO 5</t>
  </si>
  <si>
    <t>VALOR TOTAL GLOSADOS</t>
  </si>
  <si>
    <t>OBSERVAÇÕES:</t>
  </si>
  <si>
    <t>1. Para apoio ao lançamento de ausências de horas, sugere-se a utilização da planilha complementar abaixo. O preenchimento das horas convertidas deve ocorrer na Coluna "I".</t>
  </si>
  <si>
    <t>Planilha auxiliar para conversão de horas de ausências em dias de faltas. (preenchimento coluna "I")</t>
  </si>
  <si>
    <t>Jornada</t>
  </si>
  <si>
    <t>Total de Horas</t>
  </si>
  <si>
    <t>Total de Minutos</t>
  </si>
  <si>
    <t>Conversão em Dias</t>
  </si>
  <si>
    <t>LISTA PARA OPÇÕES DE GLOSAS</t>
  </si>
  <si>
    <t>DIAS ÚTEIS (CONTRATO)</t>
  </si>
  <si>
    <t>Obs: Desconto por dias definidos em contrato.</t>
  </si>
  <si>
    <t>Obs: Desconto atualmente aplicado (30 dias corridos).</t>
  </si>
  <si>
    <t>DIAS DO MÊS VIGENTE</t>
  </si>
  <si>
    <t>Informar</t>
  </si>
  <si>
    <t>Obs: Desconto por dias úteis mensais, ocorrência variável, devendo ser informado mensalmente.</t>
  </si>
  <si>
    <t>LISTA PARA JORNADA DE TRABALHO</t>
  </si>
  <si>
    <t>DIVISOR DE HORAS</t>
  </si>
  <si>
    <t>LISTA PARA TOTAL DE POSTOS</t>
  </si>
  <si>
    <t>Período:</t>
  </si>
  <si>
    <t xml:space="preserve">ÍNDICE </t>
  </si>
  <si>
    <t>IPCA/ IBGE</t>
  </si>
  <si>
    <t>DIAS</t>
  </si>
  <si>
    <t>Pró-rata</t>
  </si>
  <si>
    <t>VALOR ATUAL</t>
  </si>
  <si>
    <t>ANO</t>
  </si>
  <si>
    <t>MÊS</t>
  </si>
  <si>
    <t>ÍNDICE %</t>
  </si>
  <si>
    <t>%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</si>
  <si>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</si>
  <si>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</si>
  <si>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</si>
  <si>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</si>
  <si>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</si>
  <si>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</si>
  <si>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</si>
  <si>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</si>
  <si>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</si>
  <si>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</si>
  <si>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</si>
  <si>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</si>
  <si>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INDICE ACUMULADO</t>
  </si>
  <si>
    <t>INSERIR ADICIONAL CONFORME CCT / LEGISLAÇÃO VIGENTE</t>
  </si>
  <si>
    <t>ADC NOTURNO</t>
  </si>
  <si>
    <t>HORA EXTRA
COMUM</t>
  </si>
  <si>
    <t>HORA EXTRA 
FERIADO</t>
  </si>
  <si>
    <t>CÁLCULOS 
ADICIONAIS</t>
  </si>
  <si>
    <t>VALOR HORA</t>
  </si>
  <si>
    <t>DSR</t>
  </si>
  <si>
    <t>TOTAL</t>
  </si>
  <si>
    <t>Encargos</t>
  </si>
  <si>
    <t>Montante "A"</t>
  </si>
  <si>
    <t>Montante "B"</t>
  </si>
  <si>
    <t>Montante "A + B"</t>
  </si>
  <si>
    <t>Montante "C"</t>
  </si>
  <si>
    <t>Montante "A + B + C"</t>
  </si>
  <si>
    <t>Montante "D"</t>
  </si>
  <si>
    <t>Total</t>
  </si>
  <si>
    <t>Base calc. Lucro</t>
  </si>
  <si>
    <t>Desp. Adm/Operac.</t>
  </si>
  <si>
    <t>Outros</t>
  </si>
  <si>
    <t>Percentual para fins de cálculos de adicional de hora extra (comum)</t>
  </si>
  <si>
    <t>Qntde de horas em adicional noturno</t>
  </si>
  <si>
    <t>Qntde de horas extras comuns</t>
  </si>
  <si>
    <t>Qntde de horas extras feriado (em dobro)</t>
  </si>
  <si>
    <t>Percentual para fins de cálculos de adicional de hora extra feriado (em dobro)</t>
  </si>
  <si>
    <t>Valor Total - Faturamento Extra</t>
  </si>
  <si>
    <t>Total Pagamento de Adc Noturno</t>
  </si>
  <si>
    <t>Total Pagamento de Hora Extra Comum</t>
  </si>
  <si>
    <t>MENSAL</t>
  </si>
  <si>
    <t>Total Pagamento de Hora Extra feriado (em dobro)</t>
  </si>
  <si>
    <t>FATURAMENTO OCORRÊNCIAS EXTRAS (DIÁRIAS, ADICIONAL NOTURNO, HORAS EXTRAS)</t>
  </si>
  <si>
    <r>
      <t xml:space="preserve">TOTAL DO FATURAMENTO MENSAL
</t>
    </r>
    <r>
      <rPr>
        <b/>
        <u/>
        <sz val="10"/>
        <rFont val="Calibri"/>
        <family val="2"/>
      </rPr>
      <t>(CUSTO MÃO DE OBRA)</t>
    </r>
  </si>
  <si>
    <r>
      <t xml:space="preserve">TOTAL DO FATURAMENTO MENSAL
</t>
    </r>
    <r>
      <rPr>
        <b/>
        <u/>
        <sz val="10"/>
        <rFont val="Calibri"/>
        <family val="2"/>
      </rPr>
      <t>(CUSTO VARIÁVEL - OCORRÊNCIAS EXTRAS)</t>
    </r>
  </si>
  <si>
    <t>TOTAL DO FATURAMENTO POR ELEMENTO DE DESPESA
Custo Mensal  Mão de Obra + Ocorrências Extras</t>
  </si>
  <si>
    <t>CUSTO UNITÁRIO</t>
  </si>
  <si>
    <t>Total do Montante "A"</t>
  </si>
  <si>
    <t>Total do Montante "B" (Demais componentes)</t>
  </si>
  <si>
    <t>Total do Montante "C" (Tributos)</t>
  </si>
  <si>
    <t>MENSAL (CUSTO MÃO DE OBRA)</t>
  </si>
  <si>
    <t>DESCRIÇÃO DAS CATEGORIAS</t>
  </si>
  <si>
    <t>DIAS ÚTEIS</t>
  </si>
  <si>
    <t>DIAS NÃO ÚTEIS</t>
  </si>
  <si>
    <t>TAXA ART - Serviço menor que R$15.000,00</t>
  </si>
  <si>
    <t>TAXA ART - Serviço maior que R$15.000,00</t>
  </si>
  <si>
    <t>OCORRÊNCIAS - ART</t>
  </si>
  <si>
    <t>MÃO DE OBRA (MENSAL)</t>
  </si>
  <si>
    <t>ADICIONAL NOTURNO</t>
  </si>
  <si>
    <t>HORA EXTRA COMUM</t>
  </si>
  <si>
    <t>HORA EXTRA EM DOBRO</t>
  </si>
  <si>
    <t>ART</t>
  </si>
  <si>
    <t>TOTAL RESUMO FATURAMENTO (VALOR DA NOTA FISCAL)</t>
  </si>
  <si>
    <t>TOTAL (NOTA FISCAL)</t>
  </si>
  <si>
    <t>GLOBAL</t>
  </si>
  <si>
    <t>Valor a ser utilizado para a aferição da proposta.</t>
  </si>
  <si>
    <t>ANUAL</t>
  </si>
  <si>
    <t>UNITÁRIO</t>
  </si>
  <si>
    <t>Pagamento de V.A (Hora Extra - Adicional)</t>
  </si>
  <si>
    <t>Pagamento de V.t (Hora Extra - Adicional)</t>
  </si>
  <si>
    <t>Quantidade de V.A (Hora Extra - Adicional)</t>
  </si>
  <si>
    <t>Quantidade de V.t (Hora Extra - Adicional)</t>
  </si>
  <si>
    <t>V.A DIÁRIO (H.E)</t>
  </si>
  <si>
    <t>V.T DIÁRIO (H.E)</t>
  </si>
  <si>
    <t>V.A</t>
  </si>
  <si>
    <t>VALE TRANSPORTE - SERVIÇO EXTRAORDINÁRIO</t>
  </si>
  <si>
    <t>VALE ALIMENTAÇÃO / REFEIÇÃO - SERVIÇO EXTRAORDINÁRIO</t>
  </si>
  <si>
    <t>V.T</t>
  </si>
  <si>
    <t>QUADRO RESUMO FATURAMENTO (VALOR MENSAL + DIÁRIAS + ADICIONAL NOTURNO + HORAS EXTRAS + V.A e V.T EXTRAS)</t>
  </si>
  <si>
    <t>VALE ALIMENTAÇÃO - SERVIÇOS EXTRAS</t>
  </si>
  <si>
    <t>VALE TRANSPORTE - SERVIÇOS EXTRAS</t>
  </si>
  <si>
    <t>Total Pagamento (Vale Alimentação - extra)</t>
  </si>
  <si>
    <t>Total Pagamento (Vale Transporte- extra)</t>
  </si>
  <si>
    <t>Obs: Informar a jornada de trabalho do posto analisado. Em sequência, informar as horas completas faltantes e posteriormente os minutos. Ex: 10:25h faltantes - Lançar 10 na célula "D23" e lançar 25 na célula "E23". Lançar o resultado convertido na coluna "I".</t>
  </si>
  <si>
    <t>ESPECIFICAÇÃO</t>
  </si>
  <si>
    <t>Qtde.</t>
  </si>
  <si>
    <t>Valor Total</t>
  </si>
  <si>
    <t>REFERENCIA</t>
  </si>
  <si>
    <t>DEPRECIAÇÃO</t>
  </si>
  <si>
    <t>CUSTO UNITÁRIO MÉDIO</t>
  </si>
  <si>
    <t>VALOR TOTAL MENSAL - MONTANTE "A"</t>
  </si>
  <si>
    <t>TOTAL MONTANTE "A" + "B"</t>
  </si>
  <si>
    <t>OUTROS</t>
  </si>
  <si>
    <t>RELAÇÃO DE MÁQUINAS E EQUIPAMENTOS A SEREM COLOCADOS À DISPOSIÇÃO DA JUSTIÇA FEDERAL</t>
  </si>
  <si>
    <t>TOTAL MONTANTE "A" "B"  "C"</t>
  </si>
  <si>
    <t xml:space="preserve">  </t>
  </si>
  <si>
    <t>QUANTIDADE</t>
  </si>
  <si>
    <t>MG003838/2024</t>
  </si>
  <si>
    <t>Inserir percentual correspondente.</t>
  </si>
  <si>
    <t>V.A - EXTRAORDINÁRIO</t>
  </si>
  <si>
    <t>V.T - EXTRAORDINÁRIO</t>
  </si>
  <si>
    <t>H.E COMUM</t>
  </si>
  <si>
    <t>H.E DOBRO</t>
  </si>
  <si>
    <t>ADC. NOTURNO</t>
  </si>
  <si>
    <t>V.A EXTRAORDINÁRIO</t>
  </si>
  <si>
    <t>V.T EXTRAORDINÁRIO</t>
  </si>
  <si>
    <t>CUSTOS REEMBOLSÁVEIS</t>
  </si>
  <si>
    <t>2.1</t>
  </si>
  <si>
    <t>2.2</t>
  </si>
  <si>
    <r>
      <t xml:space="preserve">Plano de Saúde - </t>
    </r>
    <r>
      <rPr>
        <sz val="11"/>
        <color rgb="FFFF0000"/>
        <rFont val="Calibri"/>
        <family val="2"/>
      </rPr>
      <t>Caso obrigatório na Convenção Coletiva utilizada.</t>
    </r>
  </si>
  <si>
    <t>Inserir valor do plano de saúde - unitário mensal (Valor completo).</t>
  </si>
  <si>
    <t>Inserir valor correspondente.</t>
  </si>
  <si>
    <t>Prencher conforme descrição do quadro Montante "D"</t>
  </si>
  <si>
    <t>Prencher conforme descrição do quadro Montante "D" e opção tributária selecionada na célula "F63"</t>
  </si>
  <si>
    <t>Informar a data de apresentação da proposta.</t>
  </si>
  <si>
    <t>Informar a opção tributária aplicável.</t>
  </si>
  <si>
    <t>Quantitativos estimados - Não alterar.</t>
  </si>
  <si>
    <t>Selecionar - Opção como "sim" ou "não".</t>
  </si>
  <si>
    <t>Observação: Caso não haja fornecimento de plano de saúde, informar percentual igual à "Zero".</t>
  </si>
  <si>
    <t>Percentual para fins de cálculos de adicional noturno - Nível Médio Técnico</t>
  </si>
  <si>
    <r>
      <t>Percentual para fins de cálculos de adicional noturno - Nível Superior</t>
    </r>
    <r>
      <rPr>
        <sz val="11"/>
        <color rgb="FFFF0000"/>
        <rFont val="Calibri"/>
        <family val="2"/>
      </rPr>
      <t xml:space="preserve"> (Lei nº 4.950-A - art. 7º)</t>
    </r>
  </si>
  <si>
    <t>Outros (inserir somente com a justificativa legal) - Exemplo - CPRB</t>
  </si>
  <si>
    <t>Desoneração da Folha de Pagamento</t>
  </si>
  <si>
    <r>
      <t>PREVIDÊNCIA SOCIAL - INSS</t>
    </r>
    <r>
      <rPr>
        <sz val="10"/>
        <color rgb="FFFF0000"/>
        <rFont val="Calibri"/>
        <family val="2"/>
      </rPr>
      <t xml:space="preserve"> (Observar percentual caso desonerado)</t>
    </r>
  </si>
  <si>
    <r>
      <t xml:space="preserve">Obs: </t>
    </r>
    <r>
      <rPr>
        <sz val="11"/>
        <color rgb="FF000000"/>
        <rFont val="Calibri"/>
        <family val="2"/>
      </rPr>
      <t>Inserir valor do salário para jornada de 200h</t>
    </r>
  </si>
  <si>
    <t>VALOR RESIDUAL</t>
  </si>
  <si>
    <t>TOTAL MENSAL</t>
  </si>
  <si>
    <t>QUANTIDADE DE EMPREGADOS</t>
  </si>
  <si>
    <t>VALOR TOTAL POR EMPREGADO/POSTO</t>
  </si>
  <si>
    <t>Valor preenchido na Aba "Equipamentos"</t>
  </si>
  <si>
    <t>LICENÇAS</t>
  </si>
  <si>
    <t>SOFTWARE E LICENÇAS</t>
  </si>
  <si>
    <t>LICENÇAS E SOFTWARES</t>
  </si>
  <si>
    <t>QUANTIDADE MENSAL ESTIMADA DE OCORRÊNCIAS EM RELAÇÃO AOS FATOS EXTRAORDINÁRIOS</t>
  </si>
  <si>
    <t>NÃO</t>
  </si>
  <si>
    <t>VALOR MENSAL</t>
  </si>
  <si>
    <t>VALOR TOTAL EQUIPAMENTOS</t>
  </si>
  <si>
    <t>RELAÇÃO DE MÁQUINAS E EQUIPAMENTOS/FERRAMENTAS A SEREM COLOCADOS À DISPOSIÇÃO DA JUSTIÇA FEDERAL</t>
  </si>
  <si>
    <t>VIDA ÚTIL / DEPRECIAÇÃO</t>
  </si>
  <si>
    <t>ESPECIFICAÇÃO - FERRAMENTAS DE CONSUMO</t>
  </si>
  <si>
    <t>Equipamentos</t>
  </si>
  <si>
    <t>Ferramentas</t>
  </si>
  <si>
    <t>ESPECIFICAÇÃO - EQUIPAMENTOS DEPRECIÁVEIS À LONGO PRAZO</t>
  </si>
  <si>
    <t>Estimativa fornecimento</t>
  </si>
  <si>
    <t>Mensal</t>
  </si>
  <si>
    <t>Unitáro</t>
  </si>
  <si>
    <t>Custo Mensal</t>
  </si>
  <si>
    <t>Valor obtido em tabela externa (IMR) à ser preenchida pela fiscalização contratual.</t>
  </si>
  <si>
    <t>PERCENTUAL APLICÁVEL AO FATURAMENTO MENSAL</t>
  </si>
  <si>
    <t>Percentual obtido em tabela externa (IMR) à ser preenchida pela fiscalização contratual.</t>
  </si>
  <si>
    <t>VALOR DO FATURAMENTO - SEM GLOSA</t>
  </si>
  <si>
    <t>VALOR DO FATURAMENTO - COM APLICAÇÃO DE GLOSA</t>
  </si>
  <si>
    <t>VALOR CORRESPONDENTE À NOTA FISCAL MENSAL (FATURAMENTO).</t>
  </si>
  <si>
    <t>TABELA DE SUPRESSÕES DE PAGAMENTO BASEADAS EM IMR
(APLICAÇÃO DE GLOSAS NO FATURAMENTO)</t>
  </si>
  <si>
    <t>FATURAMENTO</t>
  </si>
  <si>
    <t>PONTUAÇÃO DE GRAVIDADE DE OCORRÊNCIAS - CONVERSÃO</t>
  </si>
  <si>
    <t>REFLEXOS DO TOTAL DE OCORRÊNCIAS SOBRE O FATURAMENTO</t>
  </si>
  <si>
    <t xml:space="preserve">MÍNIMO </t>
  </si>
  <si>
    <t>MÁXIMO</t>
  </si>
  <si>
    <t>Sem supressão</t>
  </si>
  <si>
    <t>Sem supressão, com aplicação de notificação à Contratada.</t>
  </si>
  <si>
    <t>Supressão de 1% do valor do faturamento</t>
  </si>
  <si>
    <t>Supressão de 3% do valor do faturamento</t>
  </si>
  <si>
    <t xml:space="preserve">APLICAÇÃO DE IMR - PLANILHA EXTERNA </t>
  </si>
  <si>
    <t>QUADRO RESUMO - (VALOR DA NOTA FISCAL)</t>
  </si>
  <si>
    <t>TOTAL RESUMO FATURAMENTO</t>
  </si>
  <si>
    <t>PERIODICIDADE</t>
  </si>
  <si>
    <t>TOTAL FORNECIDO NO MÊS</t>
  </si>
  <si>
    <t>FERRAMENTAS DE CONSUMO (Valor do posto mensal)</t>
  </si>
  <si>
    <t>Quadro Resumo para cálculo de adicionais e Diárias
(Faturamento à parte - Serviços Extraordinários)</t>
  </si>
  <si>
    <t>VALOR TOTAL POR EMPREGADO/POSTO ESTIMADO</t>
  </si>
  <si>
    <t>Plano de telefonia celular</t>
  </si>
  <si>
    <t>Luxímetro</t>
  </si>
  <si>
    <t>2025-04-10 Dutra Máquinas</t>
  </si>
  <si>
    <t>2025-04-10 Loja do Mecânico</t>
  </si>
  <si>
    <t>2025-04-10 Casa do Soldador</t>
  </si>
  <si>
    <t>Divisão de Engenharia e Arquitetura - DIEAR</t>
  </si>
  <si>
    <t xml:space="preserve"> - Informar os Dados da Apresentação da Proposta e relacionados à Convenção Coletiva de Trabalho. Tais informações não interferem na execução de cálculos, servem apenas para instruir o processo da análise da proposta. (Células "E15:E20").</t>
  </si>
  <si>
    <t xml:space="preserve"> - Informar piso salarial de cada categoria, correspondente à jornada de 200h. (Células "E8":"E12") na eventualidade de ser superior aos salários fixados.</t>
  </si>
  <si>
    <t xml:space="preserve"> - Informar o percentual correspondente ao RAT, conforme atividade principal da licitante. (Célula "G27").</t>
  </si>
  <si>
    <t xml:space="preserve"> - Informar o fator correspdente ao FAP, conforme extraído do relatório FapWeb. (Célula "G28").</t>
  </si>
  <si>
    <t xml:space="preserve"> - Informar o valor unitário do Seguro de Vida, nos casos exigidos, conforme legislação vigente. (Célula "G31").</t>
  </si>
  <si>
    <t xml:space="preserve"> - Informar o valor unitário do Plano de Saúde, nos casos exigidos, conforme legislação vigente. (Célula "G32").</t>
  </si>
  <si>
    <t xml:space="preserve"> - Informar o quantitativo unitário diário de tarifas de transporte público (ex.: 2 tarifas para ida e 2 tarifas para volta = Total de 4 tarifas). (Célula "G41 e G43").</t>
  </si>
  <si>
    <t xml:space="preserve"> - Informar o valor unitário da tarifa de transporte público vigente à data de apresentação da proposta, nos casos exigidos, conforme legislação vigente. (Célula "G42 e G44").</t>
  </si>
  <si>
    <t xml:space="preserve"> - Informar o percentual de desconto à título de participação do trabalhador em relação ao fornecimento de vale transporte, nos casos exigidos, conforme legislação vigente. (Célula "G46").</t>
  </si>
  <si>
    <t xml:space="preserve"> - Informar o valor unitário do tícket de Vale Alimentação, nos casos exigidos, conforme legislação vigente. (Célula "G36").</t>
  </si>
  <si>
    <t xml:space="preserve"> - Informar o percentual de desconto à título de participação do trabalhador em relação ao fornecimento de Vale Alimentação, nos casos exigidos, conforme legislação vigente. (Célula "G38").</t>
  </si>
  <si>
    <t xml:space="preserve"> - Incluir outros custos não previstos previamente, bem como descreve-los, em caso de previsão legal, devendo ser apresentadas justificativas para a inserção. (Células "B50" e "G50").</t>
  </si>
  <si>
    <t xml:space="preserve"> - Informar o percentual relativo às Despesas Administrativas da licitante. (Células "G53").</t>
  </si>
  <si>
    <t xml:space="preserve"> - Informar o percentual relativo ao Lucro da licitante. (Células "G54").</t>
  </si>
  <si>
    <t xml:space="preserve"> - Informar a opção tributária da licitante (Células "F60") conforme legislação vigente, OBSERVANDO as instruções contantes na Célula "B57".</t>
  </si>
  <si>
    <t xml:space="preserve"> - Informar o percentual da alíquota COFINS (Células "G61") conforme legislação vigente, OBSERVANDO as instruções contantes na Célula "B57".</t>
  </si>
  <si>
    <t xml:space="preserve"> - Informar o percentual da alíquota PIS/PASEP (Células "G62") conforme legislação vigente, OBSERVANDO as instruções contantes na Célula "B57".</t>
  </si>
  <si>
    <t xml:space="preserve"> - Incluir outros impostos não inseridos previamente, bem como descreve-los, em caso de previsão legal, devendo ser apresentadas justificativas para a inserção. (Célula "G64").</t>
  </si>
  <si>
    <r>
      <t xml:space="preserve">INSTRUÇÕES DE PREENCHIMENTO
UTILIZAÇÃO EXCLUSIVA FISCAL/GESTOR
PARA AUXILIAR NO VALOR DE FATURAMENTO
</t>
    </r>
    <r>
      <rPr>
        <b/>
        <sz val="12"/>
        <rFont val="Calibri"/>
        <family val="2"/>
      </rPr>
      <t xml:space="preserve">
Preencher as células destacadas na cor vermelha para realização dos cálculos das demais abas.
Não é necessário preenchimento de outras abas.</t>
    </r>
  </si>
  <si>
    <r>
      <t xml:space="preserve">Valor </t>
    </r>
    <r>
      <rPr>
        <b/>
        <sz val="10"/>
        <color rgb="FFFF0000"/>
        <rFont val="Calibri"/>
        <family val="2"/>
      </rPr>
      <t>Mensal Mão de Obra</t>
    </r>
    <r>
      <rPr>
        <b/>
        <sz val="10"/>
        <rFont val="Calibri"/>
        <family val="2"/>
      </rPr>
      <t xml:space="preserve"> com aplicação de descontos</t>
    </r>
  </si>
  <si>
    <r>
      <t xml:space="preserve">RETENÇÃO 
GLOSA CONTA VINCULADA
</t>
    </r>
    <r>
      <rPr>
        <b/>
        <sz val="10"/>
        <color rgb="FFFF0000"/>
        <rFont val="Calibri"/>
        <family val="2"/>
      </rPr>
      <t>(VERIFICAR NECESSIDADE)</t>
    </r>
  </si>
  <si>
    <r>
      <t xml:space="preserve">Destaca-se que após o preenchimento destas Abas, os preços individuais das categorias profissionais serão refletidos para as suas abas correspondentes </t>
    </r>
    <r>
      <rPr>
        <sz val="11"/>
        <rFont val="Calibri"/>
        <family val="2"/>
      </rPr>
      <t>(NS Senior, NS Pleno, NS Junior, NM Tecnico SR, NM Tecnico PL).</t>
    </r>
  </si>
  <si>
    <r>
      <t xml:space="preserve">Não será necessário realizar nenhuma alteração nas abas contendo o detalhamento de custos de cada categoria profissional. </t>
    </r>
    <r>
      <rPr>
        <b/>
        <sz val="11"/>
        <rFont val="Calibri"/>
        <family val="2"/>
      </rPr>
      <t>Estas abas conterão apenas o reflexo dos dados preenchdidos nas abas anteriores (conforme explicação nº 3).</t>
    </r>
  </si>
  <si>
    <r>
      <t xml:space="preserve">Supressão de 5% do valor do faturamento </t>
    </r>
    <r>
      <rPr>
        <sz val="10"/>
        <rFont val="Calibri"/>
        <family val="2"/>
      </rPr>
      <t>+ notificação</t>
    </r>
  </si>
  <si>
    <r>
      <t xml:space="preserve">Supressão de 5% do valor do faturamento </t>
    </r>
    <r>
      <rPr>
        <sz val="10"/>
        <color rgb="FFFF0000"/>
        <rFont val="Calibri"/>
        <family val="2"/>
      </rPr>
      <t>+ notificação?</t>
    </r>
  </si>
  <si>
    <r>
      <t>Supressão de 10% do valor do faturam</t>
    </r>
    <r>
      <rPr>
        <sz val="10"/>
        <rFont val="Calibri"/>
        <family val="2"/>
      </rPr>
      <t>ento + notificação</t>
    </r>
  </si>
  <si>
    <r>
      <t xml:space="preserve">Supressão de 10% do valor do faturamento </t>
    </r>
    <r>
      <rPr>
        <sz val="10"/>
        <color rgb="FFFF0000"/>
        <rFont val="Calibri"/>
        <family val="2"/>
      </rPr>
      <t>+ notificação?</t>
    </r>
  </si>
  <si>
    <r>
      <t xml:space="preserve">Salário Base I (para 220h/m)
</t>
    </r>
    <r>
      <rPr>
        <b/>
        <sz val="11"/>
        <rFont val="Calibri"/>
        <family val="2"/>
      </rPr>
      <t>OBS 1</t>
    </r>
  </si>
  <si>
    <r>
      <rPr>
        <sz val="11"/>
        <color rgb="FFFF0000"/>
        <rFont val="Calibri"/>
        <family val="2"/>
      </rPr>
      <t>Utilizar CCT - SINAENCO</t>
    </r>
    <r>
      <rPr>
        <sz val="11"/>
        <rFont val="Calibri"/>
        <family val="2"/>
      </rPr>
      <t xml:space="preserve"> com respectivo desconto aplicado conforme cláusula de participação?
Salários até R$10.312,00 = 20% de participação. Salários acima = 30% de participação</t>
    </r>
  </si>
  <si>
    <r>
      <rPr>
        <sz val="11"/>
        <color rgb="FFFF0000"/>
        <rFont val="Calibri"/>
        <family val="2"/>
      </rPr>
      <t>Utilização CCT diversa da SINEANCO</t>
    </r>
    <r>
      <rPr>
        <sz val="11"/>
        <rFont val="Calibri"/>
        <family val="2"/>
      </rPr>
      <t xml:space="preserve"> - Informar percentual de custo da Contratada em relação ao valor mensal do plano de saúde.</t>
    </r>
  </si>
  <si>
    <r>
      <rPr>
        <sz val="11"/>
        <color rgb="FFFF0000"/>
        <rFont val="Calibri"/>
        <family val="2"/>
      </rPr>
      <t>Utilizar CCT - SINAENCO</t>
    </r>
    <r>
      <rPr>
        <sz val="11"/>
        <rFont val="Calibri"/>
        <family val="2"/>
      </rPr>
      <t xml:space="preserve"> com fornecimento obrigatório conforme cláusula de participação?
Salários até R$10.312,00 recebem V.A. Salários acima não recebem V.A.</t>
    </r>
  </si>
  <si>
    <t>RELAÇÃO DE SOFTWARES E LICENÇAS A SEREM COLOCADOS À DISPOSIÇÃO DA JUSTIÇA FEDERAL</t>
  </si>
  <si>
    <t>ANEXO II</t>
  </si>
  <si>
    <t xml:space="preserve">ANEXO II - PLANILHA DE CUSTO E FORMAÇÃO DE PREÇO MENSAL ESTIMATIVO DO PROFISSIONAL SUBSTITUTO DO TITULAR EM FÉRIAS </t>
  </si>
  <si>
    <t>ANEXO II - CUSTOS ESTIMATIVOS SOFTWARES E LICENÇAS</t>
  </si>
  <si>
    <t>ANEXO II - CUSTOS ESTIMATIVOS DE EQUIPAMENTOS E FERRAMENTAS</t>
  </si>
  <si>
    <t>INSTRUÇÕES DE PREENCHIMENTO - ANEXO II - PLANILHAS DE COMPOSIÇÃO DE CUSTOS</t>
  </si>
  <si>
    <t>ANEXO II - CUSTOS ESTIMATIVOS DE EQUIPAMENTOS, SOFTWARES E ALUGUÉIS</t>
  </si>
  <si>
    <t>As Abas necessárias para o preenchimento estão organizadas em uma sequencia lógica, sendo Dados; Encargos; devidamente abreviadas para otimização da planilha.</t>
  </si>
  <si>
    <t>Sugere-se o preenchimento das seguintes abas em sequência, Dados, Encargos, para a realização de cálulos completa da planilha de composição de custos.</t>
  </si>
  <si>
    <t xml:space="preserve"> - Assinalar se é optante pela desenoração da folha de pagamento. (Célula "G25").</t>
  </si>
  <si>
    <t xml:space="preserve"> - Assinalar se é optante pela utilização da CCT SINAENCO. (Célula "G34").</t>
  </si>
  <si>
    <t xml:space="preserve"> - Informar percentual de custo por parte da Contratada no plano de saúde, caso não seja optante pela utilização da CCT SINAENCO. (Célula "G35").</t>
  </si>
  <si>
    <t xml:space="preserve"> - Assinalar se é optante pela utilização da CCT SINAENCO. (Célula "G40").</t>
  </si>
  <si>
    <t xml:space="preserve"> - Informar o valor unitário do custo de ART para serviços de até R$15.000,00. (Célula "G69").</t>
  </si>
  <si>
    <t xml:space="preserve"> - Informar o valor unitário do custo de ART para serviços superiores à R$15.000,00. (Célula "G70").</t>
  </si>
  <si>
    <t xml:space="preserve"> - Informar o percentual de adicional noturno para os postos de nível superior. (Célula "G71").</t>
  </si>
  <si>
    <t xml:space="preserve"> - Informar o percentual de adicional noturno para os postos de nível médio. (Célula "G72").</t>
  </si>
  <si>
    <t xml:space="preserve"> - Informar o percentual de hora extra comum. (Célula "G73").</t>
  </si>
  <si>
    <t xml:space="preserve"> - Informar o percentual de hora extra em dobro. (Célula "G74").</t>
  </si>
  <si>
    <t xml:space="preserve"> - Alterar o encargo social "SECONCI" destacado na COR LARANJA, somente em caso de ser aplicável à Licitante.</t>
  </si>
  <si>
    <t xml:space="preserve"> - Os quantitativos destacados na COR VERMELHA não devem ser alterados, foram estimados pela área requisitante.</t>
  </si>
  <si>
    <t>Valor total do equipamento</t>
  </si>
  <si>
    <t>DEPRECIAÇÃO DE EQUIPAMENTOS  MENSAL</t>
  </si>
  <si>
    <t>5 anos de vida útil</t>
  </si>
  <si>
    <t>5% do valor mensal depreciado</t>
  </si>
  <si>
    <t>PLANILHA PARA LICITAÇÃO (PRECIFICAÇÃO)</t>
  </si>
  <si>
    <t>Aluguel de telefone celular com plano</t>
  </si>
  <si>
    <t>ORSE 10542</t>
  </si>
  <si>
    <t>Quantidade
Mensal</t>
  </si>
  <si>
    <t>Data base orçamento (apresentação da proposta)</t>
  </si>
  <si>
    <t>TOTAL DE OCORRÊNCIAS COM APLICAÇÃO DA CONVERSÃO / PESO</t>
  </si>
  <si>
    <t>CELULAR - Rereferância Samsung S21 ou equivalente</t>
  </si>
  <si>
    <t>Anual</t>
  </si>
  <si>
    <t>MANUTENÇÃO EQUIPAMENTOS (GASTO MENSAL) - ADOTADO 5% A.A.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</si>
</sst>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R$&quot;* #,##0.00_);_(&quot;R$&quot;* \(#,##0.00\);_(&quot;R$&quot;* \-??_);_(@_)"/>
    <numFmt numFmtId="165" formatCode="_(&quot;R$ &quot;* #,##0.00_);_(&quot;R$ &quot;* \(#,##0.00\);_(&quot;R$ &quot;* \-??_);_(@_)"/>
    <numFmt numFmtId="166" formatCode="_(&quot;Cr$&quot;* #,##0.00_);_(&quot;Cr$&quot;* \(#,##0.00\);_(&quot;Cr$&quot;* \-??_);_(@_)"/>
    <numFmt numFmtId="167" formatCode="_-&quot;R$ &quot;* #,##0.00_-;&quot;-R$ &quot;* #,##0.00_-;_-&quot;R$ &quot;* \-??_-;_-@_-"/>
    <numFmt numFmtId="168" formatCode="_(* #,##0.00_);_(* \(#,##0.00\);_(* \-??_);_(@_)"/>
    <numFmt numFmtId="169" formatCode="_-* #,##0.00_-;\-* #,##0.00_-;_-* \-??_-;_-@_-"/>
    <numFmt numFmtId="170" formatCode="[$R$-416]\ #,##0.00;[Red]\-[$R$-416]\ #,##0.00"/>
    <numFmt numFmtId="171" formatCode="* #,##0.00\ ;* \(#,##0.00\);* \-#\ ;@\ "/>
    <numFmt numFmtId="172" formatCode="_(* #,##0_);_(* \(#,##0\);_(* \-??_);_(@_)"/>
  </numFmts>
  <fonts count="79" x14ac:knownFonts="1">
    <font>
      <sz val="10"/>
      <name val="Times New Roman"/>
      <charset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C00000"/>
      <name val="Calibri"/>
      <family val="2"/>
      <charset val="1"/>
    </font>
    <font>
      <b/>
      <sz val="15"/>
      <color rgb="FF3366FF"/>
      <name val="Calibri"/>
      <family val="2"/>
      <charset val="1"/>
    </font>
    <font>
      <b/>
      <sz val="15"/>
      <color rgb="FF10243E"/>
      <name val="Calibri"/>
      <family val="2"/>
      <charset val="1"/>
    </font>
    <font>
      <sz val="11"/>
      <color rgb="FF333333"/>
      <name val="Calibri"/>
      <family val="2"/>
      <charset val="1"/>
    </font>
    <font>
      <sz val="14"/>
      <name val="Times New Roman"/>
      <family val="1"/>
      <charset val="1"/>
    </font>
    <font>
      <sz val="11"/>
      <name val="Calibri"/>
      <family val="2"/>
      <charset val="1"/>
    </font>
    <font>
      <b/>
      <sz val="10"/>
      <name val="Times New Roman"/>
      <family val="1"/>
      <charset val="1"/>
    </font>
    <font>
      <b/>
      <sz val="10"/>
      <color rgb="FFCC0000"/>
      <name val="Times New Roman"/>
      <family val="1"/>
      <charset val="1"/>
    </font>
    <font>
      <sz val="10"/>
      <name val="Calibri"/>
      <family val="2"/>
      <charset val="1"/>
    </font>
    <font>
      <sz val="11"/>
      <name val="Arial"/>
      <family val="2"/>
      <charset val="1"/>
    </font>
    <font>
      <sz val="10"/>
      <color rgb="FF000000"/>
      <name val="Calibri"/>
      <family val="2"/>
      <charset val="1"/>
    </font>
    <font>
      <sz val="9"/>
      <name val="Calibri"/>
      <family val="2"/>
      <charset val="1"/>
    </font>
    <font>
      <sz val="12"/>
      <name val="Calibri"/>
      <family val="2"/>
      <charset val="1"/>
    </font>
    <font>
      <b/>
      <sz val="8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b/>
      <sz val="9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0"/>
      <color rgb="FFCC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9"/>
      <color rgb="FFCC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3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name val="Times New Roman"/>
      <family val="1"/>
    </font>
    <font>
      <b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u/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9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1"/>
      <color rgb="FF808080"/>
      <name val="Calibri"/>
      <family val="2"/>
    </font>
    <font>
      <b/>
      <i/>
      <u/>
      <sz val="11"/>
      <name val="Calibri"/>
      <family val="2"/>
    </font>
    <font>
      <b/>
      <sz val="16"/>
      <color rgb="FFFF0000"/>
      <name val="Calibri"/>
      <family val="2"/>
    </font>
    <font>
      <b/>
      <u/>
      <sz val="11"/>
      <name val="Calibri"/>
      <family val="2"/>
    </font>
    <font>
      <b/>
      <sz val="11"/>
      <color rgb="FFCC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b/>
      <i/>
      <sz val="14"/>
      <name val="Calibri"/>
      <family val="2"/>
    </font>
    <font>
      <b/>
      <sz val="14"/>
      <color rgb="FF000000"/>
      <name val="Calibri"/>
      <family val="2"/>
    </font>
    <font>
      <b/>
      <sz val="12.5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sz val="11"/>
      <color theme="0" tint="-0.249977111117893"/>
      <name val="Calibri"/>
      <family val="2"/>
    </font>
    <font>
      <sz val="10"/>
      <color theme="0" tint="-0.249977111117893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sz val="9"/>
      <color rgb="FF333333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theme="1"/>
      <name val="Calibri"/>
      <family val="2"/>
    </font>
    <font>
      <b/>
      <sz val="13"/>
      <name val="Calibri"/>
      <family val="2"/>
    </font>
    <font>
      <b/>
      <sz val="8"/>
      <name val="Calibri"/>
      <family val="2"/>
    </font>
    <font>
      <b/>
      <sz val="8"/>
      <color rgb="FFFF0000"/>
      <name val="Calibri"/>
      <family val="2"/>
    </font>
    <font>
      <b/>
      <sz val="12"/>
      <color rgb="FF000000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FF99"/>
        <bgColor rgb="FFFFFFCC"/>
      </patternFill>
    </fill>
    <fill>
      <patternFill patternType="solid">
        <fgColor rgb="FFD9D9D9"/>
        <bgColor rgb="FFDDDDDD"/>
      </patternFill>
    </fill>
    <fill>
      <patternFill patternType="solid">
        <fgColor rgb="FF00B0F0"/>
        <bgColor rgb="FF00BFFF"/>
      </patternFill>
    </fill>
    <fill>
      <patternFill patternType="solid">
        <fgColor rgb="FFFFFF00"/>
        <bgColor rgb="FFFFFF99"/>
      </patternFill>
    </fill>
    <fill>
      <patternFill patternType="solid">
        <fgColor rgb="FFFF7F50"/>
        <bgColor rgb="FFED7D31"/>
      </patternFill>
    </fill>
    <fill>
      <patternFill patternType="solid">
        <fgColor rgb="FFEEEEEE"/>
        <bgColor rgb="FFF2F2F2"/>
      </patternFill>
    </fill>
    <fill>
      <patternFill patternType="solid">
        <fgColor rgb="FFDDDDDD"/>
        <bgColor rgb="FFD9D9D9"/>
      </patternFill>
    </fill>
    <fill>
      <patternFill patternType="solid">
        <fgColor rgb="FFF2F2F2"/>
        <bgColor rgb="FFEEEEEE"/>
      </patternFill>
    </fill>
    <fill>
      <patternFill patternType="solid">
        <fgColor rgb="FFD3D3D3"/>
        <bgColor rgb="FFD9D9D9"/>
      </patternFill>
    </fill>
    <fill>
      <patternFill patternType="solid">
        <fgColor rgb="FF87CEEB"/>
        <bgColor rgb="FF95B3D7"/>
      </patternFill>
    </fill>
    <fill>
      <patternFill patternType="solid">
        <fgColor rgb="FF606060"/>
        <bgColor rgb="FF808080"/>
      </patternFill>
    </fill>
    <fill>
      <patternFill patternType="solid">
        <fgColor rgb="FFB4C7E7"/>
        <bgColor rgb="FFC0C0C0"/>
      </patternFill>
    </fill>
    <fill>
      <patternFill patternType="solid">
        <fgColor rgb="FF10243E"/>
        <bgColor rgb="FF333333"/>
      </patternFill>
    </fill>
    <fill>
      <patternFill patternType="solid">
        <fgColor rgb="FFDCE6F2"/>
        <bgColor rgb="FFDAE3F3"/>
      </patternFill>
    </fill>
    <fill>
      <patternFill patternType="solid">
        <fgColor rgb="FFC0C0C0"/>
        <bgColor rgb="FFB4C7E7"/>
      </patternFill>
    </fill>
    <fill>
      <patternFill patternType="solid">
        <fgColor rgb="FF808080"/>
        <bgColor rgb="FF606060"/>
      </patternFill>
    </fill>
    <fill>
      <patternFill patternType="solid">
        <fgColor rgb="FF95B3D7"/>
        <bgColor rgb="FF87CEEB"/>
      </patternFill>
    </fill>
    <fill>
      <patternFill patternType="solid">
        <fgColor rgb="FF1F497D"/>
        <bgColor rgb="FF333333"/>
      </patternFill>
    </fill>
    <fill>
      <patternFill patternType="solid">
        <fgColor rgb="FFF8CBAD"/>
        <bgColor rgb="FFF2DCDB"/>
      </patternFill>
    </fill>
    <fill>
      <patternFill patternType="solid">
        <fgColor rgb="FFFFFFCC"/>
        <bgColor rgb="FFFFFFFF"/>
      </patternFill>
    </fill>
    <fill>
      <patternFill patternType="solid">
        <fgColor rgb="FFF2DCDB"/>
        <bgColor rgb="FFDDDDDD"/>
      </patternFill>
    </fill>
    <fill>
      <patternFill patternType="solid">
        <fgColor rgb="FFFDE65F"/>
        <bgColor indexed="64"/>
      </patternFill>
    </fill>
    <fill>
      <patternFill patternType="solid">
        <fgColor theme="3" tint="0.89999084444715716"/>
        <bgColor rgb="FFDDDDDD"/>
      </patternFill>
    </fill>
    <fill>
      <patternFill patternType="solid">
        <fgColor theme="3" tint="0.89999084444715716"/>
        <bgColor rgb="FF333333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rgb="FFDDDDDD"/>
      </patternFill>
    </fill>
    <fill>
      <patternFill patternType="solid">
        <fgColor rgb="FFFFFF00"/>
        <bgColor indexed="64"/>
      </patternFill>
    </fill>
    <fill>
      <patternFill patternType="solid">
        <fgColor rgb="FFB9CDE5"/>
        <bgColor rgb="FFBFBFBF"/>
      </patternFill>
    </fill>
    <fill>
      <patternFill patternType="solid">
        <fgColor rgb="FFBFBFBF"/>
        <bgColor rgb="FFB9CDE5"/>
      </patternFill>
    </fill>
    <fill>
      <patternFill patternType="solid">
        <fgColor theme="0"/>
        <bgColor rgb="FFB9CDE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rgb="FFBFBFBF"/>
      </patternFill>
    </fill>
  </fills>
  <borders count="89">
    <border>
      <left/>
      <right/>
      <top/>
      <bottom/>
      <diagonal/>
    </border>
    <border>
      <left/>
      <right/>
      <top/>
      <bottom style="thick">
        <color rgb="FF1F497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88">
    <xf numFmtId="0" fontId="0" fillId="0" borderId="0"/>
    <xf numFmtId="0" fontId="3" fillId="0" borderId="0" applyBorder="0" applyProtection="0"/>
    <xf numFmtId="167" fontId="4" fillId="0" borderId="0" applyBorder="0" applyProtection="0"/>
    <xf numFmtId="9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5" fontId="3" fillId="0" borderId="0" applyBorder="0" applyProtection="0"/>
    <xf numFmtId="165" fontId="4" fillId="0" borderId="0" applyBorder="0" applyProtection="0"/>
    <xf numFmtId="165" fontId="4" fillId="0" borderId="0" applyBorder="0" applyProtection="0"/>
    <xf numFmtId="165" fontId="3" fillId="0" borderId="0" applyBorder="0" applyProtection="0"/>
    <xf numFmtId="165" fontId="4" fillId="0" borderId="0" applyBorder="0" applyProtection="0"/>
    <xf numFmtId="164" fontId="3" fillId="0" borderId="0" applyBorder="0" applyProtection="0"/>
    <xf numFmtId="166" fontId="4" fillId="0" borderId="0" applyBorder="0" applyProtection="0"/>
    <xf numFmtId="166" fontId="4" fillId="0" borderId="0" applyBorder="0" applyProtection="0"/>
    <xf numFmtId="167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9" fontId="3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4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4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4" fillId="0" borderId="0" applyBorder="0" applyProtection="0"/>
    <xf numFmtId="9" fontId="4" fillId="0" borderId="0" applyBorder="0" applyProtection="0"/>
    <xf numFmtId="168" fontId="4" fillId="0" borderId="0" applyBorder="0" applyProtection="0"/>
    <xf numFmtId="168" fontId="4" fillId="0" borderId="0" applyBorder="0" applyProtection="0"/>
    <xf numFmtId="168" fontId="4" fillId="0" borderId="0" applyBorder="0" applyProtection="0"/>
    <xf numFmtId="168" fontId="3" fillId="0" borderId="0" applyBorder="0" applyProtection="0"/>
    <xf numFmtId="168" fontId="4" fillId="0" borderId="0" applyBorder="0" applyProtection="0"/>
    <xf numFmtId="168" fontId="4" fillId="0" borderId="0" applyBorder="0" applyProtection="0"/>
    <xf numFmtId="169" fontId="3" fillId="0" borderId="0" applyBorder="0" applyProtection="0"/>
    <xf numFmtId="168" fontId="4" fillId="0" borderId="0" applyBorder="0" applyProtection="0"/>
    <xf numFmtId="169" fontId="4" fillId="0" borderId="0" applyBorder="0" applyProtection="0"/>
    <xf numFmtId="169" fontId="3" fillId="0" borderId="0" applyBorder="0" applyProtection="0"/>
    <xf numFmtId="169" fontId="3" fillId="0" borderId="0" applyBorder="0" applyProtection="0"/>
    <xf numFmtId="169" fontId="4" fillId="0" borderId="0" applyBorder="0" applyProtection="0"/>
    <xf numFmtId="168" fontId="3" fillId="0" borderId="0" applyBorder="0" applyProtection="0"/>
    <xf numFmtId="169" fontId="3" fillId="0" borderId="0" applyBorder="0" applyProtection="0"/>
    <xf numFmtId="168" fontId="3" fillId="0" borderId="0" applyBorder="0" applyProtection="0"/>
    <xf numFmtId="168" fontId="3" fillId="0" borderId="0" applyBorder="0" applyProtection="0"/>
    <xf numFmtId="168" fontId="4" fillId="0" borderId="0" applyBorder="0" applyProtection="0"/>
    <xf numFmtId="168" fontId="4" fillId="0" borderId="0" applyBorder="0" applyProtection="0"/>
    <xf numFmtId="168" fontId="4" fillId="0" borderId="0" applyBorder="0" applyProtection="0"/>
    <xf numFmtId="169" fontId="5" fillId="0" borderId="0" applyBorder="0" applyProtection="0"/>
    <xf numFmtId="169" fontId="6" fillId="0" borderId="0" applyBorder="0" applyProtection="0"/>
    <xf numFmtId="168" fontId="4" fillId="0" borderId="0" applyBorder="0" applyProtection="0"/>
    <xf numFmtId="0" fontId="7" fillId="0" borderId="1" applyProtection="0"/>
    <xf numFmtId="0" fontId="8" fillId="0" borderId="1" applyProtection="0"/>
    <xf numFmtId="169" fontId="5" fillId="0" borderId="0" applyBorder="0" applyProtection="0"/>
    <xf numFmtId="168" fontId="4" fillId="0" borderId="0" applyBorder="0" applyProtection="0"/>
    <xf numFmtId="169" fontId="6" fillId="0" borderId="0" applyBorder="0" applyProtection="0"/>
    <xf numFmtId="169" fontId="9" fillId="0" borderId="0" applyBorder="0" applyProtection="0"/>
    <xf numFmtId="168" fontId="4" fillId="0" borderId="0" applyBorder="0" applyProtection="0"/>
    <xf numFmtId="168" fontId="3" fillId="0" borderId="0" applyBorder="0" applyProtection="0"/>
    <xf numFmtId="171" fontId="3" fillId="0" borderId="0" applyBorder="0" applyProtection="0"/>
    <xf numFmtId="0" fontId="42" fillId="0" borderId="0"/>
    <xf numFmtId="168" fontId="42" fillId="0" borderId="0" applyBorder="0" applyProtection="0"/>
    <xf numFmtId="0" fontId="2" fillId="0" borderId="0"/>
    <xf numFmtId="167" fontId="5" fillId="0" borderId="0" applyBorder="0" applyProtection="0"/>
    <xf numFmtId="9" fontId="5" fillId="0" borderId="0" applyBorder="0" applyProtection="0"/>
    <xf numFmtId="171" fontId="3" fillId="0" borderId="0" applyBorder="0" applyProtection="0"/>
  </cellStyleXfs>
  <cellXfs count="857">
    <xf numFmtId="0" fontId="0" fillId="0" borderId="0" xfId="0"/>
    <xf numFmtId="0" fontId="3" fillId="0" borderId="0" xfId="36"/>
    <xf numFmtId="0" fontId="10" fillId="0" borderId="0" xfId="36" applyFont="1"/>
    <xf numFmtId="0" fontId="3" fillId="0" borderId="0" xfId="36" applyAlignment="1">
      <alignment vertical="center"/>
    </xf>
    <xf numFmtId="0" fontId="12" fillId="0" borderId="0" xfId="36" applyFont="1" applyAlignment="1">
      <alignment vertical="center"/>
    </xf>
    <xf numFmtId="0" fontId="12" fillId="0" borderId="0" xfId="36" applyFont="1"/>
    <xf numFmtId="0" fontId="13" fillId="0" borderId="0" xfId="36" applyFont="1" applyAlignment="1">
      <alignment vertical="center"/>
    </xf>
    <xf numFmtId="0" fontId="14" fillId="0" borderId="0" xfId="36" applyFont="1"/>
    <xf numFmtId="0" fontId="15" fillId="0" borderId="0" xfId="0" applyFont="1"/>
    <xf numFmtId="0" fontId="11" fillId="0" borderId="0" xfId="0" applyFont="1"/>
    <xf numFmtId="0" fontId="14" fillId="0" borderId="0" xfId="0" applyFont="1"/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16" applyFont="1"/>
    <xf numFmtId="0" fontId="15" fillId="0" borderId="0" xfId="16" applyFont="1" applyAlignment="1">
      <alignment horizontal="left"/>
    </xf>
    <xf numFmtId="0" fontId="0" fillId="0" borderId="0" xfId="0" applyAlignment="1">
      <alignment wrapText="1"/>
    </xf>
    <xf numFmtId="10" fontId="14" fillId="0" borderId="0" xfId="0" applyNumberFormat="1" applyFont="1"/>
    <xf numFmtId="0" fontId="21" fillId="14" borderId="2" xfId="15" applyFont="1" applyFill="1" applyBorder="1" applyAlignment="1">
      <alignment horizontal="center" vertical="center" wrapText="1"/>
    </xf>
    <xf numFmtId="0" fontId="14" fillId="14" borderId="2" xfId="15" applyFont="1" applyFill="1" applyBorder="1" applyAlignment="1">
      <alignment horizontal="center" vertical="center" wrapText="1"/>
    </xf>
    <xf numFmtId="0" fontId="27" fillId="14" borderId="2" xfId="15" applyFont="1" applyFill="1" applyBorder="1" applyAlignment="1">
      <alignment horizontal="center" vertical="center" wrapText="1"/>
    </xf>
    <xf numFmtId="10" fontId="14" fillId="14" borderId="2" xfId="15" applyNumberFormat="1" applyFont="1" applyFill="1" applyBorder="1" applyAlignment="1">
      <alignment horizontal="center" vertical="center" wrapText="1"/>
    </xf>
    <xf numFmtId="10" fontId="28" fillId="14" borderId="2" xfId="15" applyNumberFormat="1" applyFont="1" applyFill="1" applyBorder="1" applyAlignment="1">
      <alignment horizontal="center" vertical="center" wrapText="1"/>
    </xf>
    <xf numFmtId="0" fontId="17" fillId="0" borderId="2" xfId="15" applyFont="1" applyBorder="1" applyAlignment="1">
      <alignment horizontal="center" vertical="center" wrapText="1"/>
    </xf>
    <xf numFmtId="10" fontId="17" fillId="0" borderId="2" xfId="15" applyNumberFormat="1" applyFont="1" applyBorder="1" applyAlignment="1">
      <alignment horizontal="center" vertical="center" wrapText="1"/>
    </xf>
    <xf numFmtId="0" fontId="22" fillId="14" borderId="2" xfId="15" applyFont="1" applyFill="1" applyBorder="1" applyAlignment="1">
      <alignment horizontal="center" vertical="center" wrapText="1"/>
    </xf>
    <xf numFmtId="10" fontId="22" fillId="14" borderId="2" xfId="15" applyNumberFormat="1" applyFont="1" applyFill="1" applyBorder="1" applyAlignment="1">
      <alignment horizontal="center" vertical="center" wrapText="1"/>
    </xf>
    <xf numFmtId="0" fontId="22" fillId="0" borderId="2" xfId="15" applyFont="1" applyBorder="1" applyAlignment="1">
      <alignment horizontal="center" vertical="center" wrapText="1"/>
    </xf>
    <xf numFmtId="10" fontId="22" fillId="0" borderId="2" xfId="15" applyNumberFormat="1" applyFont="1" applyBorder="1" applyAlignment="1">
      <alignment horizontal="center" vertical="center" wrapText="1"/>
    </xf>
    <xf numFmtId="10" fontId="29" fillId="0" borderId="2" xfId="15" applyNumberFormat="1" applyFont="1" applyBorder="1" applyAlignment="1">
      <alignment horizontal="center" vertical="center" wrapText="1"/>
    </xf>
    <xf numFmtId="10" fontId="29" fillId="14" borderId="2" xfId="15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6" fillId="0" borderId="3" xfId="0" applyFont="1" applyBorder="1" applyAlignment="1">
      <alignment vertical="center"/>
    </xf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7" fillId="0" borderId="6" xfId="0" applyFont="1" applyBorder="1"/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 wrapText="1"/>
    </xf>
    <xf numFmtId="4" fontId="22" fillId="0" borderId="21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4" fontId="21" fillId="4" borderId="38" xfId="0" applyNumberFormat="1" applyFont="1" applyFill="1" applyBorder="1" applyAlignment="1">
      <alignment vertical="center"/>
    </xf>
    <xf numFmtId="10" fontId="14" fillId="0" borderId="2" xfId="0" applyNumberFormat="1" applyFont="1" applyBorder="1" applyAlignment="1">
      <alignment vertical="center"/>
    </xf>
    <xf numFmtId="0" fontId="14" fillId="0" borderId="69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21" fillId="4" borderId="69" xfId="0" applyFont="1" applyFill="1" applyBorder="1" applyAlignment="1">
      <alignment vertical="center"/>
    </xf>
    <xf numFmtId="0" fontId="21" fillId="4" borderId="48" xfId="0" applyFont="1" applyFill="1" applyBorder="1" applyAlignment="1">
      <alignment vertical="center"/>
    </xf>
    <xf numFmtId="10" fontId="21" fillId="4" borderId="2" xfId="0" applyNumberFormat="1" applyFont="1" applyFill="1" applyBorder="1" applyAlignment="1">
      <alignment vertical="center"/>
    </xf>
    <xf numFmtId="4" fontId="21" fillId="4" borderId="39" xfId="0" applyNumberFormat="1" applyFont="1" applyFill="1" applyBorder="1" applyAlignment="1">
      <alignment vertical="center"/>
    </xf>
    <xf numFmtId="4" fontId="14" fillId="0" borderId="0" xfId="0" applyNumberFormat="1" applyFont="1"/>
    <xf numFmtId="0" fontId="20" fillId="0" borderId="3" xfId="36" applyFont="1" applyBorder="1"/>
    <xf numFmtId="0" fontId="20" fillId="0" borderId="6" xfId="36" applyFont="1" applyBorder="1"/>
    <xf numFmtId="0" fontId="30" fillId="0" borderId="0" xfId="36" applyFont="1" applyAlignment="1">
      <alignment vertical="center" wrapText="1"/>
    </xf>
    <xf numFmtId="0" fontId="22" fillId="0" borderId="0" xfId="36" applyFont="1" applyAlignment="1">
      <alignment vertical="center"/>
    </xf>
    <xf numFmtId="0" fontId="26" fillId="2" borderId="6" xfId="36" applyFont="1" applyFill="1" applyBorder="1" applyAlignment="1">
      <alignment horizontal="center" vertical="center"/>
    </xf>
    <xf numFmtId="0" fontId="21" fillId="0" borderId="0" xfId="36" applyFont="1"/>
    <xf numFmtId="0" fontId="31" fillId="18" borderId="18" xfId="36" applyFont="1" applyFill="1" applyBorder="1" applyAlignment="1">
      <alignment horizontal="center" vertical="center"/>
    </xf>
    <xf numFmtId="4" fontId="31" fillId="18" borderId="46" xfId="36" applyNumberFormat="1" applyFont="1" applyFill="1" applyBorder="1" applyAlignment="1">
      <alignment vertical="center"/>
    </xf>
    <xf numFmtId="0" fontId="14" fillId="0" borderId="31" xfId="36" applyFont="1" applyBorder="1" applyAlignment="1">
      <alignment horizontal="center" vertical="center"/>
    </xf>
    <xf numFmtId="10" fontId="14" fillId="0" borderId="32" xfId="36" applyNumberFormat="1" applyFont="1" applyBorder="1" applyAlignment="1">
      <alignment horizontal="center" vertical="center"/>
    </xf>
    <xf numFmtId="4" fontId="14" fillId="2" borderId="32" xfId="81" applyNumberFormat="1" applyFont="1" applyFill="1" applyBorder="1" applyAlignment="1" applyProtection="1">
      <alignment vertical="center"/>
    </xf>
    <xf numFmtId="0" fontId="14" fillId="0" borderId="37" xfId="36" applyFont="1" applyBorder="1" applyAlignment="1">
      <alignment horizontal="center" vertical="center"/>
    </xf>
    <xf numFmtId="10" fontId="16" fillId="0" borderId="2" xfId="36" applyNumberFormat="1" applyFont="1" applyBorder="1" applyAlignment="1">
      <alignment horizontal="center" vertical="center"/>
    </xf>
    <xf numFmtId="4" fontId="14" fillId="2" borderId="2" xfId="81" applyNumberFormat="1" applyFont="1" applyFill="1" applyBorder="1" applyAlignment="1" applyProtection="1">
      <alignment vertical="center"/>
    </xf>
    <xf numFmtId="10" fontId="26" fillId="0" borderId="2" xfId="36" applyNumberFormat="1" applyFont="1" applyBorder="1" applyAlignment="1">
      <alignment horizontal="center" vertical="center"/>
    </xf>
    <xf numFmtId="4" fontId="21" fillId="2" borderId="2" xfId="81" applyNumberFormat="1" applyFont="1" applyFill="1" applyBorder="1" applyAlignment="1" applyProtection="1">
      <alignment horizontal="right" vertical="center"/>
    </xf>
    <xf numFmtId="0" fontId="26" fillId="4" borderId="37" xfId="36" applyFont="1" applyFill="1" applyBorder="1" applyAlignment="1" applyProtection="1">
      <alignment horizontal="center" vertical="center"/>
      <protection locked="0"/>
    </xf>
    <xf numFmtId="0" fontId="26" fillId="4" borderId="2" xfId="36" applyFont="1" applyFill="1" applyBorder="1" applyAlignment="1" applyProtection="1">
      <alignment vertical="center"/>
      <protection locked="0"/>
    </xf>
    <xf numFmtId="0" fontId="14" fillId="0" borderId="37" xfId="36" applyFont="1" applyBorder="1" applyAlignment="1" applyProtection="1">
      <alignment horizontal="center" vertical="center"/>
      <protection locked="0"/>
    </xf>
    <xf numFmtId="0" fontId="14" fillId="0" borderId="2" xfId="36" applyFont="1" applyBorder="1" applyAlignment="1" applyProtection="1">
      <alignment vertical="center"/>
      <protection locked="0"/>
    </xf>
    <xf numFmtId="4" fontId="14" fillId="0" borderId="2" xfId="36" applyNumberFormat="1" applyFont="1" applyBorder="1" applyAlignment="1" applyProtection="1">
      <alignment vertical="center"/>
      <protection locked="0"/>
    </xf>
    <xf numFmtId="4" fontId="14" fillId="0" borderId="2" xfId="36" applyNumberFormat="1" applyFont="1" applyBorder="1"/>
    <xf numFmtId="4" fontId="26" fillId="0" borderId="2" xfId="36" applyNumberFormat="1" applyFont="1" applyBorder="1" applyAlignment="1" applyProtection="1">
      <alignment vertical="center"/>
      <protection locked="0"/>
    </xf>
    <xf numFmtId="10" fontId="26" fillId="4" borderId="2" xfId="36" applyNumberFormat="1" applyFont="1" applyFill="1" applyBorder="1" applyAlignment="1">
      <alignment horizontal="center" vertical="center"/>
    </xf>
    <xf numFmtId="10" fontId="14" fillId="0" borderId="2" xfId="36" applyNumberFormat="1" applyFont="1" applyBorder="1" applyAlignment="1" applyProtection="1">
      <alignment vertical="center" wrapText="1"/>
      <protection locked="0"/>
    </xf>
    <xf numFmtId="4" fontId="14" fillId="2" borderId="2" xfId="36" applyNumberFormat="1" applyFont="1" applyFill="1" applyBorder="1" applyAlignment="1">
      <alignment horizontal="right" vertical="center"/>
    </xf>
    <xf numFmtId="0" fontId="26" fillId="0" borderId="37" xfId="36" applyFont="1" applyBorder="1" applyAlignment="1" applyProtection="1">
      <alignment horizontal="center" vertical="center"/>
      <protection locked="0"/>
    </xf>
    <xf numFmtId="10" fontId="26" fillId="0" borderId="2" xfId="36" applyNumberFormat="1" applyFont="1" applyBorder="1" applyAlignment="1" applyProtection="1">
      <alignment vertical="center" wrapText="1"/>
      <protection locked="0"/>
    </xf>
    <xf numFmtId="4" fontId="26" fillId="2" borderId="2" xfId="36" applyNumberFormat="1" applyFont="1" applyFill="1" applyBorder="1" applyAlignment="1" applyProtection="1">
      <alignment horizontal="right" vertical="center"/>
      <protection locked="0"/>
    </xf>
    <xf numFmtId="0" fontId="14" fillId="2" borderId="37" xfId="36" applyFont="1" applyFill="1" applyBorder="1" applyAlignment="1" applyProtection="1">
      <alignment horizontal="center" vertical="center"/>
      <protection locked="0"/>
    </xf>
    <xf numFmtId="0" fontId="26" fillId="0" borderId="22" xfId="36" applyFont="1" applyBorder="1" applyAlignment="1" applyProtection="1">
      <alignment vertical="center"/>
      <protection locked="0"/>
    </xf>
    <xf numFmtId="0" fontId="14" fillId="0" borderId="28" xfId="36" applyFont="1" applyBorder="1" applyAlignment="1" applyProtection="1">
      <alignment vertical="center" wrapText="1"/>
      <protection locked="0"/>
    </xf>
    <xf numFmtId="4" fontId="26" fillId="0" borderId="28" xfId="36" applyNumberFormat="1" applyFont="1" applyBorder="1" applyAlignment="1" applyProtection="1">
      <alignment horizontal="right" vertical="center"/>
      <protection locked="0"/>
    </xf>
    <xf numFmtId="0" fontId="26" fillId="4" borderId="31" xfId="36" applyFont="1" applyFill="1" applyBorder="1" applyAlignment="1">
      <alignment vertical="center"/>
    </xf>
    <xf numFmtId="0" fontId="26" fillId="4" borderId="32" xfId="36" applyFont="1" applyFill="1" applyBorder="1" applyAlignment="1">
      <alignment vertical="center"/>
    </xf>
    <xf numFmtId="0" fontId="14" fillId="0" borderId="2" xfId="36" applyFont="1" applyBorder="1" applyAlignment="1">
      <alignment vertical="center"/>
    </xf>
    <xf numFmtId="4" fontId="16" fillId="2" borderId="2" xfId="36" applyNumberFormat="1" applyFont="1" applyFill="1" applyBorder="1" applyAlignment="1">
      <alignment vertical="center"/>
    </xf>
    <xf numFmtId="0" fontId="26" fillId="0" borderId="2" xfId="36" applyFont="1" applyBorder="1" applyAlignment="1">
      <alignment vertical="center"/>
    </xf>
    <xf numFmtId="4" fontId="26" fillId="2" borderId="2" xfId="36" applyNumberFormat="1" applyFont="1" applyFill="1" applyBorder="1" applyAlignment="1">
      <alignment vertical="center"/>
    </xf>
    <xf numFmtId="0" fontId="14" fillId="0" borderId="22" xfId="36" applyFont="1" applyBorder="1" applyAlignment="1">
      <alignment horizontal="center" vertical="center"/>
    </xf>
    <xf numFmtId="0" fontId="14" fillId="0" borderId="28" xfId="36" applyFont="1" applyBorder="1" applyAlignment="1">
      <alignment vertical="center"/>
    </xf>
    <xf numFmtId="4" fontId="16" fillId="2" borderId="28" xfId="36" applyNumberFormat="1" applyFont="1" applyFill="1" applyBorder="1" applyAlignment="1">
      <alignment vertical="center"/>
    </xf>
    <xf numFmtId="0" fontId="26" fillId="4" borderId="18" xfId="36" applyFont="1" applyFill="1" applyBorder="1" applyAlignment="1">
      <alignment vertical="center"/>
    </xf>
    <xf numFmtId="0" fontId="26" fillId="4" borderId="46" xfId="36" applyFont="1" applyFill="1" applyBorder="1" applyAlignment="1">
      <alignment vertical="center"/>
    </xf>
    <xf numFmtId="4" fontId="26" fillId="4" borderId="46" xfId="36" applyNumberFormat="1" applyFont="1" applyFill="1" applyBorder="1" applyAlignment="1">
      <alignment vertical="center"/>
    </xf>
    <xf numFmtId="0" fontId="11" fillId="0" borderId="0" xfId="16" applyFont="1" applyAlignment="1">
      <alignment horizontal="center"/>
    </xf>
    <xf numFmtId="0" fontId="11" fillId="0" borderId="0" xfId="16" applyFont="1" applyAlignment="1">
      <alignment horizontal="center" vertical="center"/>
    </xf>
    <xf numFmtId="0" fontId="18" fillId="0" borderId="0" xfId="16" applyFont="1" applyAlignment="1">
      <alignment vertical="center"/>
    </xf>
    <xf numFmtId="0" fontId="14" fillId="0" borderId="0" xfId="16" applyFont="1" applyAlignment="1">
      <alignment vertical="center"/>
    </xf>
    <xf numFmtId="0" fontId="4" fillId="0" borderId="0" xfId="15"/>
    <xf numFmtId="167" fontId="37" fillId="0" borderId="2" xfId="2" applyFont="1" applyBorder="1"/>
    <xf numFmtId="0" fontId="14" fillId="0" borderId="2" xfId="0" applyFont="1" applyBorder="1" applyAlignment="1" applyProtection="1">
      <alignment vertical="center" wrapText="1"/>
      <protection locked="0"/>
    </xf>
    <xf numFmtId="0" fontId="22" fillId="0" borderId="32" xfId="0" applyFont="1" applyBorder="1" applyAlignment="1">
      <alignment vertical="center"/>
    </xf>
    <xf numFmtId="0" fontId="21" fillId="2" borderId="70" xfId="0" applyFont="1" applyFill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2" fillId="0" borderId="39" xfId="0" applyNumberFormat="1" applyFont="1" applyBorder="1" applyAlignment="1">
      <alignment vertical="center"/>
    </xf>
    <xf numFmtId="4" fontId="14" fillId="0" borderId="2" xfId="0" applyNumberFormat="1" applyFont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>
      <alignment vertical="center"/>
    </xf>
    <xf numFmtId="4" fontId="14" fillId="0" borderId="39" xfId="0" applyNumberFormat="1" applyFont="1" applyBorder="1" applyAlignment="1">
      <alignment vertical="center"/>
    </xf>
    <xf numFmtId="0" fontId="21" fillId="4" borderId="37" xfId="0" applyFont="1" applyFill="1" applyBorder="1" applyAlignment="1">
      <alignment vertical="center"/>
    </xf>
    <xf numFmtId="4" fontId="23" fillId="4" borderId="26" xfId="0" applyNumberFormat="1" applyFont="1" applyFill="1" applyBorder="1" applyAlignment="1">
      <alignment vertical="center"/>
    </xf>
    <xf numFmtId="167" fontId="36" fillId="16" borderId="25" xfId="14" applyFont="1" applyFill="1" applyBorder="1" applyAlignment="1" applyProtection="1">
      <alignment horizontal="center" vertical="center" wrapText="1"/>
    </xf>
    <xf numFmtId="167" fontId="37" fillId="0" borderId="38" xfId="2" applyFont="1" applyBorder="1"/>
    <xf numFmtId="167" fontId="36" fillId="16" borderId="26" xfId="14" applyFont="1" applyFill="1" applyBorder="1" applyAlignment="1" applyProtection="1">
      <alignment horizontal="center" vertical="center" wrapText="1"/>
    </xf>
    <xf numFmtId="4" fontId="40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43" fontId="41" fillId="0" borderId="2" xfId="0" applyNumberFormat="1" applyFont="1" applyBorder="1" applyAlignment="1">
      <alignment vertical="center"/>
    </xf>
    <xf numFmtId="167" fontId="36" fillId="16" borderId="2" xfId="14" applyFont="1" applyFill="1" applyBorder="1" applyAlignment="1" applyProtection="1">
      <alignment horizontal="center" vertical="center" wrapText="1"/>
    </xf>
    <xf numFmtId="167" fontId="37" fillId="0" borderId="28" xfId="2" applyFont="1" applyBorder="1"/>
    <xf numFmtId="167" fontId="36" fillId="16" borderId="2" xfId="14" applyFont="1" applyFill="1" applyBorder="1" applyAlignment="1" applyProtection="1">
      <alignment vertical="center" wrapText="1"/>
    </xf>
    <xf numFmtId="10" fontId="37" fillId="3" borderId="2" xfId="3" applyNumberFormat="1" applyFont="1" applyFill="1" applyBorder="1" applyAlignment="1" applyProtection="1">
      <alignment horizontal="center" vertical="center"/>
      <protection locked="0"/>
    </xf>
    <xf numFmtId="167" fontId="36" fillId="16" borderId="87" xfId="14" applyFont="1" applyFill="1" applyBorder="1" applyAlignment="1" applyProtection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24" fillId="0" borderId="0" xfId="16" applyFont="1" applyAlignment="1">
      <alignment vertical="center"/>
    </xf>
    <xf numFmtId="10" fontId="37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41" fillId="0" borderId="2" xfId="83" applyNumberFormat="1" applyFont="1" applyBorder="1" applyAlignment="1">
      <alignment horizontal="center" vertical="center"/>
    </xf>
    <xf numFmtId="167" fontId="37" fillId="0" borderId="53" xfId="2" applyFont="1" applyBorder="1"/>
    <xf numFmtId="167" fontId="36" fillId="16" borderId="27" xfId="14" applyFont="1" applyFill="1" applyBorder="1" applyAlignment="1" applyProtection="1">
      <alignment horizontal="center" vertical="center" wrapText="1"/>
    </xf>
    <xf numFmtId="167" fontId="36" fillId="16" borderId="56" xfId="14" applyFont="1" applyFill="1" applyBorder="1" applyAlignment="1" applyProtection="1">
      <alignment horizontal="center" vertical="center" wrapText="1"/>
    </xf>
    <xf numFmtId="167" fontId="37" fillId="0" borderId="39" xfId="2" applyFont="1" applyBorder="1"/>
    <xf numFmtId="10" fontId="36" fillId="16" borderId="25" xfId="14" applyNumberFormat="1" applyFont="1" applyFill="1" applyBorder="1" applyAlignment="1" applyProtection="1">
      <alignment horizontal="center" vertical="center" wrapText="1"/>
    </xf>
    <xf numFmtId="0" fontId="37" fillId="0" borderId="3" xfId="16" applyFont="1" applyBorder="1"/>
    <xf numFmtId="0" fontId="46" fillId="0" borderId="4" xfId="0" applyFont="1" applyBorder="1" applyAlignment="1">
      <alignment horizontal="left"/>
    </xf>
    <xf numFmtId="0" fontId="41" fillId="0" borderId="4" xfId="15" applyFont="1" applyBorder="1"/>
    <xf numFmtId="0" fontId="37" fillId="0" borderId="4" xfId="16" applyFont="1" applyBorder="1"/>
    <xf numFmtId="0" fontId="37" fillId="0" borderId="0" xfId="16" applyFont="1" applyAlignment="1">
      <alignment horizontal="center"/>
    </xf>
    <xf numFmtId="0" fontId="37" fillId="0" borderId="0" xfId="16" applyFont="1"/>
    <xf numFmtId="0" fontId="37" fillId="0" borderId="0" xfId="16" applyFont="1" applyAlignment="1">
      <alignment horizontal="center" vertical="center"/>
    </xf>
    <xf numFmtId="0" fontId="37" fillId="0" borderId="6" xfId="16" applyFont="1" applyBorder="1"/>
    <xf numFmtId="0" fontId="46" fillId="0" borderId="0" xfId="0" applyFont="1" applyAlignment="1">
      <alignment horizontal="left"/>
    </xf>
    <xf numFmtId="0" fontId="41" fillId="0" borderId="0" xfId="15" applyFont="1"/>
    <xf numFmtId="0" fontId="47" fillId="0" borderId="0" xfId="16" applyFont="1" applyAlignment="1">
      <alignment horizontal="center" vertical="center" wrapText="1"/>
    </xf>
    <xf numFmtId="0" fontId="48" fillId="0" borderId="0" xfId="16" applyFont="1" applyAlignment="1">
      <alignment vertical="center" wrapText="1"/>
    </xf>
    <xf numFmtId="0" fontId="48" fillId="0" borderId="0" xfId="16" applyFont="1" applyAlignment="1">
      <alignment vertical="center"/>
    </xf>
    <xf numFmtId="0" fontId="48" fillId="0" borderId="0" xfId="16" applyFont="1" applyAlignment="1">
      <alignment horizontal="center" vertical="center"/>
    </xf>
    <xf numFmtId="0" fontId="36" fillId="3" borderId="2" xfId="16" applyFont="1" applyFill="1" applyBorder="1" applyAlignment="1">
      <alignment horizontal="center" vertical="center" wrapText="1"/>
    </xf>
    <xf numFmtId="0" fontId="37" fillId="0" borderId="0" xfId="16" applyFont="1" applyAlignment="1">
      <alignment horizontal="left" vertical="center"/>
    </xf>
    <xf numFmtId="0" fontId="37" fillId="0" borderId="2" xfId="16" applyFont="1" applyBorder="1" applyAlignment="1">
      <alignment horizontal="center" vertical="center" wrapText="1"/>
    </xf>
    <xf numFmtId="0" fontId="35" fillId="16" borderId="37" xfId="72" applyNumberFormat="1" applyFont="1" applyFill="1" applyBorder="1" applyAlignment="1" applyProtection="1">
      <alignment horizontal="center" vertical="center" wrapText="1"/>
    </xf>
    <xf numFmtId="0" fontId="35" fillId="16" borderId="2" xfId="72" applyNumberFormat="1" applyFont="1" applyFill="1" applyBorder="1" applyAlignment="1" applyProtection="1">
      <alignment horizontal="center" vertical="center" wrapText="1"/>
    </xf>
    <xf numFmtId="0" fontId="35" fillId="16" borderId="53" xfId="72" applyNumberFormat="1" applyFont="1" applyFill="1" applyBorder="1" applyAlignment="1" applyProtection="1">
      <alignment horizontal="center" vertical="center" wrapText="1"/>
    </xf>
    <xf numFmtId="0" fontId="35" fillId="16" borderId="29" xfId="72" applyNumberFormat="1" applyFont="1" applyFill="1" applyBorder="1" applyAlignment="1" applyProtection="1">
      <alignment horizontal="center" vertical="center" wrapText="1"/>
    </xf>
    <xf numFmtId="0" fontId="35" fillId="16" borderId="30" xfId="72" applyNumberFormat="1" applyFont="1" applyFill="1" applyBorder="1" applyAlignment="1" applyProtection="1">
      <alignment horizontal="center" vertical="center" wrapText="1"/>
    </xf>
    <xf numFmtId="0" fontId="35" fillId="16" borderId="35" xfId="72" applyNumberFormat="1" applyFont="1" applyFill="1" applyBorder="1" applyAlignment="1" applyProtection="1">
      <alignment horizontal="center" vertical="center" wrapText="1"/>
    </xf>
    <xf numFmtId="1" fontId="41" fillId="0" borderId="37" xfId="16" applyNumberFormat="1" applyFont="1" applyBorder="1" applyAlignment="1">
      <alignment horizontal="center" vertical="center"/>
    </xf>
    <xf numFmtId="0" fontId="41" fillId="0" borderId="2" xfId="16" applyFont="1" applyBorder="1" applyAlignment="1">
      <alignment vertical="center" wrapText="1"/>
    </xf>
    <xf numFmtId="1" fontId="41" fillId="0" borderId="2" xfId="16" applyNumberFormat="1" applyFont="1" applyBorder="1" applyAlignment="1">
      <alignment horizontal="center" vertical="center"/>
    </xf>
    <xf numFmtId="0" fontId="45" fillId="23" borderId="2" xfId="72" applyNumberFormat="1" applyFont="1" applyFill="1" applyBorder="1" applyAlignment="1" applyProtection="1">
      <alignment horizontal="center" vertical="center"/>
    </xf>
    <xf numFmtId="2" fontId="41" fillId="0" borderId="2" xfId="72" applyNumberFormat="1" applyFont="1" applyBorder="1" applyAlignment="1" applyProtection="1">
      <alignment horizontal="center" vertical="center"/>
    </xf>
    <xf numFmtId="169" fontId="52" fillId="13" borderId="2" xfId="16" applyNumberFormat="1" applyFont="1" applyFill="1" applyBorder="1" applyAlignment="1">
      <alignment horizontal="center" vertical="center"/>
    </xf>
    <xf numFmtId="167" fontId="41" fillId="0" borderId="2" xfId="14" applyFont="1" applyBorder="1" applyAlignment="1" applyProtection="1">
      <alignment horizontal="center" vertical="center"/>
    </xf>
    <xf numFmtId="167" fontId="41" fillId="0" borderId="38" xfId="14" applyFont="1" applyBorder="1" applyAlignment="1" applyProtection="1">
      <alignment horizontal="center" vertical="center"/>
    </xf>
    <xf numFmtId="0" fontId="41" fillId="0" borderId="37" xfId="16" applyFont="1" applyBorder="1" applyAlignment="1">
      <alignment horizontal="center" vertical="center"/>
    </xf>
    <xf numFmtId="0" fontId="35" fillId="16" borderId="25" xfId="72" applyNumberFormat="1" applyFont="1" applyFill="1" applyBorder="1" applyAlignment="1" applyProtection="1">
      <alignment horizontal="center" vertical="center" wrapText="1"/>
    </xf>
    <xf numFmtId="167" fontId="35" fillId="16" borderId="25" xfId="14" applyFont="1" applyFill="1" applyBorder="1" applyAlignment="1" applyProtection="1">
      <alignment horizontal="center" vertical="center" wrapText="1"/>
    </xf>
    <xf numFmtId="167" fontId="35" fillId="16" borderId="27" xfId="14" applyFont="1" applyFill="1" applyBorder="1" applyAlignment="1" applyProtection="1">
      <alignment vertical="center" wrapText="1"/>
    </xf>
    <xf numFmtId="167" fontId="35" fillId="16" borderId="27" xfId="14" applyFont="1" applyFill="1" applyBorder="1" applyAlignment="1" applyProtection="1">
      <alignment horizontal="center" vertical="center" wrapText="1"/>
    </xf>
    <xf numFmtId="167" fontId="35" fillId="16" borderId="24" xfId="14" applyFont="1" applyFill="1" applyBorder="1" applyAlignment="1" applyProtection="1">
      <alignment vertical="center" wrapText="1"/>
    </xf>
    <xf numFmtId="167" fontId="35" fillId="16" borderId="26" xfId="14" applyFont="1" applyFill="1" applyBorder="1" applyAlignment="1" applyProtection="1">
      <alignment horizontal="center" vertical="center" wrapText="1"/>
    </xf>
    <xf numFmtId="0" fontId="41" fillId="0" borderId="0" xfId="16" applyFont="1" applyAlignment="1">
      <alignment vertical="center"/>
    </xf>
    <xf numFmtId="0" fontId="53" fillId="0" borderId="0" xfId="16" applyFont="1" applyAlignment="1">
      <alignment horizontal="left" vertical="center"/>
    </xf>
    <xf numFmtId="0" fontId="37" fillId="0" borderId="0" xfId="16" applyFont="1" applyAlignment="1">
      <alignment horizontal="left" vertical="center" wrapText="1"/>
    </xf>
    <xf numFmtId="0" fontId="41" fillId="0" borderId="0" xfId="16" applyFont="1" applyAlignment="1">
      <alignment horizontal="left" vertical="center"/>
    </xf>
    <xf numFmtId="0" fontId="43" fillId="0" borderId="0" xfId="16" applyFont="1" applyAlignment="1">
      <alignment horizontal="left" vertical="center" wrapText="1"/>
    </xf>
    <xf numFmtId="0" fontId="41" fillId="0" borderId="0" xfId="16" applyFont="1" applyAlignment="1">
      <alignment horizontal="center" vertical="center"/>
    </xf>
    <xf numFmtId="2" fontId="41" fillId="0" borderId="0" xfId="16" applyNumberFormat="1" applyFont="1" applyAlignment="1">
      <alignment horizontal="center" vertical="center"/>
    </xf>
    <xf numFmtId="0" fontId="41" fillId="0" borderId="0" xfId="16" applyFont="1" applyAlignment="1">
      <alignment horizontal="left" vertical="center" wrapText="1"/>
    </xf>
    <xf numFmtId="0" fontId="35" fillId="16" borderId="17" xfId="72" applyNumberFormat="1" applyFont="1" applyFill="1" applyBorder="1" applyAlignment="1" applyProtection="1">
      <alignment horizontal="center" vertical="center" wrapText="1"/>
    </xf>
    <xf numFmtId="0" fontId="41" fillId="37" borderId="39" xfId="72" applyNumberFormat="1" applyFont="1" applyFill="1" applyBorder="1" applyAlignment="1" applyProtection="1">
      <alignment horizontal="center" vertical="center"/>
    </xf>
    <xf numFmtId="0" fontId="35" fillId="16" borderId="32" xfId="72" applyNumberFormat="1" applyFont="1" applyFill="1" applyBorder="1" applyAlignment="1" applyProtection="1">
      <alignment horizontal="center" vertical="center" wrapText="1"/>
    </xf>
    <xf numFmtId="2" fontId="41" fillId="0" borderId="2" xfId="16" applyNumberFormat="1" applyFont="1" applyBorder="1" applyAlignment="1">
      <alignment horizontal="center" vertical="center"/>
    </xf>
    <xf numFmtId="0" fontId="35" fillId="16" borderId="33" xfId="72" applyNumberFormat="1" applyFont="1" applyFill="1" applyBorder="1" applyAlignment="1" applyProtection="1">
      <alignment horizontal="center" vertical="center" wrapText="1"/>
    </xf>
    <xf numFmtId="0" fontId="37" fillId="0" borderId="2" xfId="16" applyFont="1" applyBorder="1" applyAlignment="1">
      <alignment vertical="center" wrapText="1"/>
    </xf>
    <xf numFmtId="0" fontId="35" fillId="32" borderId="2" xfId="82" applyFont="1" applyFill="1" applyBorder="1" applyAlignment="1">
      <alignment horizontal="center" vertical="center" wrapText="1"/>
    </xf>
    <xf numFmtId="0" fontId="35" fillId="32" borderId="2" xfId="82" applyFont="1" applyFill="1" applyBorder="1" applyAlignment="1">
      <alignment horizontal="center" vertical="center"/>
    </xf>
    <xf numFmtId="0" fontId="35" fillId="0" borderId="2" xfId="82" applyFont="1" applyBorder="1" applyAlignment="1">
      <alignment horizontal="center" vertical="center" wrapText="1"/>
    </xf>
    <xf numFmtId="0" fontId="41" fillId="0" borderId="2" xfId="0" applyFont="1" applyBorder="1" applyAlignment="1">
      <alignment vertical="center" wrapText="1"/>
    </xf>
    <xf numFmtId="168" fontId="41" fillId="0" borderId="2" xfId="83" applyFont="1" applyBorder="1" applyAlignment="1" applyProtection="1">
      <alignment vertical="center"/>
    </xf>
    <xf numFmtId="0" fontId="41" fillId="0" borderId="2" xfId="0" applyFont="1" applyBorder="1" applyAlignment="1">
      <alignment horizontal="center" vertical="center"/>
    </xf>
    <xf numFmtId="10" fontId="41" fillId="0" borderId="2" xfId="0" applyNumberFormat="1" applyFont="1" applyBorder="1" applyAlignment="1">
      <alignment horizontal="center" vertical="center"/>
    </xf>
    <xf numFmtId="43" fontId="41" fillId="0" borderId="2" xfId="0" applyNumberFormat="1" applyFont="1" applyBorder="1" applyAlignment="1">
      <alignment horizontal="right" vertical="center"/>
    </xf>
    <xf numFmtId="0" fontId="41" fillId="34" borderId="2" xfId="0" applyFont="1" applyFill="1" applyBorder="1" applyAlignment="1">
      <alignment horizontal="center" vertical="center"/>
    </xf>
    <xf numFmtId="43" fontId="35" fillId="34" borderId="2" xfId="82" applyNumberFormat="1" applyFont="1" applyFill="1" applyBorder="1"/>
    <xf numFmtId="10" fontId="41" fillId="0" borderId="2" xfId="82" applyNumberFormat="1" applyFont="1" applyBorder="1" applyAlignment="1">
      <alignment horizontal="center"/>
    </xf>
    <xf numFmtId="0" fontId="41" fillId="0" borderId="2" xfId="82" applyFont="1" applyBorder="1"/>
    <xf numFmtId="10" fontId="41" fillId="34" borderId="2" xfId="82" applyNumberFormat="1" applyFont="1" applyFill="1" applyBorder="1" applyAlignment="1">
      <alignment horizontal="center"/>
    </xf>
    <xf numFmtId="43" fontId="37" fillId="0" borderId="0" xfId="16" applyNumberFormat="1" applyFont="1"/>
    <xf numFmtId="0" fontId="37" fillId="0" borderId="2" xfId="16" applyFont="1" applyBorder="1"/>
    <xf numFmtId="3" fontId="37" fillId="0" borderId="2" xfId="16" applyNumberFormat="1" applyFont="1" applyBorder="1" applyAlignment="1">
      <alignment horizontal="center" vertical="center"/>
    </xf>
    <xf numFmtId="0" fontId="37" fillId="0" borderId="2" xfId="16" applyFont="1" applyBorder="1" applyAlignment="1">
      <alignment horizontal="center" vertical="center"/>
    </xf>
    <xf numFmtId="0" fontId="37" fillId="0" borderId="2" xfId="16" applyFont="1" applyBorder="1" applyAlignment="1">
      <alignment wrapText="1"/>
    </xf>
    <xf numFmtId="0" fontId="41" fillId="0" borderId="2" xfId="16" applyFont="1" applyBorder="1" applyAlignment="1">
      <alignment wrapText="1"/>
    </xf>
    <xf numFmtId="0" fontId="37" fillId="0" borderId="2" xfId="16" applyFont="1" applyBorder="1" applyAlignment="1">
      <alignment horizontal="left"/>
    </xf>
    <xf numFmtId="0" fontId="37" fillId="2" borderId="0" xfId="36" applyFont="1" applyFill="1"/>
    <xf numFmtId="0" fontId="55" fillId="2" borderId="0" xfId="36" applyFont="1" applyFill="1"/>
    <xf numFmtId="0" fontId="37" fillId="3" borderId="2" xfId="36" applyFont="1" applyFill="1" applyBorder="1"/>
    <xf numFmtId="0" fontId="37" fillId="2" borderId="0" xfId="36" applyFont="1" applyFill="1" applyAlignment="1">
      <alignment vertical="center"/>
    </xf>
    <xf numFmtId="0" fontId="36" fillId="2" borderId="0" xfId="36" applyFont="1" applyFill="1" applyAlignment="1">
      <alignment vertical="center"/>
    </xf>
    <xf numFmtId="0" fontId="36" fillId="3" borderId="0" xfId="36" applyFont="1" applyFill="1" applyAlignment="1">
      <alignment vertical="center"/>
    </xf>
    <xf numFmtId="0" fontId="36" fillId="2" borderId="0" xfId="36" applyFont="1" applyFill="1"/>
    <xf numFmtId="0" fontId="41" fillId="0" borderId="0" xfId="36" applyFont="1"/>
    <xf numFmtId="0" fontId="37" fillId="2" borderId="0" xfId="36" applyFont="1" applyFill="1" applyAlignment="1">
      <alignment vertical="top"/>
    </xf>
    <xf numFmtId="0" fontId="56" fillId="2" borderId="0" xfId="36" applyFont="1" applyFill="1" applyAlignment="1">
      <alignment vertical="center"/>
    </xf>
    <xf numFmtId="0" fontId="36" fillId="4" borderId="0" xfId="36" applyFont="1" applyFill="1"/>
    <xf numFmtId="0" fontId="57" fillId="5" borderId="0" xfId="36" applyFont="1" applyFill="1"/>
    <xf numFmtId="0" fontId="58" fillId="0" borderId="3" xfId="0" applyFont="1" applyBorder="1"/>
    <xf numFmtId="0" fontId="41" fillId="0" borderId="4" xfId="0" applyFont="1" applyBorder="1"/>
    <xf numFmtId="0" fontId="37" fillId="0" borderId="4" xfId="0" applyFont="1" applyBorder="1"/>
    <xf numFmtId="0" fontId="37" fillId="0" borderId="5" xfId="0" applyFont="1" applyBorder="1"/>
    <xf numFmtId="0" fontId="58" fillId="0" borderId="6" xfId="0" applyFont="1" applyBorder="1"/>
    <xf numFmtId="0" fontId="41" fillId="0" borderId="0" xfId="0" applyFont="1"/>
    <xf numFmtId="0" fontId="37" fillId="0" borderId="0" xfId="0" applyFont="1"/>
    <xf numFmtId="0" fontId="37" fillId="0" borderId="7" xfId="0" applyFont="1" applyBorder="1"/>
    <xf numFmtId="0" fontId="58" fillId="0" borderId="8" xfId="0" applyFont="1" applyBorder="1"/>
    <xf numFmtId="0" fontId="46" fillId="0" borderId="9" xfId="0" applyFont="1" applyBorder="1" applyAlignment="1">
      <alignment horizontal="left"/>
    </xf>
    <xf numFmtId="0" fontId="41" fillId="0" borderId="9" xfId="0" applyFont="1" applyBorder="1"/>
    <xf numFmtId="0" fontId="37" fillId="0" borderId="9" xfId="0" applyFont="1" applyBorder="1"/>
    <xf numFmtId="0" fontId="37" fillId="0" borderId="10" xfId="0" applyFont="1" applyBorder="1"/>
    <xf numFmtId="0" fontId="60" fillId="4" borderId="13" xfId="0" applyFont="1" applyFill="1" applyBorder="1" applyAlignment="1">
      <alignment vertical="center"/>
    </xf>
    <xf numFmtId="0" fontId="48" fillId="4" borderId="14" xfId="0" applyFont="1" applyFill="1" applyBorder="1" applyAlignment="1">
      <alignment vertical="center"/>
    </xf>
    <xf numFmtId="0" fontId="38" fillId="4" borderId="14" xfId="0" applyFont="1" applyFill="1" applyBorder="1" applyAlignment="1">
      <alignment vertical="center"/>
    </xf>
    <xf numFmtId="0" fontId="38" fillId="4" borderId="15" xfId="0" applyFont="1" applyFill="1" applyBorder="1" applyAlignment="1">
      <alignment vertical="center"/>
    </xf>
    <xf numFmtId="0" fontId="61" fillId="4" borderId="14" xfId="0" applyFont="1" applyFill="1" applyBorder="1" applyAlignment="1">
      <alignment horizontal="center" vertical="center" wrapText="1"/>
    </xf>
    <xf numFmtId="0" fontId="61" fillId="4" borderId="15" xfId="0" applyFont="1" applyFill="1" applyBorder="1" applyAlignment="1">
      <alignment vertical="center" wrapText="1"/>
    </xf>
    <xf numFmtId="0" fontId="48" fillId="0" borderId="0" xfId="0" applyFont="1" applyAlignment="1">
      <alignment vertical="center"/>
    </xf>
    <xf numFmtId="0" fontId="41" fillId="4" borderId="12" xfId="0" applyFont="1" applyFill="1" applyBorder="1" applyAlignment="1">
      <alignment vertical="center" wrapText="1"/>
    </xf>
    <xf numFmtId="0" fontId="48" fillId="4" borderId="22" xfId="0" applyFont="1" applyFill="1" applyBorder="1" applyAlignment="1">
      <alignment horizontal="center" vertical="center" wrapText="1"/>
    </xf>
    <xf numFmtId="0" fontId="46" fillId="4" borderId="23" xfId="0" applyFont="1" applyFill="1" applyBorder="1" applyAlignment="1">
      <alignment horizontal="center" vertical="center" wrapText="1"/>
    </xf>
    <xf numFmtId="0" fontId="41" fillId="4" borderId="24" xfId="0" applyFont="1" applyFill="1" applyBorder="1" applyAlignment="1">
      <alignment horizontal="center" vertical="center"/>
    </xf>
    <xf numFmtId="0" fontId="41" fillId="4" borderId="25" xfId="0" applyFont="1" applyFill="1" applyBorder="1" applyAlignment="1">
      <alignment horizontal="center" vertical="center" wrapText="1"/>
    </xf>
    <xf numFmtId="0" fontId="41" fillId="4" borderId="26" xfId="0" applyFont="1" applyFill="1" applyBorder="1" applyAlignment="1">
      <alignment horizontal="center" vertical="center" wrapText="1"/>
    </xf>
    <xf numFmtId="0" fontId="62" fillId="4" borderId="25" xfId="0" applyFont="1" applyFill="1" applyBorder="1" applyAlignment="1">
      <alignment horizontal="center" vertical="center" wrapText="1"/>
    </xf>
    <xf numFmtId="0" fontId="41" fillId="4" borderId="24" xfId="0" applyFont="1" applyFill="1" applyBorder="1" applyAlignment="1">
      <alignment horizontal="center" vertical="center" wrapText="1"/>
    </xf>
    <xf numFmtId="0" fontId="41" fillId="4" borderId="27" xfId="0" applyFont="1" applyFill="1" applyBorder="1" applyAlignment="1">
      <alignment horizontal="center" vertical="center" wrapText="1"/>
    </xf>
    <xf numFmtId="0" fontId="46" fillId="4" borderId="26" xfId="0" applyFont="1" applyFill="1" applyBorder="1" applyAlignment="1">
      <alignment horizontal="center" vertical="center" wrapText="1"/>
    </xf>
    <xf numFmtId="0" fontId="41" fillId="4" borderId="22" xfId="16" applyFont="1" applyFill="1" applyBorder="1" applyAlignment="1">
      <alignment horizontal="center" vertical="center" wrapText="1"/>
    </xf>
    <xf numFmtId="0" fontId="41" fillId="4" borderId="28" xfId="16" applyFont="1" applyFill="1" applyBorder="1" applyAlignment="1">
      <alignment horizontal="center" vertical="center" wrapText="1"/>
    </xf>
    <xf numFmtId="0" fontId="46" fillId="4" borderId="23" xfId="16" applyFont="1" applyFill="1" applyBorder="1" applyAlignment="1">
      <alignment horizontal="center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/>
    </xf>
    <xf numFmtId="4" fontId="37" fillId="0" borderId="32" xfId="0" applyNumberFormat="1" applyFont="1" applyBorder="1" applyAlignment="1">
      <alignment horizontal="center" vertical="center" wrapText="1"/>
    </xf>
    <xf numFmtId="4" fontId="41" fillId="0" borderId="19" xfId="0" applyNumberFormat="1" applyFont="1" applyBorder="1" applyAlignment="1">
      <alignment horizontal="center" vertical="center" wrapText="1"/>
    </xf>
    <xf numFmtId="4" fontId="37" fillId="2" borderId="20" xfId="0" applyNumberFormat="1" applyFont="1" applyFill="1" applyBorder="1" applyAlignment="1">
      <alignment horizontal="center" vertical="center"/>
    </xf>
    <xf numFmtId="1" fontId="62" fillId="0" borderId="32" xfId="0" applyNumberFormat="1" applyFont="1" applyBorder="1" applyAlignment="1">
      <alignment horizontal="center" vertical="center" wrapText="1"/>
    </xf>
    <xf numFmtId="4" fontId="35" fillId="0" borderId="33" xfId="0" applyNumberFormat="1" applyFont="1" applyBorder="1" applyAlignment="1">
      <alignment horizontal="center" vertical="center" wrapText="1"/>
    </xf>
    <xf numFmtId="4" fontId="41" fillId="0" borderId="34" xfId="0" applyNumberFormat="1" applyFont="1" applyBorder="1" applyAlignment="1">
      <alignment horizontal="center" vertical="center" wrapText="1"/>
    </xf>
    <xf numFmtId="2" fontId="41" fillId="0" borderId="32" xfId="0" applyNumberFormat="1" applyFont="1" applyBorder="1" applyAlignment="1">
      <alignment horizontal="center" vertical="center" wrapText="1"/>
    </xf>
    <xf numFmtId="4" fontId="35" fillId="0" borderId="19" xfId="0" applyNumberFormat="1" applyFont="1" applyBorder="1" applyAlignment="1">
      <alignment horizontal="center" vertical="center" wrapText="1"/>
    </xf>
    <xf numFmtId="4" fontId="41" fillId="0" borderId="31" xfId="0" applyNumberFormat="1" applyFont="1" applyBorder="1" applyAlignment="1">
      <alignment horizontal="right" vertical="center" wrapText="1"/>
    </xf>
    <xf numFmtId="0" fontId="41" fillId="0" borderId="32" xfId="0" applyFont="1" applyBorder="1" applyAlignment="1">
      <alignment horizontal="center" vertical="center" wrapText="1"/>
    </xf>
    <xf numFmtId="4" fontId="40" fillId="0" borderId="19" xfId="0" applyNumberFormat="1" applyFont="1" applyBorder="1" applyAlignment="1">
      <alignment horizontal="center" vertical="center" wrapText="1"/>
    </xf>
    <xf numFmtId="4" fontId="40" fillId="0" borderId="29" xfId="0" applyNumberFormat="1" applyFont="1" applyBorder="1" applyAlignment="1">
      <alignment horizontal="center" vertical="center" wrapText="1"/>
    </xf>
    <xf numFmtId="4" fontId="40" fillId="0" borderId="35" xfId="0" applyNumberFormat="1" applyFont="1" applyBorder="1" applyAlignment="1">
      <alignment horizontal="center" vertical="center" wrapText="1"/>
    </xf>
    <xf numFmtId="4" fontId="40" fillId="0" borderId="30" xfId="0" applyNumberFormat="1" applyFont="1" applyBorder="1" applyAlignment="1">
      <alignment horizontal="center" vertical="center" wrapText="1"/>
    </xf>
    <xf numFmtId="4" fontId="35" fillId="0" borderId="36" xfId="0" applyNumberFormat="1" applyFont="1" applyBorder="1" applyAlignment="1">
      <alignment horizontal="center" vertical="center" wrapText="1"/>
    </xf>
    <xf numFmtId="170" fontId="36" fillId="2" borderId="39" xfId="0" applyNumberFormat="1" applyFont="1" applyFill="1" applyBorder="1" applyAlignment="1">
      <alignment horizontal="center" vertical="center"/>
    </xf>
    <xf numFmtId="170" fontId="36" fillId="0" borderId="17" xfId="0" applyNumberFormat="1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4" fontId="40" fillId="0" borderId="37" xfId="0" applyNumberFormat="1" applyFont="1" applyBorder="1" applyAlignment="1">
      <alignment horizontal="center" vertical="center" wrapText="1"/>
    </xf>
    <xf numFmtId="4" fontId="40" fillId="0" borderId="2" xfId="0" applyNumberFormat="1" applyFont="1" applyBorder="1" applyAlignment="1">
      <alignment horizontal="center" vertical="center" wrapText="1"/>
    </xf>
    <xf numFmtId="4" fontId="40" fillId="0" borderId="38" xfId="0" applyNumberFormat="1" applyFont="1" applyBorder="1" applyAlignment="1">
      <alignment horizontal="center" vertical="center" wrapText="1"/>
    </xf>
    <xf numFmtId="0" fontId="37" fillId="0" borderId="37" xfId="0" applyFont="1" applyBorder="1" applyAlignment="1">
      <alignment horizontal="left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4" fontId="41" fillId="0" borderId="37" xfId="0" applyNumberFormat="1" applyFont="1" applyBorder="1" applyAlignment="1">
      <alignment horizontal="center" vertical="center" wrapText="1"/>
    </xf>
    <xf numFmtId="4" fontId="41" fillId="0" borderId="37" xfId="0" applyNumberFormat="1" applyFont="1" applyBorder="1" applyAlignment="1">
      <alignment horizontal="right" vertical="center" wrapText="1"/>
    </xf>
    <xf numFmtId="1" fontId="37" fillId="0" borderId="33" xfId="0" applyNumberFormat="1" applyFont="1" applyBorder="1" applyAlignment="1">
      <alignment horizontal="center" vertical="center" wrapText="1"/>
    </xf>
    <xf numFmtId="1" fontId="41" fillId="0" borderId="31" xfId="0" applyNumberFormat="1" applyFont="1" applyBorder="1" applyAlignment="1">
      <alignment horizontal="center" vertical="center"/>
    </xf>
    <xf numFmtId="4" fontId="37" fillId="2" borderId="19" xfId="0" applyNumberFormat="1" applyFont="1" applyFill="1" applyBorder="1" applyAlignment="1">
      <alignment horizontal="center" vertical="center"/>
    </xf>
    <xf numFmtId="4" fontId="37" fillId="2" borderId="33" xfId="0" applyNumberFormat="1" applyFont="1" applyFill="1" applyBorder="1" applyAlignment="1">
      <alignment horizontal="center" vertical="center"/>
    </xf>
    <xf numFmtId="4" fontId="37" fillId="2" borderId="31" xfId="0" applyNumberFormat="1" applyFont="1" applyFill="1" applyBorder="1" applyAlignment="1">
      <alignment horizontal="center" vertical="center"/>
    </xf>
    <xf numFmtId="4" fontId="37" fillId="2" borderId="31" xfId="0" applyNumberFormat="1" applyFont="1" applyFill="1" applyBorder="1" applyAlignment="1">
      <alignment horizontal="right" vertical="center"/>
    </xf>
    <xf numFmtId="4" fontId="37" fillId="2" borderId="38" xfId="0" applyNumberFormat="1" applyFont="1" applyFill="1" applyBorder="1" applyAlignment="1">
      <alignment horizontal="center" vertical="center"/>
    </xf>
    <xf numFmtId="4" fontId="37" fillId="2" borderId="37" xfId="0" applyNumberFormat="1" applyFont="1" applyFill="1" applyBorder="1" applyAlignment="1">
      <alignment horizontal="center" vertical="center"/>
    </xf>
    <xf numFmtId="4" fontId="37" fillId="2" borderId="37" xfId="0" applyNumberFormat="1" applyFont="1" applyFill="1" applyBorder="1" applyAlignment="1">
      <alignment horizontal="right" vertical="center"/>
    </xf>
    <xf numFmtId="0" fontId="51" fillId="2" borderId="40" xfId="0" applyFont="1" applyFill="1" applyBorder="1" applyAlignment="1">
      <alignment horizontal="center" vertical="center"/>
    </xf>
    <xf numFmtId="4" fontId="51" fillId="4" borderId="41" xfId="0" applyNumberFormat="1" applyFont="1" applyFill="1" applyBorder="1" applyAlignment="1">
      <alignment horizontal="center" vertical="center"/>
    </xf>
    <xf numFmtId="4" fontId="51" fillId="2" borderId="42" xfId="0" applyNumberFormat="1" applyFont="1" applyFill="1" applyBorder="1" applyAlignment="1">
      <alignment horizontal="center" vertical="center"/>
    </xf>
    <xf numFmtId="4" fontId="48" fillId="4" borderId="40" xfId="0" applyNumberFormat="1" applyFont="1" applyFill="1" applyBorder="1" applyAlignment="1">
      <alignment horizontal="center" vertical="center"/>
    </xf>
    <xf numFmtId="3" fontId="48" fillId="2" borderId="41" xfId="0" applyNumberFormat="1" applyFont="1" applyFill="1" applyBorder="1" applyAlignment="1">
      <alignment horizontal="center" vertical="center"/>
    </xf>
    <xf numFmtId="4" fontId="51" fillId="2" borderId="43" xfId="0" applyNumberFormat="1" applyFont="1" applyFill="1" applyBorder="1" applyAlignment="1">
      <alignment horizontal="center" vertical="center"/>
    </xf>
    <xf numFmtId="4" fontId="51" fillId="4" borderId="44" xfId="0" applyNumberFormat="1" applyFont="1" applyFill="1" applyBorder="1" applyAlignment="1">
      <alignment horizontal="center" vertical="center"/>
    </xf>
    <xf numFmtId="4" fontId="51" fillId="9" borderId="43" xfId="0" applyNumberFormat="1" applyFont="1" applyFill="1" applyBorder="1" applyAlignment="1">
      <alignment horizontal="center" vertical="center"/>
    </xf>
    <xf numFmtId="4" fontId="51" fillId="9" borderId="4" xfId="0" applyNumberFormat="1" applyFont="1" applyFill="1" applyBorder="1" applyAlignment="1">
      <alignment horizontal="center" vertical="center"/>
    </xf>
    <xf numFmtId="170" fontId="51" fillId="2" borderId="12" xfId="0" applyNumberFormat="1" applyFont="1" applyFill="1" applyBorder="1" applyAlignment="1">
      <alignment horizontal="center" vertical="center"/>
    </xf>
    <xf numFmtId="170" fontId="51" fillId="2" borderId="12" xfId="0" applyNumberFormat="1" applyFont="1" applyFill="1" applyBorder="1" applyAlignment="1">
      <alignment horizontal="right" vertical="center"/>
    </xf>
    <xf numFmtId="170" fontId="36" fillId="2" borderId="12" xfId="0" applyNumberFormat="1" applyFont="1" applyFill="1" applyBorder="1" applyAlignment="1">
      <alignment horizontal="center" vertical="center"/>
    </xf>
    <xf numFmtId="170" fontId="36" fillId="8" borderId="16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170" fontId="63" fillId="27" borderId="12" xfId="0" applyNumberFormat="1" applyFont="1" applyFill="1" applyBorder="1" applyAlignment="1">
      <alignment horizontal="center" vertical="center"/>
    </xf>
    <xf numFmtId="4" fontId="37" fillId="0" borderId="0" xfId="0" applyNumberFormat="1" applyFont="1"/>
    <xf numFmtId="167" fontId="41" fillId="0" borderId="0" xfId="2" applyFont="1"/>
    <xf numFmtId="43" fontId="37" fillId="0" borderId="0" xfId="0" applyNumberFormat="1" applyFont="1"/>
    <xf numFmtId="170" fontId="36" fillId="12" borderId="12" xfId="0" applyNumberFormat="1" applyFont="1" applyFill="1" applyBorder="1"/>
    <xf numFmtId="0" fontId="36" fillId="0" borderId="0" xfId="0" applyFont="1"/>
    <xf numFmtId="0" fontId="24" fillId="38" borderId="37" xfId="0" applyFont="1" applyFill="1" applyBorder="1" applyAlignment="1">
      <alignment horizontal="center" vertical="center" wrapText="1"/>
    </xf>
    <xf numFmtId="0" fontId="24" fillId="38" borderId="2" xfId="0" applyFont="1" applyFill="1" applyBorder="1" applyAlignment="1">
      <alignment horizontal="center" vertical="center" wrapText="1"/>
    </xf>
    <xf numFmtId="0" fontId="64" fillId="0" borderId="0" xfId="16" applyFont="1"/>
    <xf numFmtId="0" fontId="65" fillId="0" borderId="0" xfId="0" applyFont="1" applyAlignment="1">
      <alignment horizontal="center" vertical="center"/>
    </xf>
    <xf numFmtId="10" fontId="66" fillId="0" borderId="37" xfId="3" applyNumberFormat="1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10" fontId="66" fillId="0" borderId="37" xfId="3" applyNumberFormat="1" applyFont="1" applyBorder="1" applyAlignment="1">
      <alignment horizontal="center" vertical="top"/>
    </xf>
    <xf numFmtId="10" fontId="66" fillId="0" borderId="24" xfId="3" applyNumberFormat="1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center"/>
    </xf>
    <xf numFmtId="0" fontId="63" fillId="0" borderId="0" xfId="16" applyFont="1"/>
    <xf numFmtId="170" fontId="68" fillId="34" borderId="38" xfId="2" applyNumberFormat="1" applyFont="1" applyFill="1" applyBorder="1" applyAlignment="1">
      <alignment horizontal="center" vertical="center"/>
    </xf>
    <xf numFmtId="0" fontId="36" fillId="0" borderId="0" xfId="16" applyFont="1"/>
    <xf numFmtId="167" fontId="50" fillId="39" borderId="26" xfId="2" applyFont="1" applyFill="1" applyBorder="1" applyAlignment="1">
      <alignment horizontal="center" vertical="center"/>
    </xf>
    <xf numFmtId="0" fontId="69" fillId="0" borderId="3" xfId="0" applyFont="1" applyBorder="1"/>
    <xf numFmtId="0" fontId="70" fillId="0" borderId="0" xfId="0" applyFont="1" applyAlignment="1">
      <alignment vertical="center"/>
    </xf>
    <xf numFmtId="0" fontId="46" fillId="0" borderId="4" xfId="0" applyFont="1" applyBorder="1"/>
    <xf numFmtId="0" fontId="69" fillId="0" borderId="6" xfId="0" applyFont="1" applyBorder="1"/>
    <xf numFmtId="0" fontId="46" fillId="0" borderId="0" xfId="0" applyFont="1"/>
    <xf numFmtId="0" fontId="37" fillId="0" borderId="0" xfId="0" applyFont="1" applyAlignment="1">
      <alignment vertical="center"/>
    </xf>
    <xf numFmtId="0" fontId="37" fillId="4" borderId="13" xfId="0" applyFont="1" applyFill="1" applyBorder="1" applyAlignment="1">
      <alignment horizontal="center" vertical="center" textRotation="90" wrapText="1"/>
    </xf>
    <xf numFmtId="0" fontId="37" fillId="4" borderId="18" xfId="0" applyFont="1" applyFill="1" applyBorder="1" applyAlignment="1">
      <alignment horizontal="center" vertical="center" wrapText="1"/>
    </xf>
    <xf numFmtId="0" fontId="37" fillId="4" borderId="46" xfId="0" applyFont="1" applyFill="1" applyBorder="1" applyAlignment="1">
      <alignment horizontal="center" vertical="center" wrapText="1"/>
    </xf>
    <xf numFmtId="0" fontId="37" fillId="0" borderId="36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center" vertical="center" wrapText="1"/>
    </xf>
    <xf numFmtId="170" fontId="37" fillId="3" borderId="32" xfId="0" applyNumberFormat="1" applyFont="1" applyFill="1" applyBorder="1" applyAlignment="1" applyProtection="1">
      <alignment horizontal="right" vertical="center" wrapText="1"/>
      <protection locked="0"/>
    </xf>
    <xf numFmtId="170" fontId="37" fillId="0" borderId="32" xfId="0" applyNumberFormat="1" applyFont="1" applyBorder="1" applyAlignment="1">
      <alignment horizontal="right" vertical="center" wrapText="1"/>
    </xf>
    <xf numFmtId="4" fontId="37" fillId="0" borderId="32" xfId="0" applyNumberFormat="1" applyFont="1" applyBorder="1" applyAlignment="1">
      <alignment horizontal="right" vertical="center" wrapText="1"/>
    </xf>
    <xf numFmtId="0" fontId="37" fillId="0" borderId="48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170" fontId="37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45" xfId="0" applyFont="1" applyBorder="1" applyAlignment="1">
      <alignment horizontal="left" vertical="center"/>
    </xf>
    <xf numFmtId="1" fontId="37" fillId="0" borderId="32" xfId="0" applyNumberFormat="1" applyFont="1" applyBorder="1" applyAlignment="1">
      <alignment horizontal="center" vertical="center"/>
    </xf>
    <xf numFmtId="170" fontId="37" fillId="3" borderId="32" xfId="0" applyNumberFormat="1" applyFont="1" applyFill="1" applyBorder="1" applyAlignment="1" applyProtection="1">
      <alignment vertical="center"/>
      <protection locked="0"/>
    </xf>
    <xf numFmtId="170" fontId="37" fillId="0" borderId="32" xfId="0" applyNumberFormat="1" applyFont="1" applyBorder="1" applyAlignment="1">
      <alignment vertical="center"/>
    </xf>
    <xf numFmtId="1" fontId="37" fillId="0" borderId="2" xfId="0" applyNumberFormat="1" applyFont="1" applyBorder="1" applyAlignment="1">
      <alignment horizontal="center" vertical="center"/>
    </xf>
    <xf numFmtId="170" fontId="37" fillId="3" borderId="2" xfId="0" applyNumberFormat="1" applyFont="1" applyFill="1" applyBorder="1" applyAlignment="1" applyProtection="1">
      <alignment vertical="center"/>
      <protection locked="0"/>
    </xf>
    <xf numFmtId="170" fontId="37" fillId="0" borderId="2" xfId="0" applyNumberFormat="1" applyFont="1" applyBorder="1" applyAlignment="1">
      <alignment vertical="center"/>
    </xf>
    <xf numFmtId="0" fontId="36" fillId="0" borderId="0" xfId="16" applyFont="1" applyAlignment="1">
      <alignment vertical="center"/>
    </xf>
    <xf numFmtId="0" fontId="37" fillId="0" borderId="2" xfId="0" applyFont="1" applyBorder="1" applyAlignment="1">
      <alignment horizontal="center"/>
    </xf>
    <xf numFmtId="10" fontId="37" fillId="0" borderId="2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 vertical="center"/>
    </xf>
    <xf numFmtId="4" fontId="37" fillId="3" borderId="28" xfId="0" applyNumberFormat="1" applyFont="1" applyFill="1" applyBorder="1" applyAlignment="1" applyProtection="1">
      <alignment horizontal="center" vertical="center"/>
      <protection locked="0"/>
    </xf>
    <xf numFmtId="0" fontId="37" fillId="0" borderId="53" xfId="16" applyFont="1" applyBorder="1" applyAlignment="1">
      <alignment horizontal="center" vertical="center"/>
    </xf>
    <xf numFmtId="10" fontId="36" fillId="0" borderId="2" xfId="39" applyNumberFormat="1" applyFont="1" applyBorder="1" applyAlignment="1" applyProtection="1">
      <alignment horizontal="center" vertical="center"/>
    </xf>
    <xf numFmtId="0" fontId="37" fillId="0" borderId="0" xfId="16" applyFont="1" applyAlignment="1">
      <alignment vertical="center"/>
    </xf>
    <xf numFmtId="0" fontId="37" fillId="3" borderId="2" xfId="0" applyFont="1" applyFill="1" applyBorder="1" applyAlignment="1" applyProtection="1">
      <alignment horizontal="center" vertical="center"/>
      <protection locked="0"/>
    </xf>
    <xf numFmtId="171" fontId="37" fillId="0" borderId="0" xfId="0" applyNumberFormat="1" applyFont="1"/>
    <xf numFmtId="10" fontId="37" fillId="0" borderId="0" xfId="0" applyNumberFormat="1" applyFont="1"/>
    <xf numFmtId="0" fontId="37" fillId="0" borderId="2" xfId="0" applyFont="1" applyBorder="1" applyAlignment="1">
      <alignment horizontal="center" vertical="center"/>
    </xf>
    <xf numFmtId="4" fontId="37" fillId="3" borderId="2" xfId="0" applyNumberFormat="1" applyFont="1" applyFill="1" applyBorder="1" applyAlignment="1" applyProtection="1">
      <alignment horizontal="center" vertical="center"/>
      <protection locked="0"/>
    </xf>
    <xf numFmtId="167" fontId="37" fillId="0" borderId="0" xfId="2" applyFont="1" applyBorder="1" applyProtection="1"/>
    <xf numFmtId="0" fontId="37" fillId="0" borderId="32" xfId="0" applyFont="1" applyBorder="1" applyAlignment="1">
      <alignment horizontal="center" vertical="center"/>
    </xf>
    <xf numFmtId="0" fontId="37" fillId="0" borderId="0" xfId="0" applyFont="1" applyAlignment="1">
      <alignment horizontal="left"/>
    </xf>
    <xf numFmtId="4" fontId="24" fillId="0" borderId="2" xfId="0" applyNumberFormat="1" applyFont="1" applyBorder="1" applyAlignment="1">
      <alignment horizontal="center" vertical="center"/>
    </xf>
    <xf numFmtId="10" fontId="36" fillId="3" borderId="2" xfId="3" applyNumberFormat="1" applyFont="1" applyFill="1" applyBorder="1" applyAlignment="1" applyProtection="1">
      <alignment horizontal="center" vertical="center"/>
      <protection locked="0"/>
    </xf>
    <xf numFmtId="2" fontId="37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37" fillId="36" borderId="2" xfId="0" applyNumberFormat="1" applyFont="1" applyFill="1" applyBorder="1" applyAlignment="1" applyProtection="1">
      <alignment horizontal="center" vertical="center" wrapText="1"/>
      <protection locked="0"/>
    </xf>
    <xf numFmtId="168" fontId="37" fillId="3" borderId="2" xfId="76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 wrapText="1"/>
    </xf>
    <xf numFmtId="10" fontId="37" fillId="0" borderId="0" xfId="0" applyNumberFormat="1" applyFont="1" applyAlignment="1">
      <alignment vertical="center"/>
    </xf>
    <xf numFmtId="0" fontId="37" fillId="0" borderId="37" xfId="0" applyFont="1" applyBorder="1" applyAlignment="1">
      <alignment horizontal="center" vertical="center"/>
    </xf>
    <xf numFmtId="10" fontId="37" fillId="3" borderId="2" xfId="0" applyNumberFormat="1" applyFont="1" applyFill="1" applyBorder="1" applyAlignment="1" applyProtection="1">
      <alignment horizontal="center" vertical="center"/>
      <protection locked="0"/>
    </xf>
    <xf numFmtId="0" fontId="37" fillId="0" borderId="59" xfId="0" applyFont="1" applyBorder="1"/>
    <xf numFmtId="0" fontId="37" fillId="0" borderId="74" xfId="0" applyFont="1" applyBorder="1"/>
    <xf numFmtId="0" fontId="37" fillId="0" borderId="74" xfId="0" applyFont="1" applyBorder="1" applyAlignment="1">
      <alignment horizontal="right"/>
    </xf>
    <xf numFmtId="0" fontId="35" fillId="0" borderId="2" xfId="0" applyFont="1" applyBorder="1" applyAlignment="1">
      <alignment horizontal="center" vertical="center" wrapText="1"/>
    </xf>
    <xf numFmtId="0" fontId="37" fillId="35" borderId="2" xfId="0" applyFont="1" applyFill="1" applyBorder="1" applyAlignment="1">
      <alignment horizontal="center" vertical="center"/>
    </xf>
    <xf numFmtId="170" fontId="37" fillId="3" borderId="2" xfId="76" applyNumberFormat="1" applyFont="1" applyFill="1" applyBorder="1" applyAlignment="1" applyProtection="1">
      <alignment horizontal="center" vertical="center"/>
      <protection locked="0"/>
    </xf>
    <xf numFmtId="0" fontId="37" fillId="0" borderId="53" xfId="0" applyFont="1" applyBorder="1" applyAlignment="1">
      <alignment vertical="center" wrapText="1"/>
    </xf>
    <xf numFmtId="0" fontId="37" fillId="35" borderId="2" xfId="0" applyFont="1" applyFill="1" applyBorder="1" applyAlignment="1">
      <alignment horizontal="center" vertical="center" wrapText="1"/>
    </xf>
    <xf numFmtId="0" fontId="46" fillId="0" borderId="3" xfId="0" applyFont="1" applyBorder="1" applyAlignment="1">
      <alignment vertical="center"/>
    </xf>
    <xf numFmtId="0" fontId="46" fillId="0" borderId="4" xfId="0" applyFont="1" applyBorder="1" applyAlignment="1">
      <alignment horizontal="left" vertical="center"/>
    </xf>
    <xf numFmtId="0" fontId="46" fillId="0" borderId="5" xfId="0" applyFont="1" applyBorder="1" applyAlignment="1">
      <alignment horizontal="center" vertical="center"/>
    </xf>
    <xf numFmtId="0" fontId="46" fillId="0" borderId="6" xfId="0" applyFont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46" fillId="0" borderId="7" xfId="0" applyFont="1" applyBorder="1" applyAlignment="1">
      <alignment horizontal="center" vertical="center"/>
    </xf>
    <xf numFmtId="0" fontId="71" fillId="0" borderId="37" xfId="0" applyFont="1" applyBorder="1" applyAlignment="1">
      <alignment horizontal="center"/>
    </xf>
    <xf numFmtId="0" fontId="71" fillId="0" borderId="2" xfId="0" applyFont="1" applyBorder="1" applyAlignment="1">
      <alignment horizontal="center"/>
    </xf>
    <xf numFmtId="0" fontId="71" fillId="0" borderId="38" xfId="0" applyFont="1" applyBorder="1" applyAlignment="1">
      <alignment horizontal="center"/>
    </xf>
    <xf numFmtId="0" fontId="71" fillId="4" borderId="37" xfId="0" applyFont="1" applyFill="1" applyBorder="1" applyAlignment="1">
      <alignment horizontal="center" vertical="center"/>
    </xf>
    <xf numFmtId="0" fontId="41" fillId="2" borderId="37" xfId="0" applyFont="1" applyFill="1" applyBorder="1" applyAlignment="1">
      <alignment horizontal="center" vertical="center"/>
    </xf>
    <xf numFmtId="0" fontId="41" fillId="2" borderId="53" xfId="0" applyFont="1" applyFill="1" applyBorder="1" applyAlignment="1">
      <alignment vertical="center"/>
    </xf>
    <xf numFmtId="10" fontId="41" fillId="3" borderId="38" xfId="0" applyNumberFormat="1" applyFont="1" applyFill="1" applyBorder="1" applyAlignment="1" applyProtection="1">
      <alignment horizontal="center" vertical="center"/>
      <protection locked="0"/>
    </xf>
    <xf numFmtId="10" fontId="41" fillId="2" borderId="38" xfId="0" applyNumberFormat="1" applyFont="1" applyFill="1" applyBorder="1" applyAlignment="1">
      <alignment horizontal="center" vertical="center"/>
    </xf>
    <xf numFmtId="10" fontId="41" fillId="7" borderId="38" xfId="0" applyNumberFormat="1" applyFont="1" applyFill="1" applyBorder="1" applyAlignment="1" applyProtection="1">
      <alignment horizontal="center" vertical="center"/>
      <protection locked="0"/>
    </xf>
    <xf numFmtId="10" fontId="71" fillId="2" borderId="38" xfId="0" applyNumberFormat="1" applyFont="1" applyFill="1" applyBorder="1" applyAlignment="1">
      <alignment horizontal="center" vertical="center"/>
    </xf>
    <xf numFmtId="0" fontId="71" fillId="4" borderId="2" xfId="0" applyFont="1" applyFill="1" applyBorder="1" applyAlignment="1">
      <alignment vertical="center"/>
    </xf>
    <xf numFmtId="0" fontId="71" fillId="4" borderId="23" xfId="0" applyFont="1" applyFill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10" fontId="41" fillId="0" borderId="38" xfId="0" applyNumberFormat="1" applyFont="1" applyBorder="1" applyAlignment="1">
      <alignment horizontal="center" vertical="center"/>
    </xf>
    <xf numFmtId="10" fontId="35" fillId="0" borderId="33" xfId="0" applyNumberFormat="1" applyFont="1" applyBorder="1" applyAlignment="1">
      <alignment horizontal="center" vertical="center"/>
    </xf>
    <xf numFmtId="10" fontId="35" fillId="0" borderId="38" xfId="0" applyNumberFormat="1" applyFont="1" applyBorder="1" applyAlignment="1">
      <alignment horizontal="center" vertical="center"/>
    </xf>
    <xf numFmtId="0" fontId="41" fillId="0" borderId="53" xfId="0" applyFont="1" applyBorder="1" applyAlignment="1">
      <alignment vertical="center"/>
    </xf>
    <xf numFmtId="10" fontId="58" fillId="0" borderId="33" xfId="0" applyNumberFormat="1" applyFont="1" applyBorder="1" applyAlignment="1">
      <alignment horizontal="center" vertical="center"/>
    </xf>
    <xf numFmtId="10" fontId="71" fillId="0" borderId="38" xfId="0" applyNumberFormat="1" applyFont="1" applyBorder="1" applyAlignment="1">
      <alignment horizontal="center" vertical="center"/>
    </xf>
    <xf numFmtId="10" fontId="41" fillId="10" borderId="3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35" fillId="0" borderId="37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10" fontId="58" fillId="0" borderId="38" xfId="0" applyNumberFormat="1" applyFont="1" applyBorder="1" applyAlignment="1">
      <alignment horizontal="center" vertical="center"/>
    </xf>
    <xf numFmtId="10" fontId="71" fillId="4" borderId="26" xfId="0" applyNumberFormat="1" applyFont="1" applyFill="1" applyBorder="1" applyAlignment="1">
      <alignment horizontal="center" vertical="center"/>
    </xf>
    <xf numFmtId="0" fontId="72" fillId="15" borderId="6" xfId="0" applyFont="1" applyFill="1" applyBorder="1"/>
    <xf numFmtId="0" fontId="72" fillId="15" borderId="0" xfId="0" applyFont="1" applyFill="1"/>
    <xf numFmtId="0" fontId="72" fillId="15" borderId="7" xfId="0" applyFont="1" applyFill="1" applyBorder="1"/>
    <xf numFmtId="168" fontId="41" fillId="0" borderId="2" xfId="83" applyFont="1" applyBorder="1" applyAlignment="1" applyProtection="1">
      <alignment horizontal="center" vertical="center"/>
    </xf>
    <xf numFmtId="0" fontId="35" fillId="11" borderId="28" xfId="0" applyFont="1" applyFill="1" applyBorder="1" applyAlignment="1">
      <alignment horizontal="center" vertical="center" wrapText="1"/>
    </xf>
    <xf numFmtId="0" fontId="41" fillId="0" borderId="35" xfId="0" applyFont="1" applyBorder="1" applyAlignment="1">
      <alignment wrapText="1"/>
    </xf>
    <xf numFmtId="170" fontId="41" fillId="0" borderId="35" xfId="0" applyNumberFormat="1" applyFont="1" applyBorder="1" applyAlignment="1">
      <alignment vertical="center" wrapText="1"/>
    </xf>
    <xf numFmtId="0" fontId="41" fillId="0" borderId="2" xfId="0" applyFont="1" applyBorder="1" applyAlignment="1">
      <alignment wrapText="1"/>
    </xf>
    <xf numFmtId="170" fontId="41" fillId="0" borderId="2" xfId="0" applyNumberFormat="1" applyFont="1" applyBorder="1" applyAlignment="1">
      <alignment vertical="center" wrapText="1"/>
    </xf>
    <xf numFmtId="0" fontId="41" fillId="0" borderId="25" xfId="0" applyFont="1" applyBorder="1" applyAlignment="1">
      <alignment wrapText="1"/>
    </xf>
    <xf numFmtId="170" fontId="41" fillId="0" borderId="25" xfId="0" applyNumberFormat="1" applyFont="1" applyBorder="1" applyAlignment="1">
      <alignment vertical="center" wrapText="1"/>
    </xf>
    <xf numFmtId="0" fontId="41" fillId="0" borderId="28" xfId="0" applyFont="1" applyBorder="1" applyAlignment="1">
      <alignment wrapText="1"/>
    </xf>
    <xf numFmtId="170" fontId="41" fillId="0" borderId="28" xfId="0" applyNumberFormat="1" applyFont="1" applyBorder="1" applyAlignment="1">
      <alignment vertical="center" wrapText="1"/>
    </xf>
    <xf numFmtId="0" fontId="41" fillId="0" borderId="18" xfId="0" applyFont="1" applyBorder="1" applyAlignment="1">
      <alignment horizontal="left" vertical="center" wrapText="1"/>
    </xf>
    <xf numFmtId="0" fontId="41" fillId="0" borderId="73" xfId="0" applyFont="1" applyBorder="1" applyAlignment="1">
      <alignment wrapText="1"/>
    </xf>
    <xf numFmtId="170" fontId="41" fillId="0" borderId="46" xfId="0" applyNumberFormat="1" applyFont="1" applyBorder="1" applyAlignment="1">
      <alignment vertical="center" wrapText="1"/>
    </xf>
    <xf numFmtId="170" fontId="41" fillId="0" borderId="47" xfId="0" applyNumberFormat="1" applyFont="1" applyBorder="1" applyAlignment="1">
      <alignment horizontal="center" vertical="center" wrapText="1"/>
    </xf>
    <xf numFmtId="0" fontId="41" fillId="0" borderId="76" xfId="0" applyFont="1" applyBorder="1" applyAlignment="1">
      <alignment horizontal="left" vertical="center" wrapText="1"/>
    </xf>
    <xf numFmtId="0" fontId="41" fillId="0" borderId="85" xfId="0" applyFont="1" applyBorder="1" applyAlignment="1">
      <alignment wrapText="1"/>
    </xf>
    <xf numFmtId="170" fontId="41" fillId="0" borderId="76" xfId="0" applyNumberFormat="1" applyFont="1" applyBorder="1" applyAlignment="1">
      <alignment vertical="center" wrapText="1"/>
    </xf>
    <xf numFmtId="170" fontId="41" fillId="0" borderId="76" xfId="0" applyNumberFormat="1" applyFont="1" applyBorder="1" applyAlignment="1">
      <alignment horizontal="center" vertical="center" wrapText="1"/>
    </xf>
    <xf numFmtId="0" fontId="41" fillId="0" borderId="55" xfId="0" applyFont="1" applyBorder="1" applyAlignment="1">
      <alignment wrapText="1"/>
    </xf>
    <xf numFmtId="0" fontId="41" fillId="0" borderId="45" xfId="0" applyFont="1" applyBorder="1" applyAlignment="1">
      <alignment wrapText="1"/>
    </xf>
    <xf numFmtId="0" fontId="41" fillId="0" borderId="50" xfId="0" applyFont="1" applyBorder="1" applyAlignment="1">
      <alignment wrapText="1"/>
    </xf>
    <xf numFmtId="0" fontId="41" fillId="0" borderId="63" xfId="0" applyFont="1" applyBorder="1" applyAlignment="1">
      <alignment wrapText="1"/>
    </xf>
    <xf numFmtId="170" fontId="41" fillId="0" borderId="41" xfId="0" applyNumberFormat="1" applyFont="1" applyBorder="1" applyAlignment="1">
      <alignment vertical="center" wrapText="1"/>
    </xf>
    <xf numFmtId="0" fontId="41" fillId="0" borderId="27" xfId="0" applyFont="1" applyBorder="1" applyAlignment="1">
      <alignment wrapText="1"/>
    </xf>
    <xf numFmtId="0" fontId="58" fillId="0" borderId="3" xfId="0" applyFont="1" applyBorder="1" applyAlignment="1">
      <alignment vertical="center"/>
    </xf>
    <xf numFmtId="0" fontId="41" fillId="0" borderId="4" xfId="0" applyFont="1" applyBorder="1" applyAlignment="1">
      <alignment horizontal="left"/>
    </xf>
    <xf numFmtId="0" fontId="41" fillId="0" borderId="4" xfId="0" applyFont="1" applyBorder="1" applyAlignment="1">
      <alignment vertical="center"/>
    </xf>
    <xf numFmtId="4" fontId="41" fillId="0" borderId="4" xfId="0" applyNumberFormat="1" applyFont="1" applyBorder="1" applyAlignment="1">
      <alignment vertical="center"/>
    </xf>
    <xf numFmtId="0" fontId="58" fillId="0" borderId="6" xfId="0" applyFont="1" applyBorder="1" applyAlignment="1">
      <alignment vertical="center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>
      <alignment vertical="center"/>
    </xf>
    <xf numFmtId="0" fontId="46" fillId="0" borderId="6" xfId="0" applyFont="1" applyBorder="1"/>
    <xf numFmtId="0" fontId="74" fillId="26" borderId="2" xfId="0" applyFont="1" applyFill="1" applyBorder="1" applyAlignment="1">
      <alignment horizontal="center" vertical="center" wrapText="1"/>
    </xf>
    <xf numFmtId="0" fontId="35" fillId="2" borderId="68" xfId="0" applyFont="1" applyFill="1" applyBorder="1" applyAlignment="1">
      <alignment horizontal="center" vertical="center" wrapText="1"/>
    </xf>
    <xf numFmtId="10" fontId="45" fillId="24" borderId="28" xfId="3" applyNumberFormat="1" applyFont="1" applyFill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/>
    </xf>
    <xf numFmtId="3" fontId="41" fillId="0" borderId="2" xfId="0" applyNumberFormat="1" applyFont="1" applyBorder="1" applyAlignment="1" applyProtection="1">
      <alignment vertical="center"/>
      <protection locked="0"/>
    </xf>
    <xf numFmtId="4" fontId="41" fillId="0" borderId="53" xfId="0" applyNumberFormat="1" applyFont="1" applyBorder="1" applyAlignment="1">
      <alignment vertical="center"/>
    </xf>
    <xf numFmtId="4" fontId="41" fillId="0" borderId="37" xfId="0" applyNumberFormat="1" applyFont="1" applyBorder="1" applyAlignment="1">
      <alignment vertical="center"/>
    </xf>
    <xf numFmtId="4" fontId="41" fillId="0" borderId="45" xfId="0" applyNumberFormat="1" applyFont="1" applyBorder="1" applyAlignment="1">
      <alignment vertical="center"/>
    </xf>
    <xf numFmtId="4" fontId="41" fillId="0" borderId="2" xfId="0" applyNumberFormat="1" applyFont="1" applyBorder="1" applyAlignment="1">
      <alignment vertical="center"/>
    </xf>
    <xf numFmtId="4" fontId="41" fillId="0" borderId="38" xfId="0" applyNumberFormat="1" applyFont="1" applyBorder="1" applyAlignment="1">
      <alignment vertical="center"/>
    </xf>
    <xf numFmtId="4" fontId="41" fillId="0" borderId="33" xfId="0" applyNumberFormat="1" applyFont="1" applyBorder="1" applyAlignment="1">
      <alignment vertical="center"/>
    </xf>
    <xf numFmtId="4" fontId="41" fillId="0" borderId="2" xfId="3" applyNumberFormat="1" applyFont="1" applyBorder="1" applyAlignment="1" applyProtection="1">
      <alignment vertical="center"/>
      <protection locked="0"/>
    </xf>
    <xf numFmtId="4" fontId="41" fillId="2" borderId="53" xfId="1" applyNumberFormat="1" applyFont="1" applyFill="1" applyBorder="1" applyAlignment="1" applyProtection="1">
      <alignment vertical="center"/>
      <protection locked="0"/>
    </xf>
    <xf numFmtId="4" fontId="35" fillId="4" borderId="31" xfId="0" applyNumberFormat="1" applyFont="1" applyFill="1" applyBorder="1" applyAlignment="1">
      <alignment vertical="center"/>
    </xf>
    <xf numFmtId="4" fontId="35" fillId="4" borderId="34" xfId="0" applyNumberFormat="1" applyFont="1" applyFill="1" applyBorder="1" applyAlignment="1">
      <alignment vertical="center"/>
    </xf>
    <xf numFmtId="4" fontId="35" fillId="4" borderId="32" xfId="0" applyNumberFormat="1" applyFont="1" applyFill="1" applyBorder="1" applyAlignment="1">
      <alignment vertical="center"/>
    </xf>
    <xf numFmtId="4" fontId="35" fillId="4" borderId="33" xfId="0" applyNumberFormat="1" applyFont="1" applyFill="1" applyBorder="1" applyAlignment="1">
      <alignment vertical="center"/>
    </xf>
    <xf numFmtId="10" fontId="41" fillId="0" borderId="53" xfId="0" applyNumberFormat="1" applyFont="1" applyBorder="1" applyAlignment="1" applyProtection="1">
      <alignment vertical="center"/>
      <protection locked="0"/>
    </xf>
    <xf numFmtId="4" fontId="35" fillId="4" borderId="37" xfId="0" applyNumberFormat="1" applyFont="1" applyFill="1" applyBorder="1" applyAlignment="1">
      <alignment vertical="center"/>
    </xf>
    <xf numFmtId="4" fontId="35" fillId="4" borderId="45" xfId="0" applyNumberFormat="1" applyFont="1" applyFill="1" applyBorder="1" applyAlignment="1">
      <alignment vertical="center"/>
    </xf>
    <xf numFmtId="4" fontId="35" fillId="4" borderId="2" xfId="0" applyNumberFormat="1" applyFont="1" applyFill="1" applyBorder="1" applyAlignment="1">
      <alignment vertical="center"/>
    </xf>
    <xf numFmtId="4" fontId="35" fillId="4" borderId="38" xfId="0" applyNumberFormat="1" applyFont="1" applyFill="1" applyBorder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41" fillId="0" borderId="2" xfId="0" applyFont="1" applyBorder="1" applyAlignment="1">
      <alignment vertical="center"/>
    </xf>
    <xf numFmtId="10" fontId="41" fillId="0" borderId="53" xfId="0" applyNumberFormat="1" applyFont="1" applyBorder="1" applyAlignment="1">
      <alignment vertical="center"/>
    </xf>
    <xf numFmtId="9" fontId="41" fillId="0" borderId="53" xfId="0" applyNumberFormat="1" applyFont="1" applyBorder="1" applyAlignment="1">
      <alignment horizontal="center" vertical="center"/>
    </xf>
    <xf numFmtId="4" fontId="41" fillId="0" borderId="53" xfId="0" applyNumberFormat="1" applyFont="1" applyBorder="1" applyAlignment="1">
      <alignment horizontal="center" vertical="center"/>
    </xf>
    <xf numFmtId="4" fontId="40" fillId="0" borderId="0" xfId="0" applyNumberFormat="1" applyFont="1" applyAlignment="1">
      <alignment horizontal="center" vertical="center"/>
    </xf>
    <xf numFmtId="0" fontId="41" fillId="0" borderId="69" xfId="0" applyFont="1" applyBorder="1" applyAlignment="1">
      <alignment vertical="center"/>
    </xf>
    <xf numFmtId="0" fontId="41" fillId="0" borderId="48" xfId="0" applyFont="1" applyBorder="1" applyAlignment="1">
      <alignment vertical="center"/>
    </xf>
    <xf numFmtId="10" fontId="41" fillId="0" borderId="2" xfId="0" applyNumberFormat="1" applyFont="1" applyBorder="1" applyAlignment="1">
      <alignment vertical="center"/>
    </xf>
    <xf numFmtId="4" fontId="41" fillId="0" borderId="48" xfId="0" applyNumberFormat="1" applyFont="1" applyBorder="1" applyAlignment="1">
      <alignment vertical="center"/>
    </xf>
    <xf numFmtId="0" fontId="35" fillId="4" borderId="69" xfId="0" applyFont="1" applyFill="1" applyBorder="1" applyAlignment="1">
      <alignment vertical="center"/>
    </xf>
    <xf numFmtId="0" fontId="35" fillId="4" borderId="48" xfId="0" applyFont="1" applyFill="1" applyBorder="1" applyAlignment="1">
      <alignment vertical="center"/>
    </xf>
    <xf numFmtId="10" fontId="35" fillId="4" borderId="2" xfId="0" applyNumberFormat="1" applyFont="1" applyFill="1" applyBorder="1" applyAlignment="1">
      <alignment vertical="center"/>
    </xf>
    <xf numFmtId="4" fontId="35" fillId="4" borderId="48" xfId="0" applyNumberFormat="1" applyFont="1" applyFill="1" applyBorder="1" applyAlignment="1">
      <alignment vertical="center"/>
    </xf>
    <xf numFmtId="0" fontId="41" fillId="0" borderId="45" xfId="0" applyFont="1" applyBorder="1" applyAlignment="1">
      <alignment vertical="center"/>
    </xf>
    <xf numFmtId="0" fontId="35" fillId="4" borderId="45" xfId="0" applyFont="1" applyFill="1" applyBorder="1" applyAlignment="1">
      <alignment vertical="center"/>
    </xf>
    <xf numFmtId="4" fontId="35" fillId="4" borderId="53" xfId="0" applyNumberFormat="1" applyFont="1" applyFill="1" applyBorder="1" applyAlignment="1">
      <alignment vertical="center"/>
    </xf>
    <xf numFmtId="4" fontId="35" fillId="4" borderId="39" xfId="0" applyNumberFormat="1" applyFont="1" applyFill="1" applyBorder="1" applyAlignment="1">
      <alignment vertical="center"/>
    </xf>
    <xf numFmtId="4" fontId="35" fillId="4" borderId="22" xfId="0" applyNumberFormat="1" applyFont="1" applyFill="1" applyBorder="1" applyAlignment="1">
      <alignment vertical="center"/>
    </xf>
    <xf numFmtId="4" fontId="35" fillId="4" borderId="49" xfId="0" applyNumberFormat="1" applyFont="1" applyFill="1" applyBorder="1" applyAlignment="1">
      <alignment vertical="center"/>
    </xf>
    <xf numFmtId="4" fontId="35" fillId="4" borderId="28" xfId="0" applyNumberFormat="1" applyFont="1" applyFill="1" applyBorder="1" applyAlignment="1">
      <alignment vertical="center"/>
    </xf>
    <xf numFmtId="4" fontId="35" fillId="4" borderId="23" xfId="0" applyNumberFormat="1" applyFont="1" applyFill="1" applyBorder="1" applyAlignment="1">
      <alignment vertical="center"/>
    </xf>
    <xf numFmtId="4" fontId="51" fillId="4" borderId="40" xfId="0" applyNumberFormat="1" applyFont="1" applyFill="1" applyBorder="1" applyAlignment="1">
      <alignment vertical="center"/>
    </xf>
    <xf numFmtId="4" fontId="51" fillId="4" borderId="44" xfId="0" applyNumberFormat="1" applyFont="1" applyFill="1" applyBorder="1" applyAlignment="1">
      <alignment vertical="center"/>
    </xf>
    <xf numFmtId="4" fontId="51" fillId="4" borderId="41" xfId="0" applyNumberFormat="1" applyFont="1" applyFill="1" applyBorder="1" applyAlignment="1">
      <alignment vertical="center"/>
    </xf>
    <xf numFmtId="4" fontId="51" fillId="4" borderId="43" xfId="0" applyNumberFormat="1" applyFont="1" applyFill="1" applyBorder="1" applyAlignment="1">
      <alignment vertical="center"/>
    </xf>
    <xf numFmtId="10" fontId="41" fillId="4" borderId="18" xfId="0" applyNumberFormat="1" applyFont="1" applyFill="1" applyBorder="1" applyAlignment="1">
      <alignment vertical="center"/>
    </xf>
    <xf numFmtId="10" fontId="41" fillId="4" borderId="47" xfId="0" applyNumberFormat="1" applyFont="1" applyFill="1" applyBorder="1" applyAlignment="1">
      <alignment vertical="center"/>
    </xf>
    <xf numFmtId="1" fontId="41" fillId="0" borderId="2" xfId="0" applyNumberFormat="1" applyFont="1" applyBorder="1" applyAlignment="1" applyProtection="1">
      <alignment vertical="center"/>
      <protection locked="0"/>
    </xf>
    <xf numFmtId="9" fontId="41" fillId="0" borderId="2" xfId="3" applyFont="1" applyBorder="1" applyAlignment="1" applyProtection="1">
      <alignment vertical="center"/>
      <protection locked="0"/>
    </xf>
    <xf numFmtId="10" fontId="41" fillId="0" borderId="2" xfId="0" applyNumberFormat="1" applyFont="1" applyBorder="1" applyAlignment="1" applyProtection="1">
      <alignment vertical="center"/>
      <protection locked="0"/>
    </xf>
    <xf numFmtId="4" fontId="51" fillId="4" borderId="46" xfId="0" applyNumberFormat="1" applyFont="1" applyFill="1" applyBorder="1" applyAlignment="1">
      <alignment vertical="center"/>
    </xf>
    <xf numFmtId="4" fontId="51" fillId="4" borderId="47" xfId="0" applyNumberFormat="1" applyFont="1" applyFill="1" applyBorder="1" applyAlignment="1">
      <alignment vertical="center"/>
    </xf>
    <xf numFmtId="10" fontId="41" fillId="4" borderId="51" xfId="0" applyNumberFormat="1" applyFont="1" applyFill="1" applyBorder="1" applyAlignment="1">
      <alignment vertical="center"/>
    </xf>
    <xf numFmtId="10" fontId="41" fillId="4" borderId="61" xfId="0" applyNumberFormat="1" applyFont="1" applyFill="1" applyBorder="1" applyAlignment="1">
      <alignment vertical="center"/>
    </xf>
    <xf numFmtId="4" fontId="50" fillId="28" borderId="46" xfId="0" applyNumberFormat="1" applyFont="1" applyFill="1" applyBorder="1" applyAlignment="1">
      <alignment vertical="center"/>
    </xf>
    <xf numFmtId="4" fontId="41" fillId="0" borderId="0" xfId="0" applyNumberFormat="1" applyFont="1"/>
    <xf numFmtId="4" fontId="45" fillId="29" borderId="0" xfId="0" applyNumberFormat="1" applyFont="1" applyFill="1" applyAlignment="1">
      <alignment horizontal="center" vertical="center"/>
    </xf>
    <xf numFmtId="0" fontId="40" fillId="0" borderId="53" xfId="15" applyFont="1" applyBorder="1" applyAlignment="1">
      <alignment horizontal="right" vertical="center"/>
    </xf>
    <xf numFmtId="0" fontId="35" fillId="17" borderId="2" xfId="15" applyFont="1" applyFill="1" applyBorder="1" applyAlignment="1">
      <alignment horizontal="center" vertical="center" wrapText="1"/>
    </xf>
    <xf numFmtId="0" fontId="76" fillId="17" borderId="2" xfId="15" applyFont="1" applyFill="1" applyBorder="1" applyAlignment="1">
      <alignment horizontal="center" vertical="center"/>
    </xf>
    <xf numFmtId="0" fontId="36" fillId="17" borderId="2" xfId="15" applyFont="1" applyFill="1" applyBorder="1" applyAlignment="1">
      <alignment horizontal="center" vertical="center"/>
    </xf>
    <xf numFmtId="0" fontId="62" fillId="0" borderId="2" xfId="15" applyFont="1" applyBorder="1" applyAlignment="1">
      <alignment horizontal="center" vertical="center"/>
    </xf>
    <xf numFmtId="10" fontId="76" fillId="0" borderId="2" xfId="15" applyNumberFormat="1" applyFont="1" applyBorder="1" applyAlignment="1">
      <alignment horizontal="center" vertical="center"/>
    </xf>
    <xf numFmtId="0" fontId="76" fillId="0" borderId="2" xfId="15" applyFont="1" applyBorder="1" applyAlignment="1">
      <alignment horizontal="center" vertical="center"/>
    </xf>
    <xf numFmtId="4" fontId="37" fillId="0" borderId="2" xfId="15" applyNumberFormat="1" applyFont="1" applyBorder="1" applyAlignment="1">
      <alignment horizontal="center"/>
    </xf>
    <xf numFmtId="0" fontId="62" fillId="0" borderId="32" xfId="15" applyFont="1" applyBorder="1" applyAlignment="1">
      <alignment horizontal="center" vertical="center"/>
    </xf>
    <xf numFmtId="10" fontId="76" fillId="0" borderId="32" xfId="15" applyNumberFormat="1" applyFont="1" applyBorder="1" applyAlignment="1">
      <alignment horizontal="center" vertical="center"/>
    </xf>
    <xf numFmtId="0" fontId="76" fillId="0" borderId="32" xfId="15" applyFont="1" applyBorder="1" applyAlignment="1">
      <alignment horizontal="center" vertical="center"/>
    </xf>
    <xf numFmtId="10" fontId="77" fillId="0" borderId="2" xfId="38" applyNumberFormat="1" applyFont="1" applyBorder="1" applyAlignment="1" applyProtection="1">
      <alignment horizontal="center" vertical="center"/>
    </xf>
    <xf numFmtId="0" fontId="33" fillId="2" borderId="86" xfId="36" applyFont="1" applyFill="1" applyBorder="1" applyAlignment="1" applyProtection="1">
      <alignment horizontal="center" vertical="center" wrapText="1"/>
      <protection locked="0"/>
    </xf>
    <xf numFmtId="0" fontId="22" fillId="0" borderId="51" xfId="36" applyFont="1" applyBorder="1" applyAlignment="1">
      <alignment horizontal="center" vertical="center" wrapText="1"/>
    </xf>
    <xf numFmtId="0" fontId="41" fillId="2" borderId="53" xfId="0" applyFont="1" applyFill="1" applyBorder="1" applyAlignment="1">
      <alignment vertical="center" wrapText="1"/>
    </xf>
    <xf numFmtId="0" fontId="45" fillId="23" borderId="2" xfId="72" applyNumberFormat="1" applyFont="1" applyFill="1" applyBorder="1" applyAlignment="1" applyProtection="1">
      <alignment horizontal="center" vertical="center"/>
      <protection locked="0"/>
    </xf>
    <xf numFmtId="2" fontId="45" fillId="23" borderId="2" xfId="72" applyNumberFormat="1" applyFont="1" applyFill="1" applyBorder="1" applyAlignment="1" applyProtection="1">
      <alignment horizontal="center" vertical="center"/>
      <protection locked="0"/>
    </xf>
    <xf numFmtId="0" fontId="41" fillId="3" borderId="2" xfId="16" applyFont="1" applyFill="1" applyBorder="1" applyAlignment="1" applyProtection="1">
      <alignment horizontal="center" vertical="center"/>
      <protection locked="0"/>
    </xf>
    <xf numFmtId="2" fontId="41" fillId="3" borderId="2" xfId="16" applyNumberFormat="1" applyFont="1" applyFill="1" applyBorder="1" applyAlignment="1" applyProtection="1">
      <alignment horizontal="center" vertical="center"/>
      <protection locked="0"/>
    </xf>
    <xf numFmtId="3" fontId="45" fillId="23" borderId="2" xfId="72" applyNumberFormat="1" applyFont="1" applyFill="1" applyBorder="1" applyAlignment="1" applyProtection="1">
      <alignment horizontal="center" vertical="center"/>
      <protection locked="0"/>
    </xf>
    <xf numFmtId="168" fontId="41" fillId="33" borderId="2" xfId="83" applyFont="1" applyFill="1" applyBorder="1" applyAlignment="1" applyProtection="1">
      <alignment horizontal="center" vertical="center"/>
      <protection locked="0"/>
    </xf>
    <xf numFmtId="168" fontId="35" fillId="34" borderId="2" xfId="82" applyNumberFormat="1" applyFont="1" applyFill="1" applyBorder="1"/>
    <xf numFmtId="0" fontId="42" fillId="0" borderId="0" xfId="82"/>
    <xf numFmtId="0" fontId="41" fillId="0" borderId="0" xfId="82" applyFont="1"/>
    <xf numFmtId="0" fontId="41" fillId="0" borderId="0" xfId="82" applyFont="1" applyAlignment="1">
      <alignment horizontal="center"/>
    </xf>
    <xf numFmtId="0" fontId="41" fillId="0" borderId="0" xfId="82" applyFont="1" applyAlignment="1">
      <alignment horizontal="center" vertical="center"/>
    </xf>
    <xf numFmtId="43" fontId="41" fillId="0" borderId="2" xfId="82" applyNumberFormat="1" applyFont="1" applyBorder="1"/>
    <xf numFmtId="10" fontId="35" fillId="34" borderId="2" xfId="82" applyNumberFormat="1" applyFont="1" applyFill="1" applyBorder="1" applyAlignment="1">
      <alignment horizontal="center"/>
    </xf>
    <xf numFmtId="43" fontId="42" fillId="0" borderId="0" xfId="82" applyNumberFormat="1"/>
    <xf numFmtId="0" fontId="42" fillId="0" borderId="0" xfId="82" applyAlignment="1">
      <alignment horizontal="center"/>
    </xf>
    <xf numFmtId="0" fontId="42" fillId="0" borderId="0" xfId="82" applyAlignment="1">
      <alignment horizontal="center" vertical="center"/>
    </xf>
    <xf numFmtId="0" fontId="41" fillId="0" borderId="2" xfId="83" applyNumberFormat="1" applyFont="1" applyBorder="1" applyAlignment="1" applyProtection="1">
      <alignment horizontal="center" vertical="center"/>
    </xf>
    <xf numFmtId="0" fontId="41" fillId="0" borderId="3" xfId="82" applyFont="1" applyBorder="1"/>
    <xf numFmtId="0" fontId="41" fillId="0" borderId="4" xfId="82" applyFont="1" applyBorder="1" applyAlignment="1">
      <alignment horizontal="center"/>
    </xf>
    <xf numFmtId="0" fontId="41" fillId="0" borderId="4" xfId="82" applyFont="1" applyBorder="1" applyAlignment="1">
      <alignment horizontal="center" vertical="center"/>
    </xf>
    <xf numFmtId="0" fontId="41" fillId="0" borderId="4" xfId="82" applyFont="1" applyBorder="1"/>
    <xf numFmtId="0" fontId="41" fillId="0" borderId="6" xfId="82" applyFont="1" applyBorder="1"/>
    <xf numFmtId="0" fontId="35" fillId="32" borderId="6" xfId="82" applyFont="1" applyFill="1" applyBorder="1" applyAlignment="1">
      <alignment horizontal="center" vertical="center" wrapText="1"/>
    </xf>
    <xf numFmtId="0" fontId="35" fillId="32" borderId="0" xfId="82" applyFont="1" applyFill="1" applyAlignment="1">
      <alignment horizontal="center" vertical="center" wrapText="1"/>
    </xf>
    <xf numFmtId="0" fontId="35" fillId="32" borderId="0" xfId="82" applyFont="1" applyFill="1" applyAlignment="1">
      <alignment horizontal="center" vertical="center"/>
    </xf>
    <xf numFmtId="0" fontId="35" fillId="35" borderId="2" xfId="82" applyFont="1" applyFill="1" applyBorder="1" applyAlignment="1">
      <alignment horizontal="center" vertical="center" wrapText="1"/>
    </xf>
    <xf numFmtId="172" fontId="35" fillId="34" borderId="2" xfId="82" applyNumberFormat="1" applyFont="1" applyFill="1" applyBorder="1" applyAlignment="1">
      <alignment horizontal="center"/>
    </xf>
    <xf numFmtId="0" fontId="37" fillId="35" borderId="0" xfId="0" applyFont="1" applyFill="1" applyAlignment="1">
      <alignment horizontal="left" vertical="center"/>
    </xf>
    <xf numFmtId="0" fontId="37" fillId="3" borderId="0" xfId="36" applyFont="1" applyFill="1"/>
    <xf numFmtId="10" fontId="41" fillId="7" borderId="0" xfId="0" applyNumberFormat="1" applyFont="1" applyFill="1" applyAlignment="1" applyProtection="1">
      <alignment horizontal="left" vertical="center"/>
      <protection locked="0"/>
    </xf>
    <xf numFmtId="43" fontId="0" fillId="0" borderId="0" xfId="0" applyNumberFormat="1"/>
    <xf numFmtId="9" fontId="1" fillId="0" borderId="0" xfId="0" applyNumberFormat="1" applyFont="1"/>
    <xf numFmtId="43" fontId="1" fillId="0" borderId="0" xfId="0" applyNumberFormat="1" applyFont="1"/>
    <xf numFmtId="0" fontId="1" fillId="0" borderId="0" xfId="0" applyFont="1"/>
    <xf numFmtId="10" fontId="78" fillId="33" borderId="38" xfId="3" applyNumberFormat="1" applyFont="1" applyFill="1" applyBorder="1" applyAlignment="1">
      <alignment horizontal="center" vertical="center"/>
    </xf>
    <xf numFmtId="0" fontId="41" fillId="0" borderId="29" xfId="0" applyFont="1" applyBorder="1" applyAlignment="1">
      <alignment horizontal="left" vertical="center" wrapText="1"/>
    </xf>
    <xf numFmtId="170" fontId="41" fillId="0" borderId="30" xfId="0" applyNumberFormat="1" applyFont="1" applyBorder="1" applyAlignment="1">
      <alignment horizontal="center" vertical="center" wrapText="1"/>
    </xf>
    <xf numFmtId="0" fontId="67" fillId="33" borderId="30" xfId="0" applyFont="1" applyFill="1" applyBorder="1" applyAlignment="1" applyProtection="1">
      <alignment horizontal="center" vertical="top"/>
      <protection locked="0"/>
    </xf>
    <xf numFmtId="14" fontId="41" fillId="0" borderId="35" xfId="0" applyNumberFormat="1" applyFont="1" applyBorder="1" applyAlignment="1">
      <alignment wrapText="1"/>
    </xf>
    <xf numFmtId="14" fontId="41" fillId="0" borderId="2" xfId="0" applyNumberFormat="1" applyFont="1" applyBorder="1" applyAlignment="1">
      <alignment wrapText="1"/>
    </xf>
    <xf numFmtId="14" fontId="41" fillId="0" borderId="25" xfId="0" applyNumberFormat="1" applyFont="1" applyBorder="1" applyAlignment="1">
      <alignment wrapText="1"/>
    </xf>
    <xf numFmtId="0" fontId="54" fillId="21" borderId="3" xfId="72" applyNumberFormat="1" applyFont="1" applyFill="1" applyBorder="1" applyAlignment="1" applyProtection="1">
      <alignment horizontal="center" vertical="center" wrapText="1"/>
    </xf>
    <xf numFmtId="0" fontId="54" fillId="21" borderId="4" xfId="72" applyNumberFormat="1" applyFont="1" applyFill="1" applyBorder="1" applyAlignment="1" applyProtection="1">
      <alignment horizontal="center" vertical="center" wrapText="1"/>
    </xf>
    <xf numFmtId="0" fontId="54" fillId="21" borderId="5" xfId="72" applyNumberFormat="1" applyFont="1" applyFill="1" applyBorder="1" applyAlignment="1" applyProtection="1">
      <alignment horizontal="center" vertical="center" wrapText="1"/>
    </xf>
    <xf numFmtId="0" fontId="54" fillId="21" borderId="6" xfId="72" applyNumberFormat="1" applyFont="1" applyFill="1" applyBorder="1" applyAlignment="1" applyProtection="1">
      <alignment horizontal="center" vertical="center" wrapText="1"/>
    </xf>
    <xf numFmtId="0" fontId="54" fillId="21" borderId="0" xfId="72" applyNumberFormat="1" applyFont="1" applyFill="1" applyBorder="1" applyAlignment="1" applyProtection="1">
      <alignment horizontal="center" vertical="center" wrapText="1"/>
    </xf>
    <xf numFmtId="0" fontId="54" fillId="21" borderId="7" xfId="72" applyNumberFormat="1" applyFont="1" applyFill="1" applyBorder="1" applyAlignment="1" applyProtection="1">
      <alignment horizontal="center" vertical="center" wrapText="1"/>
    </xf>
    <xf numFmtId="0" fontId="54" fillId="21" borderId="8" xfId="72" applyNumberFormat="1" applyFont="1" applyFill="1" applyBorder="1" applyAlignment="1" applyProtection="1">
      <alignment horizontal="center" vertical="center" wrapText="1"/>
    </xf>
    <xf numFmtId="0" fontId="54" fillId="21" borderId="9" xfId="72" applyNumberFormat="1" applyFont="1" applyFill="1" applyBorder="1" applyAlignment="1" applyProtection="1">
      <alignment horizontal="center" vertical="center" wrapText="1"/>
    </xf>
    <xf numFmtId="0" fontId="54" fillId="21" borderId="10" xfId="72" applyNumberFormat="1" applyFont="1" applyFill="1" applyBorder="1" applyAlignment="1" applyProtection="1">
      <alignment horizontal="center" vertical="center" wrapText="1"/>
    </xf>
    <xf numFmtId="0" fontId="37" fillId="0" borderId="53" xfId="16" applyFont="1" applyBorder="1" applyAlignment="1">
      <alignment horizontal="center" vertical="center" wrapText="1"/>
    </xf>
    <xf numFmtId="0" fontId="37" fillId="0" borderId="48" xfId="16" applyFont="1" applyBorder="1" applyAlignment="1">
      <alignment horizontal="center" vertical="center" wrapText="1"/>
    </xf>
    <xf numFmtId="0" fontId="37" fillId="0" borderId="45" xfId="16" applyFont="1" applyBorder="1" applyAlignment="1">
      <alignment horizontal="center" vertical="center" wrapText="1"/>
    </xf>
    <xf numFmtId="0" fontId="41" fillId="21" borderId="63" xfId="72" applyNumberFormat="1" applyFont="1" applyFill="1" applyBorder="1" applyAlignment="1" applyProtection="1">
      <alignment horizontal="center" vertical="center" wrapText="1"/>
    </xf>
    <xf numFmtId="0" fontId="35" fillId="16" borderId="24" xfId="72" applyNumberFormat="1" applyFont="1" applyFill="1" applyBorder="1" applyAlignment="1" applyProtection="1">
      <alignment horizontal="center" vertical="center" wrapText="1"/>
    </xf>
    <xf numFmtId="167" fontId="35" fillId="16" borderId="25" xfId="14" applyFont="1" applyFill="1" applyBorder="1" applyAlignment="1" applyProtection="1">
      <alignment horizontal="center" vertical="center" wrapText="1"/>
    </xf>
    <xf numFmtId="0" fontId="41" fillId="21" borderId="35" xfId="72" applyNumberFormat="1" applyFont="1" applyFill="1" applyBorder="1" applyAlignment="1" applyProtection="1">
      <alignment horizontal="center" vertical="center" wrapText="1"/>
    </xf>
    <xf numFmtId="0" fontId="50" fillId="21" borderId="29" xfId="72" applyNumberFormat="1" applyFont="1" applyFill="1" applyBorder="1" applyAlignment="1" applyProtection="1">
      <alignment horizontal="center" vertical="center" wrapText="1"/>
    </xf>
    <xf numFmtId="0" fontId="54" fillId="21" borderId="13" xfId="72" applyNumberFormat="1" applyFont="1" applyFill="1" applyBorder="1" applyAlignment="1" applyProtection="1">
      <alignment horizontal="center" vertical="center" wrapText="1"/>
    </xf>
    <xf numFmtId="0" fontId="54" fillId="21" borderId="14" xfId="72" applyNumberFormat="1" applyFont="1" applyFill="1" applyBorder="1" applyAlignment="1" applyProtection="1">
      <alignment horizontal="center" vertical="center" wrapText="1"/>
    </xf>
    <xf numFmtId="0" fontId="54" fillId="21" borderId="15" xfId="72" applyNumberFormat="1" applyFont="1" applyFill="1" applyBorder="1" applyAlignment="1" applyProtection="1">
      <alignment horizontal="center" vertical="center" wrapText="1"/>
    </xf>
    <xf numFmtId="0" fontId="35" fillId="16" borderId="2" xfId="72" applyNumberFormat="1" applyFont="1" applyFill="1" applyBorder="1" applyAlignment="1" applyProtection="1">
      <alignment horizontal="center" vertical="center" wrapText="1"/>
    </xf>
    <xf numFmtId="0" fontId="41" fillId="0" borderId="74" xfId="16" applyFont="1" applyBorder="1" applyAlignment="1">
      <alignment horizontal="left" vertical="center" wrapText="1"/>
    </xf>
    <xf numFmtId="0" fontId="41" fillId="21" borderId="40" xfId="72" applyNumberFormat="1" applyFont="1" applyFill="1" applyBorder="1" applyAlignment="1" applyProtection="1">
      <alignment horizontal="center" vertical="center" wrapText="1"/>
    </xf>
    <xf numFmtId="0" fontId="36" fillId="22" borderId="43" xfId="72" applyNumberFormat="1" applyFont="1" applyFill="1" applyBorder="1" applyAlignment="1" applyProtection="1">
      <alignment horizontal="center" vertical="center" wrapText="1"/>
    </xf>
    <xf numFmtId="0" fontId="47" fillId="0" borderId="0" xfId="16" applyFont="1" applyAlignment="1">
      <alignment horizontal="center" vertical="center" wrapText="1"/>
    </xf>
    <xf numFmtId="0" fontId="49" fillId="3" borderId="2" xfId="16" applyFont="1" applyFill="1" applyBorder="1" applyAlignment="1">
      <alignment horizontal="center" vertical="center" wrapText="1"/>
    </xf>
    <xf numFmtId="0" fontId="36" fillId="3" borderId="2" xfId="16" applyFont="1" applyFill="1" applyBorder="1" applyAlignment="1">
      <alignment horizontal="center" vertical="center" wrapText="1"/>
    </xf>
    <xf numFmtId="0" fontId="37" fillId="0" borderId="2" xfId="16" applyFont="1" applyBorder="1" applyAlignment="1">
      <alignment horizontal="center"/>
    </xf>
    <xf numFmtId="0" fontId="35" fillId="16" borderId="59" xfId="72" applyNumberFormat="1" applyFont="1" applyFill="1" applyBorder="1" applyAlignment="1" applyProtection="1">
      <alignment horizontal="center" vertical="center" wrapText="1"/>
    </xf>
    <xf numFmtId="0" fontId="35" fillId="16" borderId="74" xfId="72" applyNumberFormat="1" applyFont="1" applyFill="1" applyBorder="1" applyAlignment="1" applyProtection="1">
      <alignment horizontal="center" vertical="center" wrapText="1"/>
    </xf>
    <xf numFmtId="0" fontId="35" fillId="16" borderId="49" xfId="72" applyNumberFormat="1" applyFont="1" applyFill="1" applyBorder="1" applyAlignment="1" applyProtection="1">
      <alignment horizontal="center" vertical="center" wrapText="1"/>
    </xf>
    <xf numFmtId="0" fontId="35" fillId="16" borderId="20" xfId="72" applyNumberFormat="1" applyFont="1" applyFill="1" applyBorder="1" applyAlignment="1" applyProtection="1">
      <alignment horizontal="center" vertical="center" wrapText="1"/>
    </xf>
    <xf numFmtId="0" fontId="35" fillId="16" borderId="34" xfId="72" applyNumberFormat="1" applyFont="1" applyFill="1" applyBorder="1" applyAlignment="1" applyProtection="1">
      <alignment horizontal="center" vertical="center" wrapText="1"/>
    </xf>
    <xf numFmtId="0" fontId="36" fillId="16" borderId="57" xfId="72" applyNumberFormat="1" applyFont="1" applyFill="1" applyBorder="1" applyAlignment="1" applyProtection="1">
      <alignment horizontal="center" vertical="center"/>
    </xf>
    <xf numFmtId="0" fontId="36" fillId="16" borderId="68" xfId="72" applyNumberFormat="1" applyFont="1" applyFill="1" applyBorder="1" applyAlignment="1" applyProtection="1">
      <alignment horizontal="center" vertical="center"/>
    </xf>
    <xf numFmtId="0" fontId="36" fillId="16" borderId="50" xfId="72" applyNumberFormat="1" applyFont="1" applyFill="1" applyBorder="1" applyAlignment="1" applyProtection="1">
      <alignment horizontal="center" vertical="center"/>
    </xf>
    <xf numFmtId="0" fontId="35" fillId="16" borderId="31" xfId="72" applyNumberFormat="1" applyFont="1" applyFill="1" applyBorder="1" applyAlignment="1" applyProtection="1">
      <alignment horizontal="center" vertical="center" wrapText="1"/>
    </xf>
    <xf numFmtId="0" fontId="35" fillId="16" borderId="32" xfId="72" applyNumberFormat="1" applyFont="1" applyFill="1" applyBorder="1" applyAlignment="1" applyProtection="1">
      <alignment horizontal="center" vertical="center" wrapText="1"/>
    </xf>
    <xf numFmtId="0" fontId="37" fillId="0" borderId="2" xfId="16" applyFont="1" applyBorder="1" applyAlignment="1">
      <alignment horizontal="center" vertical="center" wrapText="1"/>
    </xf>
    <xf numFmtId="0" fontId="35" fillId="16" borderId="36" xfId="72" applyNumberFormat="1" applyFont="1" applyFill="1" applyBorder="1" applyAlignment="1" applyProtection="1">
      <alignment horizontal="center" vertical="center" wrapText="1"/>
    </xf>
    <xf numFmtId="0" fontId="35" fillId="30" borderId="2" xfId="82" applyFont="1" applyFill="1" applyBorder="1" applyAlignment="1">
      <alignment horizontal="center" vertical="center"/>
    </xf>
    <xf numFmtId="0" fontId="35" fillId="31" borderId="2" xfId="82" applyFont="1" applyFill="1" applyBorder="1" applyAlignment="1">
      <alignment horizontal="center" vertical="center" wrapText="1"/>
    </xf>
    <xf numFmtId="0" fontId="35" fillId="16" borderId="37" xfId="72" applyNumberFormat="1" applyFont="1" applyFill="1" applyBorder="1" applyAlignment="1" applyProtection="1">
      <alignment horizontal="center" vertical="center" wrapText="1"/>
    </xf>
    <xf numFmtId="0" fontId="41" fillId="0" borderId="2" xfId="0" applyFont="1" applyBorder="1" applyAlignment="1">
      <alignment horizontal="center" vertical="center"/>
    </xf>
    <xf numFmtId="0" fontId="35" fillId="34" borderId="2" xfId="82" applyFont="1" applyFill="1" applyBorder="1" applyAlignment="1">
      <alignment horizontal="center" vertical="center"/>
    </xf>
    <xf numFmtId="170" fontId="38" fillId="12" borderId="42" xfId="0" applyNumberFormat="1" applyFont="1" applyFill="1" applyBorder="1" applyAlignment="1">
      <alignment horizontal="center" vertical="center"/>
    </xf>
    <xf numFmtId="170" fontId="38" fillId="12" borderId="5" xfId="0" applyNumberFormat="1" applyFont="1" applyFill="1" applyBorder="1" applyAlignment="1">
      <alignment horizontal="center" vertical="center"/>
    </xf>
    <xf numFmtId="170" fontId="38" fillId="12" borderId="52" xfId="0" applyNumberFormat="1" applyFont="1" applyFill="1" applyBorder="1" applyAlignment="1">
      <alignment horizontal="center" vertical="center"/>
    </xf>
    <xf numFmtId="170" fontId="38" fillId="12" borderId="7" xfId="0" applyNumberFormat="1" applyFont="1" applyFill="1" applyBorder="1" applyAlignment="1">
      <alignment horizontal="center" vertical="center"/>
    </xf>
    <xf numFmtId="170" fontId="38" fillId="12" borderId="60" xfId="0" applyNumberFormat="1" applyFont="1" applyFill="1" applyBorder="1" applyAlignment="1">
      <alignment horizontal="center" vertical="center"/>
    </xf>
    <xf numFmtId="170" fontId="38" fillId="12" borderId="10" xfId="0" applyNumberFormat="1" applyFont="1" applyFill="1" applyBorder="1" applyAlignment="1">
      <alignment horizontal="center" vertical="center"/>
    </xf>
    <xf numFmtId="0" fontId="36" fillId="16" borderId="18" xfId="72" applyNumberFormat="1" applyFont="1" applyFill="1" applyBorder="1" applyAlignment="1" applyProtection="1">
      <alignment horizontal="center" vertical="center"/>
    </xf>
    <xf numFmtId="0" fontId="36" fillId="16" borderId="46" xfId="72" applyNumberFormat="1" applyFont="1" applyFill="1" applyBorder="1" applyAlignment="1" applyProtection="1">
      <alignment horizontal="center" vertical="center"/>
    </xf>
    <xf numFmtId="0" fontId="37" fillId="0" borderId="37" xfId="16" applyFont="1" applyBorder="1" applyAlignment="1">
      <alignment horizontal="center" vertical="center" wrapText="1"/>
    </xf>
    <xf numFmtId="0" fontId="37" fillId="0" borderId="22" xfId="16" applyFont="1" applyBorder="1" applyAlignment="1">
      <alignment horizontal="center" vertical="center" wrapText="1"/>
    </xf>
    <xf numFmtId="0" fontId="37" fillId="0" borderId="28" xfId="16" applyFont="1" applyBorder="1" applyAlignment="1">
      <alignment horizontal="center" vertical="center" wrapText="1"/>
    </xf>
    <xf numFmtId="0" fontId="54" fillId="21" borderId="2" xfId="72" applyNumberFormat="1" applyFont="1" applyFill="1" applyBorder="1" applyAlignment="1" applyProtection="1">
      <alignment horizontal="center" vertical="center" wrapText="1"/>
    </xf>
    <xf numFmtId="0" fontId="35" fillId="16" borderId="53" xfId="72" applyNumberFormat="1" applyFont="1" applyFill="1" applyBorder="1" applyAlignment="1" applyProtection="1">
      <alignment horizontal="center" vertical="center" wrapText="1"/>
    </xf>
    <xf numFmtId="0" fontId="35" fillId="16" borderId="48" xfId="72" applyNumberFormat="1" applyFont="1" applyFill="1" applyBorder="1" applyAlignment="1" applyProtection="1">
      <alignment horizontal="center" vertical="center" wrapText="1"/>
    </xf>
    <xf numFmtId="0" fontId="35" fillId="16" borderId="45" xfId="72" applyNumberFormat="1" applyFont="1" applyFill="1" applyBorder="1" applyAlignment="1" applyProtection="1">
      <alignment horizontal="center" vertical="center" wrapText="1"/>
    </xf>
    <xf numFmtId="0" fontId="36" fillId="16" borderId="53" xfId="72" applyNumberFormat="1" applyFont="1" applyFill="1" applyBorder="1" applyAlignment="1" applyProtection="1">
      <alignment horizontal="center" vertical="center"/>
    </xf>
    <xf numFmtId="0" fontId="36" fillId="16" borderId="48" xfId="72" applyNumberFormat="1" applyFont="1" applyFill="1" applyBorder="1" applyAlignment="1" applyProtection="1">
      <alignment horizontal="center" vertical="center"/>
    </xf>
    <xf numFmtId="0" fontId="36" fillId="16" borderId="45" xfId="72" applyNumberFormat="1" applyFont="1" applyFill="1" applyBorder="1" applyAlignment="1" applyProtection="1">
      <alignment horizontal="center" vertical="center"/>
    </xf>
    <xf numFmtId="0" fontId="54" fillId="21" borderId="29" xfId="72" applyNumberFormat="1" applyFont="1" applyFill="1" applyBorder="1" applyAlignment="1" applyProtection="1">
      <alignment horizontal="center" vertical="center" wrapText="1"/>
    </xf>
    <xf numFmtId="0" fontId="54" fillId="21" borderId="35" xfId="72" applyNumberFormat="1" applyFont="1" applyFill="1" applyBorder="1" applyAlignment="1" applyProtection="1">
      <alignment horizontal="center" vertical="center" wrapText="1"/>
    </xf>
    <xf numFmtId="0" fontId="36" fillId="16" borderId="2" xfId="72" applyNumberFormat="1" applyFont="1" applyFill="1" applyBorder="1" applyAlignment="1" applyProtection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36" fillId="4" borderId="13" xfId="0" applyFont="1" applyFill="1" applyBorder="1" applyAlignment="1">
      <alignment horizontal="center" vertical="center" wrapText="1"/>
    </xf>
    <xf numFmtId="0" fontId="61" fillId="4" borderId="13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textRotation="90"/>
    </xf>
    <xf numFmtId="0" fontId="48" fillId="4" borderId="3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/>
    </xf>
    <xf numFmtId="0" fontId="41" fillId="4" borderId="16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0" fontId="48" fillId="4" borderId="13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37" fillId="4" borderId="16" xfId="16" applyFont="1" applyFill="1" applyBorder="1" applyAlignment="1">
      <alignment horizontal="center" vertical="center" wrapText="1"/>
    </xf>
    <xf numFmtId="0" fontId="48" fillId="4" borderId="17" xfId="0" applyFont="1" applyFill="1" applyBorder="1" applyAlignment="1">
      <alignment horizontal="center" vertical="center" wrapText="1"/>
    </xf>
    <xf numFmtId="0" fontId="62" fillId="4" borderId="18" xfId="0" applyFont="1" applyFill="1" applyBorder="1" applyAlignment="1">
      <alignment horizontal="center" vertical="center" wrapText="1"/>
    </xf>
    <xf numFmtId="0" fontId="37" fillId="4" borderId="19" xfId="0" applyFont="1" applyFill="1" applyBorder="1" applyAlignment="1">
      <alignment horizontal="center" vertical="center" wrapText="1"/>
    </xf>
    <xf numFmtId="170" fontId="36" fillId="8" borderId="15" xfId="0" applyNumberFormat="1" applyFont="1" applyFill="1" applyBorder="1" applyAlignment="1">
      <alignment horizontal="center" vertical="center" wrapText="1"/>
    </xf>
    <xf numFmtId="0" fontId="51" fillId="4" borderId="16" xfId="0" applyFont="1" applyFill="1" applyBorder="1" applyAlignment="1">
      <alignment horizontal="center" vertical="center" wrapText="1"/>
    </xf>
    <xf numFmtId="0" fontId="51" fillId="4" borderId="12" xfId="0" applyFont="1" applyFill="1" applyBorder="1" applyAlignment="1">
      <alignment horizontal="left" vertical="center" wrapText="1" indent="15"/>
    </xf>
    <xf numFmtId="0" fontId="37" fillId="4" borderId="20" xfId="0" applyFont="1" applyFill="1" applyBorder="1" applyAlignment="1">
      <alignment horizontal="center" vertical="center" wrapText="1"/>
    </xf>
    <xf numFmtId="0" fontId="41" fillId="4" borderId="21" xfId="0" applyFont="1" applyFill="1" applyBorder="1" applyAlignment="1">
      <alignment horizontal="center" vertical="center" wrapText="1"/>
    </xf>
    <xf numFmtId="0" fontId="41" fillId="4" borderId="17" xfId="16" applyFont="1" applyFill="1" applyBorder="1" applyAlignment="1">
      <alignment horizontal="center" vertical="center" wrapText="1"/>
    </xf>
    <xf numFmtId="0" fontId="41" fillId="4" borderId="11" xfId="0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 wrapText="1"/>
    </xf>
    <xf numFmtId="0" fontId="38" fillId="4" borderId="7" xfId="0" applyFont="1" applyFill="1" applyBorder="1" applyAlignment="1">
      <alignment horizontal="center" vertical="center" wrapText="1"/>
    </xf>
    <xf numFmtId="0" fontId="38" fillId="4" borderId="20" xfId="0" applyFont="1" applyFill="1" applyBorder="1" applyAlignment="1">
      <alignment horizontal="center" vertical="center" wrapText="1"/>
    </xf>
    <xf numFmtId="0" fontId="38" fillId="4" borderId="36" xfId="0" applyFont="1" applyFill="1" applyBorder="1" applyAlignment="1">
      <alignment horizontal="center" vertical="center" wrapText="1"/>
    </xf>
    <xf numFmtId="0" fontId="38" fillId="4" borderId="77" xfId="0" applyFont="1" applyFill="1" applyBorder="1" applyAlignment="1">
      <alignment horizontal="center" vertical="center" wrapText="1"/>
    </xf>
    <xf numFmtId="0" fontId="36" fillId="6" borderId="3" xfId="0" applyFont="1" applyFill="1" applyBorder="1" applyAlignment="1">
      <alignment horizontal="center" vertical="center" textRotation="90"/>
    </xf>
    <xf numFmtId="0" fontId="51" fillId="4" borderId="83" xfId="0" applyFont="1" applyFill="1" applyBorder="1" applyAlignment="1">
      <alignment horizontal="center" vertical="center" wrapText="1"/>
    </xf>
    <xf numFmtId="0" fontId="51" fillId="4" borderId="54" xfId="0" applyFont="1" applyFill="1" applyBorder="1" applyAlignment="1">
      <alignment horizontal="center" vertical="center" wrapText="1"/>
    </xf>
    <xf numFmtId="0" fontId="51" fillId="4" borderId="55" xfId="0" applyFont="1" applyFill="1" applyBorder="1" applyAlignment="1">
      <alignment horizontal="center" vertical="center" wrapText="1"/>
    </xf>
    <xf numFmtId="0" fontId="51" fillId="16" borderId="24" xfId="72" applyNumberFormat="1" applyFont="1" applyFill="1" applyBorder="1" applyAlignment="1" applyProtection="1">
      <alignment horizontal="center" vertical="center"/>
    </xf>
    <xf numFmtId="0" fontId="51" fillId="16" borderId="25" xfId="72" applyNumberFormat="1" applyFont="1" applyFill="1" applyBorder="1" applyAlignment="1" applyProtection="1">
      <alignment horizontal="center" vertical="center"/>
    </xf>
    <xf numFmtId="0" fontId="54" fillId="21" borderId="30" xfId="72" applyNumberFormat="1" applyFont="1" applyFill="1" applyBorder="1" applyAlignment="1" applyProtection="1">
      <alignment horizontal="center" vertical="center" wrapText="1"/>
    </xf>
    <xf numFmtId="0" fontId="24" fillId="38" borderId="37" xfId="0" applyFont="1" applyFill="1" applyBorder="1" applyAlignment="1">
      <alignment horizontal="center" vertical="center" wrapText="1"/>
    </xf>
    <xf numFmtId="0" fontId="24" fillId="38" borderId="2" xfId="0" applyFont="1" applyFill="1" applyBorder="1" applyAlignment="1">
      <alignment horizontal="center" vertical="center" wrapText="1"/>
    </xf>
    <xf numFmtId="0" fontId="24" fillId="38" borderId="38" xfId="0" applyFont="1" applyFill="1" applyBorder="1" applyAlignment="1">
      <alignment horizontal="center" vertical="center" wrapText="1"/>
    </xf>
    <xf numFmtId="0" fontId="58" fillId="0" borderId="53" xfId="0" applyFont="1" applyBorder="1" applyAlignment="1">
      <alignment horizontal="center" vertical="center"/>
    </xf>
    <xf numFmtId="0" fontId="58" fillId="0" borderId="48" xfId="0" applyFont="1" applyBorder="1" applyAlignment="1">
      <alignment horizontal="center" vertical="center"/>
    </xf>
    <xf numFmtId="0" fontId="58" fillId="0" borderId="72" xfId="0" applyFont="1" applyBorder="1" applyAlignment="1">
      <alignment horizontal="center" vertical="center"/>
    </xf>
    <xf numFmtId="0" fontId="58" fillId="0" borderId="27" xfId="0" applyFont="1" applyBorder="1" applyAlignment="1">
      <alignment horizontal="center" vertical="center"/>
    </xf>
    <xf numFmtId="0" fontId="58" fillId="0" borderId="68" xfId="0" applyFont="1" applyBorder="1" applyAlignment="1">
      <alignment horizontal="center" vertical="center"/>
    </xf>
    <xf numFmtId="0" fontId="58" fillId="0" borderId="58" xfId="0" applyFont="1" applyBorder="1" applyAlignment="1">
      <alignment horizontal="center" vertical="center"/>
    </xf>
    <xf numFmtId="0" fontId="51" fillId="16" borderId="29" xfId="72" applyNumberFormat="1" applyFont="1" applyFill="1" applyBorder="1" applyAlignment="1" applyProtection="1">
      <alignment horizontal="center" vertical="center"/>
    </xf>
    <xf numFmtId="0" fontId="51" fillId="16" borderId="35" xfId="72" applyNumberFormat="1" applyFont="1" applyFill="1" applyBorder="1" applyAlignment="1" applyProtection="1">
      <alignment horizontal="center" vertical="center"/>
    </xf>
    <xf numFmtId="0" fontId="51" fillId="16" borderId="37" xfId="72" applyNumberFormat="1" applyFont="1" applyFill="1" applyBorder="1" applyAlignment="1" applyProtection="1">
      <alignment horizontal="center" vertical="center"/>
    </xf>
    <xf numFmtId="0" fontId="51" fillId="16" borderId="2" xfId="72" applyNumberFormat="1" applyFont="1" applyFill="1" applyBorder="1" applyAlignment="1" applyProtection="1">
      <alignment horizontal="center" vertical="center"/>
    </xf>
    <xf numFmtId="0" fontId="36" fillId="0" borderId="71" xfId="0" applyFont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6" xfId="0" applyFont="1" applyBorder="1" applyAlignment="1">
      <alignment horizontal="center" vertical="center"/>
    </xf>
    <xf numFmtId="0" fontId="38" fillId="2" borderId="0" xfId="36" applyFont="1" applyFill="1" applyAlignment="1">
      <alignment horizontal="center"/>
    </xf>
    <xf numFmtId="0" fontId="36" fillId="2" borderId="0" xfId="36" applyFont="1" applyFill="1" applyAlignment="1">
      <alignment horizontal="left" wrapText="1"/>
    </xf>
    <xf numFmtId="0" fontId="37" fillId="0" borderId="52" xfId="16" applyFont="1" applyBorder="1" applyAlignment="1">
      <alignment horizontal="left" vertical="center" wrapText="1"/>
    </xf>
    <xf numFmtId="0" fontId="37" fillId="0" borderId="2" xfId="16" applyFont="1" applyBorder="1" applyAlignment="1">
      <alignment horizontal="left" vertical="center"/>
    </xf>
    <xf numFmtId="0" fontId="36" fillId="4" borderId="2" xfId="16" applyFont="1" applyFill="1" applyBorder="1" applyAlignment="1">
      <alignment horizontal="center" vertical="center"/>
    </xf>
    <xf numFmtId="0" fontId="36" fillId="3" borderId="2" xfId="16" applyFont="1" applyFill="1" applyBorder="1" applyAlignment="1" applyProtection="1">
      <alignment horizontal="center" vertical="center"/>
      <protection locked="0"/>
    </xf>
    <xf numFmtId="0" fontId="37" fillId="0" borderId="2" xfId="0" applyFont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 wrapText="1"/>
    </xf>
    <xf numFmtId="0" fontId="37" fillId="0" borderId="48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left" vertical="center" wrapText="1"/>
    </xf>
    <xf numFmtId="0" fontId="36" fillId="4" borderId="2" xfId="0" applyFont="1" applyFill="1" applyBorder="1" applyAlignment="1">
      <alignment horizontal="center" vertical="center"/>
    </xf>
    <xf numFmtId="4" fontId="37" fillId="3" borderId="28" xfId="0" applyNumberFormat="1" applyFont="1" applyFill="1" applyBorder="1" applyAlignment="1" applyProtection="1">
      <alignment horizontal="center" vertical="center"/>
      <protection locked="0"/>
    </xf>
    <xf numFmtId="4" fontId="37" fillId="3" borderId="32" xfId="0" applyNumberFormat="1" applyFont="1" applyFill="1" applyBorder="1" applyAlignment="1" applyProtection="1">
      <alignment horizontal="center" vertical="center"/>
      <protection locked="0"/>
    </xf>
    <xf numFmtId="0" fontId="36" fillId="0" borderId="2" xfId="0" applyFont="1" applyBorder="1" applyAlignment="1">
      <alignment horizontal="center" vertical="center" wrapText="1"/>
    </xf>
    <xf numFmtId="0" fontId="36" fillId="9" borderId="11" xfId="0" applyFont="1" applyFill="1" applyBorder="1" applyAlignment="1">
      <alignment horizontal="center" vertical="center" textRotation="90"/>
    </xf>
    <xf numFmtId="0" fontId="37" fillId="0" borderId="2" xfId="0" applyFont="1" applyBorder="1" applyAlignment="1">
      <alignment horizontal="left" vertical="center"/>
    </xf>
    <xf numFmtId="0" fontId="36" fillId="4" borderId="2" xfId="16" applyFont="1" applyFill="1" applyBorder="1" applyAlignment="1">
      <alignment horizontal="center" vertical="center" wrapText="1"/>
    </xf>
    <xf numFmtId="0" fontId="37" fillId="3" borderId="2" xfId="16" applyFont="1" applyFill="1" applyBorder="1" applyAlignment="1" applyProtection="1">
      <alignment horizontal="left" vertical="center"/>
      <protection locked="0"/>
    </xf>
    <xf numFmtId="0" fontId="37" fillId="3" borderId="2" xfId="0" applyFont="1" applyFill="1" applyBorder="1" applyAlignment="1" applyProtection="1">
      <alignment horizontal="left" vertical="center"/>
      <protection locked="0"/>
    </xf>
    <xf numFmtId="0" fontId="35" fillId="0" borderId="2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left" vertical="center" wrapText="1"/>
    </xf>
    <xf numFmtId="0" fontId="37" fillId="0" borderId="74" xfId="0" applyFont="1" applyBorder="1" applyAlignment="1">
      <alignment horizontal="left" vertical="center" wrapText="1"/>
    </xf>
    <xf numFmtId="0" fontId="37" fillId="0" borderId="49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7" fillId="0" borderId="6" xfId="16" applyFont="1" applyBorder="1" applyAlignment="1">
      <alignment horizontal="center" vertical="center" wrapText="1"/>
    </xf>
    <xf numFmtId="0" fontId="37" fillId="0" borderId="0" xfId="16" applyFont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19" xfId="0" applyFont="1" applyBorder="1" applyAlignment="1">
      <alignment horizontal="left" vertical="center" wrapText="1"/>
    </xf>
    <xf numFmtId="0" fontId="37" fillId="0" borderId="36" xfId="0" applyFont="1" applyBorder="1" applyAlignment="1">
      <alignment horizontal="left" vertical="center" wrapText="1"/>
    </xf>
    <xf numFmtId="0" fontId="37" fillId="0" borderId="34" xfId="0" applyFont="1" applyBorder="1" applyAlignment="1">
      <alignment horizontal="left" vertical="center" wrapText="1"/>
    </xf>
    <xf numFmtId="0" fontId="47" fillId="2" borderId="39" xfId="0" applyFont="1" applyFill="1" applyBorder="1" applyAlignment="1">
      <alignment horizontal="center" vertical="center"/>
    </xf>
    <xf numFmtId="0" fontId="71" fillId="4" borderId="21" xfId="0" applyFont="1" applyFill="1" applyBorder="1" applyAlignment="1">
      <alignment horizontal="center" vertical="center"/>
    </xf>
    <xf numFmtId="0" fontId="71" fillId="4" borderId="38" xfId="0" applyFont="1" applyFill="1" applyBorder="1" applyAlignment="1">
      <alignment horizontal="left" vertical="center"/>
    </xf>
    <xf numFmtId="0" fontId="71" fillId="2" borderId="37" xfId="0" applyFont="1" applyFill="1" applyBorder="1" applyAlignment="1">
      <alignment horizontal="left" vertical="center"/>
    </xf>
    <xf numFmtId="0" fontId="71" fillId="4" borderId="39" xfId="0" applyFont="1" applyFill="1" applyBorder="1" applyAlignment="1">
      <alignment horizontal="left" vertical="center"/>
    </xf>
    <xf numFmtId="0" fontId="71" fillId="0" borderId="37" xfId="0" applyFont="1" applyBorder="1" applyAlignment="1">
      <alignment horizontal="left" vertical="center"/>
    </xf>
    <xf numFmtId="0" fontId="41" fillId="0" borderId="37" xfId="0" applyFont="1" applyBorder="1" applyAlignment="1">
      <alignment horizontal="left" vertical="center" wrapText="1"/>
    </xf>
    <xf numFmtId="0" fontId="41" fillId="0" borderId="37" xfId="0" applyFont="1" applyBorder="1" applyAlignment="1">
      <alignment horizontal="left" vertical="center"/>
    </xf>
    <xf numFmtId="0" fontId="35" fillId="0" borderId="37" xfId="0" applyFont="1" applyBorder="1" applyAlignment="1">
      <alignment horizontal="left" vertical="center"/>
    </xf>
    <xf numFmtId="0" fontId="21" fillId="14" borderId="2" xfId="15" applyFont="1" applyFill="1" applyBorder="1" applyAlignment="1">
      <alignment horizontal="center" vertical="center" wrapText="1"/>
    </xf>
    <xf numFmtId="0" fontId="19" fillId="0" borderId="2" xfId="15" applyFont="1" applyBorder="1" applyAlignment="1">
      <alignment horizontal="center" vertical="center" wrapText="1"/>
    </xf>
    <xf numFmtId="0" fontId="71" fillId="4" borderId="24" xfId="0" applyFont="1" applyFill="1" applyBorder="1" applyAlignment="1">
      <alignment horizontal="left" vertical="center"/>
    </xf>
    <xf numFmtId="0" fontId="72" fillId="15" borderId="11" xfId="0" applyFont="1" applyFill="1" applyBorder="1" applyAlignment="1">
      <alignment horizontal="center" vertical="center" wrapText="1"/>
    </xf>
    <xf numFmtId="0" fontId="35" fillId="40" borderId="2" xfId="82" applyFont="1" applyFill="1" applyBorder="1" applyAlignment="1">
      <alignment horizontal="center" vertical="center"/>
    </xf>
    <xf numFmtId="0" fontId="35" fillId="34" borderId="53" xfId="82" applyFont="1" applyFill="1" applyBorder="1" applyAlignment="1">
      <alignment horizontal="right"/>
    </xf>
    <xf numFmtId="0" fontId="35" fillId="34" borderId="48" xfId="82" applyFont="1" applyFill="1" applyBorder="1" applyAlignment="1">
      <alignment horizontal="right"/>
    </xf>
    <xf numFmtId="0" fontId="35" fillId="34" borderId="45" xfId="82" applyFont="1" applyFill="1" applyBorder="1" applyAlignment="1">
      <alignment horizontal="right"/>
    </xf>
    <xf numFmtId="0" fontId="35" fillId="34" borderId="2" xfId="82" applyFont="1" applyFill="1" applyBorder="1" applyAlignment="1">
      <alignment horizontal="right"/>
    </xf>
    <xf numFmtId="0" fontId="35" fillId="34" borderId="2" xfId="82" applyFont="1" applyFill="1" applyBorder="1" applyAlignment="1">
      <alignment horizontal="center"/>
    </xf>
    <xf numFmtId="0" fontId="41" fillId="0" borderId="53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170" fontId="41" fillId="0" borderId="30" xfId="0" applyNumberFormat="1" applyFont="1" applyBorder="1" applyAlignment="1">
      <alignment horizontal="center" vertical="center" wrapText="1"/>
    </xf>
    <xf numFmtId="170" fontId="41" fillId="0" borderId="38" xfId="0" applyNumberFormat="1" applyFont="1" applyBorder="1" applyAlignment="1">
      <alignment horizontal="center" vertical="center" wrapText="1"/>
    </xf>
    <xf numFmtId="170" fontId="41" fillId="0" borderId="26" xfId="0" applyNumberFormat="1" applyFont="1" applyBorder="1" applyAlignment="1">
      <alignment horizontal="center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40" xfId="0" applyFont="1" applyBorder="1" applyAlignment="1">
      <alignment horizontal="left" vertical="center" wrapText="1"/>
    </xf>
    <xf numFmtId="170" fontId="41" fillId="0" borderId="23" xfId="0" applyNumberFormat="1" applyFont="1" applyBorder="1" applyAlignment="1">
      <alignment horizontal="center" vertical="center" wrapText="1"/>
    </xf>
    <xf numFmtId="170" fontId="41" fillId="0" borderId="88" xfId="0" applyNumberFormat="1" applyFont="1" applyBorder="1" applyAlignment="1">
      <alignment horizontal="center" vertical="center" wrapText="1"/>
    </xf>
    <xf numFmtId="0" fontId="41" fillId="0" borderId="64" xfId="0" applyFont="1" applyBorder="1" applyAlignment="1">
      <alignment horizontal="left" vertical="center" wrapText="1"/>
    </xf>
    <xf numFmtId="0" fontId="68" fillId="4" borderId="65" xfId="0" applyFont="1" applyFill="1" applyBorder="1" applyAlignment="1">
      <alignment horizontal="center" vertical="center" wrapText="1"/>
    </xf>
    <xf numFmtId="0" fontId="68" fillId="4" borderId="66" xfId="0" applyFont="1" applyFill="1" applyBorder="1" applyAlignment="1">
      <alignment horizontal="left" vertical="center" wrapText="1"/>
    </xf>
    <xf numFmtId="0" fontId="68" fillId="4" borderId="67" xfId="0" applyFont="1" applyFill="1" applyBorder="1" applyAlignment="1">
      <alignment horizontal="center" vertical="center"/>
    </xf>
    <xf numFmtId="0" fontId="68" fillId="4" borderId="75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left" vertical="center"/>
    </xf>
    <xf numFmtId="0" fontId="35" fillId="2" borderId="12" xfId="0" applyFont="1" applyFill="1" applyBorder="1" applyAlignment="1">
      <alignment horizontal="center" vertical="center" wrapText="1"/>
    </xf>
    <xf numFmtId="0" fontId="35" fillId="19" borderId="12" xfId="0" applyFont="1" applyFill="1" applyBorder="1" applyAlignment="1">
      <alignment horizontal="center" vertical="center" wrapText="1"/>
    </xf>
    <xf numFmtId="0" fontId="73" fillId="20" borderId="13" xfId="0" applyFont="1" applyFill="1" applyBorder="1" applyAlignment="1">
      <alignment horizontal="center" vertical="center" wrapText="1"/>
    </xf>
    <xf numFmtId="0" fontId="35" fillId="2" borderId="57" xfId="0" applyFont="1" applyFill="1" applyBorder="1" applyAlignment="1">
      <alignment horizontal="left" vertical="center" wrapText="1"/>
    </xf>
    <xf numFmtId="0" fontId="40" fillId="0" borderId="32" xfId="0" applyFont="1" applyBorder="1" applyAlignment="1">
      <alignment horizontal="center" vertical="center"/>
    </xf>
    <xf numFmtId="4" fontId="40" fillId="0" borderId="21" xfId="0" applyNumberFormat="1" applyFont="1" applyBorder="1" applyAlignment="1">
      <alignment horizontal="center" vertical="center"/>
    </xf>
    <xf numFmtId="4" fontId="40" fillId="0" borderId="20" xfId="0" applyNumberFormat="1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2" xfId="0" applyFont="1" applyBorder="1" applyAlignment="1" applyProtection="1">
      <alignment horizontal="left" vertical="center" wrapText="1"/>
      <protection locked="0"/>
    </xf>
    <xf numFmtId="0" fontId="41" fillId="0" borderId="2" xfId="0" applyFont="1" applyBorder="1" applyAlignment="1" applyProtection="1">
      <alignment horizontal="center" vertical="center" wrapText="1"/>
      <protection locked="0"/>
    </xf>
    <xf numFmtId="0" fontId="35" fillId="4" borderId="53" xfId="0" applyFont="1" applyFill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1" fillId="0" borderId="69" xfId="0" applyFont="1" applyBorder="1" applyAlignment="1">
      <alignment horizontal="left" vertical="center"/>
    </xf>
    <xf numFmtId="0" fontId="35" fillId="4" borderId="69" xfId="0" applyFont="1" applyFill="1" applyBorder="1" applyAlignment="1">
      <alignment horizontal="left" vertical="center"/>
    </xf>
    <xf numFmtId="0" fontId="35" fillId="2" borderId="70" xfId="0" applyFont="1" applyFill="1" applyBorder="1" applyAlignment="1">
      <alignment horizontal="left" vertical="center"/>
    </xf>
    <xf numFmtId="0" fontId="35" fillId="0" borderId="69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41" fillId="0" borderId="69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4" borderId="13" xfId="0" applyFont="1" applyFill="1" applyBorder="1" applyAlignment="1">
      <alignment vertical="center"/>
    </xf>
    <xf numFmtId="0" fontId="35" fillId="24" borderId="2" xfId="0" applyFont="1" applyFill="1" applyBorder="1" applyAlignment="1">
      <alignment horizontal="center" vertical="center" wrapText="1"/>
    </xf>
    <xf numFmtId="0" fontId="68" fillId="25" borderId="28" xfId="0" applyFont="1" applyFill="1" applyBorder="1" applyAlignment="1">
      <alignment horizontal="center" vertical="center" wrapText="1"/>
    </xf>
    <xf numFmtId="0" fontId="68" fillId="25" borderId="76" xfId="0" applyFont="1" applyFill="1" applyBorder="1" applyAlignment="1">
      <alignment horizontal="center" vertical="center"/>
    </xf>
    <xf numFmtId="0" fontId="41" fillId="0" borderId="37" xfId="0" applyFont="1" applyBorder="1" applyAlignment="1">
      <alignment vertical="center"/>
    </xf>
    <xf numFmtId="0" fontId="35" fillId="4" borderId="71" xfId="0" applyFont="1" applyFill="1" applyBorder="1" applyAlignment="1">
      <alignment vertical="center"/>
    </xf>
    <xf numFmtId="0" fontId="75" fillId="4" borderId="3" xfId="0" applyFont="1" applyFill="1" applyBorder="1" applyAlignment="1">
      <alignment vertical="center"/>
    </xf>
    <xf numFmtId="0" fontId="35" fillId="0" borderId="37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" fontId="40" fillId="0" borderId="39" xfId="0" applyNumberFormat="1" applyFont="1" applyBorder="1" applyAlignment="1">
      <alignment horizontal="center" vertical="center"/>
    </xf>
    <xf numFmtId="0" fontId="35" fillId="4" borderId="2" xfId="0" applyFont="1" applyFill="1" applyBorder="1" applyAlignment="1">
      <alignment horizontal="left" vertical="center"/>
    </xf>
    <xf numFmtId="0" fontId="35" fillId="4" borderId="37" xfId="0" applyFont="1" applyFill="1" applyBorder="1" applyAlignment="1">
      <alignment horizontal="left" vertical="center"/>
    </xf>
    <xf numFmtId="0" fontId="41" fillId="4" borderId="64" xfId="0" applyFont="1" applyFill="1" applyBorder="1" applyAlignment="1">
      <alignment vertical="center"/>
    </xf>
    <xf numFmtId="0" fontId="75" fillId="4" borderId="18" xfId="0" applyFont="1" applyFill="1" applyBorder="1" applyAlignment="1">
      <alignment vertical="center"/>
    </xf>
    <xf numFmtId="0" fontId="41" fillId="0" borderId="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20" fillId="0" borderId="4" xfId="36" applyFont="1" applyBorder="1" applyAlignment="1">
      <alignment horizontal="left" vertical="center"/>
    </xf>
    <xf numFmtId="0" fontId="20" fillId="0" borderId="5" xfId="36" applyFont="1" applyBorder="1" applyAlignment="1">
      <alignment horizontal="left" vertical="center"/>
    </xf>
    <xf numFmtId="0" fontId="20" fillId="0" borderId="0" xfId="36" applyFont="1" applyAlignment="1">
      <alignment horizontal="left" vertical="center"/>
    </xf>
    <xf numFmtId="0" fontId="20" fillId="0" borderId="7" xfId="36" applyFont="1" applyBorder="1" applyAlignment="1">
      <alignment horizontal="left" vertical="center"/>
    </xf>
    <xf numFmtId="0" fontId="30" fillId="4" borderId="13" xfId="36" applyFont="1" applyFill="1" applyBorder="1" applyAlignment="1">
      <alignment horizontal="center" vertical="center" wrapText="1"/>
    </xf>
    <xf numFmtId="0" fontId="30" fillId="4" borderId="14" xfId="36" applyFont="1" applyFill="1" applyBorder="1" applyAlignment="1">
      <alignment horizontal="center" vertical="center" wrapText="1"/>
    </xf>
    <xf numFmtId="0" fontId="30" fillId="4" borderId="15" xfId="36" applyFont="1" applyFill="1" applyBorder="1" applyAlignment="1">
      <alignment horizontal="center" vertical="center" wrapText="1"/>
    </xf>
    <xf numFmtId="0" fontId="22" fillId="2" borderId="11" xfId="36" applyFont="1" applyFill="1" applyBorder="1" applyAlignment="1">
      <alignment horizontal="center" vertical="center"/>
    </xf>
    <xf numFmtId="10" fontId="26" fillId="2" borderId="62" xfId="36" applyNumberFormat="1" applyFont="1" applyFill="1" applyBorder="1" applyAlignment="1">
      <alignment horizontal="center" vertical="center"/>
    </xf>
    <xf numFmtId="10" fontId="26" fillId="2" borderId="16" xfId="36" applyNumberFormat="1" applyFont="1" applyFill="1" applyBorder="1" applyAlignment="1">
      <alignment horizontal="center" vertical="center"/>
    </xf>
    <xf numFmtId="0" fontId="26" fillId="2" borderId="16" xfId="36" applyFont="1" applyFill="1" applyBorder="1" applyAlignment="1">
      <alignment horizontal="left" vertical="center" wrapText="1"/>
    </xf>
    <xf numFmtId="0" fontId="33" fillId="2" borderId="16" xfId="0" applyFont="1" applyFill="1" applyBorder="1" applyAlignment="1" applyProtection="1">
      <alignment horizontal="center" vertical="center"/>
      <protection locked="0"/>
    </xf>
    <xf numFmtId="0" fontId="31" fillId="18" borderId="46" xfId="36" applyFont="1" applyFill="1" applyBorder="1" applyAlignment="1">
      <alignment horizontal="left" vertical="center"/>
    </xf>
    <xf numFmtId="0" fontId="14" fillId="0" borderId="32" xfId="36" applyFont="1" applyBorder="1" applyAlignment="1">
      <alignment horizontal="left" vertical="center"/>
    </xf>
    <xf numFmtId="0" fontId="14" fillId="0" borderId="2" xfId="36" applyFont="1" applyBorder="1" applyAlignment="1">
      <alignment horizontal="left" vertical="center"/>
    </xf>
    <xf numFmtId="0" fontId="26" fillId="0" borderId="37" xfId="36" applyFont="1" applyBorder="1" applyAlignment="1">
      <alignment horizontal="left" vertical="center" wrapText="1"/>
    </xf>
    <xf numFmtId="0" fontId="26" fillId="4" borderId="38" xfId="36" applyFont="1" applyFill="1" applyBorder="1" applyAlignment="1" applyProtection="1">
      <alignment horizontal="center" vertical="center"/>
      <protection locked="0"/>
    </xf>
    <xf numFmtId="0" fontId="14" fillId="0" borderId="2" xfId="36" applyFont="1" applyBorder="1" applyAlignment="1" applyProtection="1">
      <alignment horizontal="left" vertical="center"/>
      <protection locked="0"/>
    </xf>
    <xf numFmtId="0" fontId="26" fillId="0" borderId="37" xfId="36" applyFont="1" applyBorder="1" applyAlignment="1" applyProtection="1">
      <alignment horizontal="left" vertical="center"/>
      <protection locked="0"/>
    </xf>
    <xf numFmtId="0" fontId="26" fillId="4" borderId="2" xfId="36" applyFont="1" applyFill="1" applyBorder="1" applyAlignment="1" applyProtection="1">
      <alignment horizontal="left" vertical="center" wrapText="1"/>
      <protection locked="0"/>
    </xf>
    <xf numFmtId="0" fontId="14" fillId="0" borderId="2" xfId="36" applyFont="1" applyBorder="1" applyAlignment="1" applyProtection="1">
      <alignment horizontal="left" vertical="center" wrapText="1"/>
      <protection locked="0"/>
    </xf>
    <xf numFmtId="0" fontId="21" fillId="0" borderId="2" xfId="36" applyFont="1" applyBorder="1" applyAlignment="1" applyProtection="1">
      <alignment horizontal="left" vertical="center" wrapText="1"/>
      <protection locked="0"/>
    </xf>
    <xf numFmtId="0" fontId="26" fillId="0" borderId="37" xfId="36" applyFont="1" applyBorder="1" applyAlignment="1">
      <alignment horizontal="left" vertical="center"/>
    </xf>
    <xf numFmtId="0" fontId="26" fillId="4" borderId="12" xfId="36" applyFont="1" applyFill="1" applyBorder="1" applyAlignment="1">
      <alignment horizontal="center" vertical="center"/>
    </xf>
    <xf numFmtId="0" fontId="26" fillId="2" borderId="12" xfId="36" applyFont="1" applyFill="1" applyBorder="1" applyAlignment="1">
      <alignment horizontal="center" vertical="center"/>
    </xf>
    <xf numFmtId="0" fontId="26" fillId="4" borderId="33" xfId="36" applyFont="1" applyFill="1" applyBorder="1" applyAlignment="1" applyProtection="1">
      <alignment horizontal="center" vertical="center"/>
      <protection locked="0"/>
    </xf>
    <xf numFmtId="0" fontId="30" fillId="4" borderId="80" xfId="0" applyFont="1" applyFill="1" applyBorder="1" applyAlignment="1">
      <alignment horizontal="center" vertical="center" wrapText="1"/>
    </xf>
    <xf numFmtId="0" fontId="30" fillId="4" borderId="81" xfId="0" applyFont="1" applyFill="1" applyBorder="1" applyAlignment="1">
      <alignment horizontal="center" vertical="center" wrapText="1"/>
    </xf>
    <xf numFmtId="0" fontId="30" fillId="4" borderId="82" xfId="0" applyFont="1" applyFill="1" applyBorder="1" applyAlignment="1">
      <alignment horizontal="center" vertical="center" wrapText="1"/>
    </xf>
    <xf numFmtId="0" fontId="30" fillId="4" borderId="75" xfId="0" applyFont="1" applyFill="1" applyBorder="1" applyAlignment="1">
      <alignment horizontal="center" vertical="center"/>
    </xf>
    <xf numFmtId="0" fontId="30" fillId="4" borderId="78" xfId="0" applyFont="1" applyFill="1" applyBorder="1" applyAlignment="1">
      <alignment horizontal="center" vertical="center"/>
    </xf>
    <xf numFmtId="0" fontId="30" fillId="4" borderId="79" xfId="0" applyFont="1" applyFill="1" applyBorder="1" applyAlignment="1">
      <alignment horizontal="center" vertical="center"/>
    </xf>
    <xf numFmtId="0" fontId="21" fillId="29" borderId="83" xfId="0" applyFont="1" applyFill="1" applyBorder="1" applyAlignment="1">
      <alignment horizontal="center" vertical="center" wrapText="1"/>
    </xf>
    <xf numFmtId="0" fontId="21" fillId="29" borderId="54" xfId="0" applyFont="1" applyFill="1" applyBorder="1" applyAlignment="1">
      <alignment horizontal="center" vertical="center" wrapText="1"/>
    </xf>
    <xf numFmtId="0" fontId="21" fillId="29" borderId="84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 wrapText="1"/>
    </xf>
    <xf numFmtId="0" fontId="21" fillId="4" borderId="69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4" borderId="72" xfId="0" applyFont="1" applyFill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4" borderId="69" xfId="0" applyFont="1" applyFill="1" applyBorder="1" applyAlignment="1">
      <alignment horizontal="left" vertical="center"/>
    </xf>
    <xf numFmtId="0" fontId="21" fillId="4" borderId="48" xfId="0" applyFont="1" applyFill="1" applyBorder="1" applyAlignment="1">
      <alignment horizontal="left" vertical="center"/>
    </xf>
    <xf numFmtId="0" fontId="21" fillId="4" borderId="72" xfId="0" applyFont="1" applyFill="1" applyBorder="1" applyAlignment="1">
      <alignment horizontal="left" vertical="center"/>
    </xf>
    <xf numFmtId="0" fontId="21" fillId="2" borderId="69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72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/>
    </xf>
    <xf numFmtId="0" fontId="32" fillId="4" borderId="25" xfId="0" applyFont="1" applyFill="1" applyBorder="1" applyAlignment="1">
      <alignment horizontal="center" vertical="center"/>
    </xf>
    <xf numFmtId="0" fontId="51" fillId="17" borderId="2" xfId="15" applyFont="1" applyFill="1" applyBorder="1" applyAlignment="1">
      <alignment horizontal="center" vertical="center" wrapText="1"/>
    </xf>
    <xf numFmtId="0" fontId="40" fillId="0" borderId="45" xfId="15" applyFont="1" applyBorder="1" applyAlignment="1">
      <alignment horizontal="left" vertical="center"/>
    </xf>
    <xf numFmtId="0" fontId="35" fillId="17" borderId="2" xfId="15" applyFont="1" applyFill="1" applyBorder="1" applyAlignment="1">
      <alignment horizontal="center" vertical="center" wrapText="1"/>
    </xf>
    <xf numFmtId="0" fontId="76" fillId="17" borderId="2" xfId="15" applyFont="1" applyFill="1" applyBorder="1" applyAlignment="1">
      <alignment horizontal="center" vertical="center"/>
    </xf>
  </cellXfs>
  <cellStyles count="88">
    <cellStyle name="Excel Built-in Explanatory Text" xfId="81" xr:uid="{00000000-0005-0000-0000-000054000000}"/>
    <cellStyle name="Moeda" xfId="2" builtinId="4"/>
    <cellStyle name="Moeda 2" xfId="4" xr:uid="{00000000-0005-0000-0000-000006000000}"/>
    <cellStyle name="Moeda 2 2" xfId="5" xr:uid="{00000000-0005-0000-0000-000007000000}"/>
    <cellStyle name="Moeda 2 3" xfId="6" xr:uid="{00000000-0005-0000-0000-000008000000}"/>
    <cellStyle name="Moeda 3" xfId="7" xr:uid="{00000000-0005-0000-0000-000009000000}"/>
    <cellStyle name="Moeda 4" xfId="8" xr:uid="{00000000-0005-0000-0000-00000A000000}"/>
    <cellStyle name="Moeda 4 2" xfId="9" xr:uid="{00000000-0005-0000-0000-00000B000000}"/>
    <cellStyle name="Moeda 4 3" xfId="10" xr:uid="{00000000-0005-0000-0000-00000C000000}"/>
    <cellStyle name="Moeda 5" xfId="11" xr:uid="{00000000-0005-0000-0000-00000D000000}"/>
    <cellStyle name="Moeda 6" xfId="12" xr:uid="{00000000-0005-0000-0000-00000E000000}"/>
    <cellStyle name="Moeda 7" xfId="13" xr:uid="{00000000-0005-0000-0000-00000F000000}"/>
    <cellStyle name="Moeda 8" xfId="14" xr:uid="{00000000-0005-0000-0000-000010000000}"/>
    <cellStyle name="Moeda 9" xfId="85" xr:uid="{7B2D98F7-8847-4AD6-A8F1-42743835711D}"/>
    <cellStyle name="Normal" xfId="0" builtinId="0"/>
    <cellStyle name="Normal 10" xfId="82" xr:uid="{43BEC141-EF0D-43E5-B889-91D8A91E3E74}"/>
    <cellStyle name="Normal 11" xfId="84" xr:uid="{8BE1BBC8-9768-4DB3-A212-D1ED8EC194C0}"/>
    <cellStyle name="Normal 12" xfId="15" xr:uid="{00000000-0005-0000-0000-000011000000}"/>
    <cellStyle name="Normal 2" xfId="16" xr:uid="{00000000-0005-0000-0000-000012000000}"/>
    <cellStyle name="Normal 2 2" xfId="17" xr:uid="{00000000-0005-0000-0000-000013000000}"/>
    <cellStyle name="Normal 2 2 2" xfId="18" xr:uid="{00000000-0005-0000-0000-000014000000}"/>
    <cellStyle name="Normal 2 3" xfId="19" xr:uid="{00000000-0005-0000-0000-000015000000}"/>
    <cellStyle name="Normal 2 3 2" xfId="20" xr:uid="{00000000-0005-0000-0000-000016000000}"/>
    <cellStyle name="Normal 2 3 2 2" xfId="21" xr:uid="{00000000-0005-0000-0000-000017000000}"/>
    <cellStyle name="Normal 2 3 3" xfId="22" xr:uid="{00000000-0005-0000-0000-000018000000}"/>
    <cellStyle name="Normal 2 3 3 2" xfId="23" xr:uid="{00000000-0005-0000-0000-000019000000}"/>
    <cellStyle name="Normal 2 3 4" xfId="24" xr:uid="{00000000-0005-0000-0000-00001A000000}"/>
    <cellStyle name="Normal 3" xfId="25" xr:uid="{00000000-0005-0000-0000-00001B000000}"/>
    <cellStyle name="Normal 3 2" xfId="26" xr:uid="{00000000-0005-0000-0000-00001C000000}"/>
    <cellStyle name="Normal 3 3" xfId="27" xr:uid="{00000000-0005-0000-0000-00001D000000}"/>
    <cellStyle name="Normal 4" xfId="28" xr:uid="{00000000-0005-0000-0000-00001E000000}"/>
    <cellStyle name="Normal 4 2" xfId="29" xr:uid="{00000000-0005-0000-0000-00001F000000}"/>
    <cellStyle name="Normal 5" xfId="30" xr:uid="{00000000-0005-0000-0000-000020000000}"/>
    <cellStyle name="Normal 5 2" xfId="31" xr:uid="{00000000-0005-0000-0000-000021000000}"/>
    <cellStyle name="Normal 6" xfId="32" xr:uid="{00000000-0005-0000-0000-000022000000}"/>
    <cellStyle name="Normal 6 2" xfId="33" xr:uid="{00000000-0005-0000-0000-000023000000}"/>
    <cellStyle name="Normal 7" xfId="34" xr:uid="{00000000-0005-0000-0000-000024000000}"/>
    <cellStyle name="Normal 7 2" xfId="35" xr:uid="{00000000-0005-0000-0000-000025000000}"/>
    <cellStyle name="Normal 8" xfId="36" xr:uid="{00000000-0005-0000-0000-000026000000}"/>
    <cellStyle name="Normal 9" xfId="37" xr:uid="{00000000-0005-0000-0000-000027000000}"/>
    <cellStyle name="Porcentagem" xfId="3" builtinId="5"/>
    <cellStyle name="Porcentagem 10" xfId="86" xr:uid="{D43BC0E7-E0E3-4FC5-AD98-492E22807368}"/>
    <cellStyle name="Porcentagem 12" xfId="38" xr:uid="{00000000-0005-0000-0000-000029000000}"/>
    <cellStyle name="Porcentagem 2" xfId="39" xr:uid="{00000000-0005-0000-0000-00002A000000}"/>
    <cellStyle name="Porcentagem 2 2" xfId="40" xr:uid="{00000000-0005-0000-0000-00002B000000}"/>
    <cellStyle name="Porcentagem 3" xfId="41" xr:uid="{00000000-0005-0000-0000-00002C000000}"/>
    <cellStyle name="Porcentagem 4" xfId="42" xr:uid="{00000000-0005-0000-0000-00002D000000}"/>
    <cellStyle name="Porcentagem 4 2" xfId="43" xr:uid="{00000000-0005-0000-0000-00002E000000}"/>
    <cellStyle name="Porcentagem 4 3" xfId="44" xr:uid="{00000000-0005-0000-0000-00002F000000}"/>
    <cellStyle name="Porcentagem 4 4" xfId="45" xr:uid="{00000000-0005-0000-0000-000030000000}"/>
    <cellStyle name="Porcentagem 5" xfId="46" xr:uid="{00000000-0005-0000-0000-000031000000}"/>
    <cellStyle name="Porcentagem 6" xfId="47" xr:uid="{00000000-0005-0000-0000-000032000000}"/>
    <cellStyle name="Porcentagem 7" xfId="48" xr:uid="{00000000-0005-0000-0000-000033000000}"/>
    <cellStyle name="Porcentagem 8" xfId="49" xr:uid="{00000000-0005-0000-0000-000034000000}"/>
    <cellStyle name="Porcentagem 9" xfId="50" xr:uid="{00000000-0005-0000-0000-000035000000}"/>
    <cellStyle name="Separador de milhares 2" xfId="51" xr:uid="{00000000-0005-0000-0000-000036000000}"/>
    <cellStyle name="Separador de milhares 2 2" xfId="52" xr:uid="{00000000-0005-0000-0000-000037000000}"/>
    <cellStyle name="Separador de milhares 2 2 2" xfId="53" xr:uid="{00000000-0005-0000-0000-000038000000}"/>
    <cellStyle name="Separador de milhares 2 3" xfId="54" xr:uid="{00000000-0005-0000-0000-000039000000}"/>
    <cellStyle name="Separador de milhares 2 4" xfId="55" xr:uid="{00000000-0005-0000-0000-00003A000000}"/>
    <cellStyle name="Separador de milhares 3" xfId="56" xr:uid="{00000000-0005-0000-0000-00003B000000}"/>
    <cellStyle name="Separador de milhares 3 2" xfId="57" xr:uid="{00000000-0005-0000-0000-00003C000000}"/>
    <cellStyle name="Separador de milhares 3 3" xfId="58" xr:uid="{00000000-0005-0000-0000-00003D000000}"/>
    <cellStyle name="Separador de milhares 4" xfId="59" xr:uid="{00000000-0005-0000-0000-00003E000000}"/>
    <cellStyle name="Separador de milhares 4 2" xfId="60" xr:uid="{00000000-0005-0000-0000-00003F000000}"/>
    <cellStyle name="Separador de milhares 4 3" xfId="61" xr:uid="{00000000-0005-0000-0000-000040000000}"/>
    <cellStyle name="Separador de milhares 4 4" xfId="62" xr:uid="{00000000-0005-0000-0000-000041000000}"/>
    <cellStyle name="Separador de milhares 5" xfId="63" xr:uid="{00000000-0005-0000-0000-000042000000}"/>
    <cellStyle name="Separador de milhares 5 2" xfId="64" xr:uid="{00000000-0005-0000-0000-000043000000}"/>
    <cellStyle name="Separador de milhares 6" xfId="65" xr:uid="{00000000-0005-0000-0000-000044000000}"/>
    <cellStyle name="Separador de milhares 7" xfId="66" xr:uid="{00000000-0005-0000-0000-000045000000}"/>
    <cellStyle name="Separador de milhares 8" xfId="67" xr:uid="{00000000-0005-0000-0000-000046000000}"/>
    <cellStyle name="Separador de milhares 9" xfId="68" xr:uid="{00000000-0005-0000-0000-000047000000}"/>
    <cellStyle name="Separador de milhares 9 2" xfId="69" xr:uid="{00000000-0005-0000-0000-000048000000}"/>
    <cellStyle name="Texto Explicativo 2" xfId="70" xr:uid="{00000000-0005-0000-0000-000049000000}"/>
    <cellStyle name="Texto Explicativo 2 2" xfId="71" xr:uid="{00000000-0005-0000-0000-00004A000000}"/>
    <cellStyle name="Texto Explicativo 3" xfId="87" xr:uid="{AD8E3C66-89E6-4CFE-BD26-9608130DD562}"/>
    <cellStyle name="Texto Explicativo 4" xfId="72" xr:uid="{00000000-0005-0000-0000-00004B000000}"/>
    <cellStyle name="Título 1 1" xfId="73" xr:uid="{00000000-0005-0000-0000-00004C000000}"/>
    <cellStyle name="Título 1 1 2" xfId="74" xr:uid="{00000000-0005-0000-0000-00004D000000}"/>
    <cellStyle name="Vírgula" xfId="1" builtinId="3"/>
    <cellStyle name="Vírgula 2" xfId="75" xr:uid="{00000000-0005-0000-0000-00004E000000}"/>
    <cellStyle name="Vírgula 2 2" xfId="76" xr:uid="{00000000-0005-0000-0000-00004F000000}"/>
    <cellStyle name="Vírgula 2 3" xfId="77" xr:uid="{00000000-0005-0000-0000-000050000000}"/>
    <cellStyle name="Vírgula 2 4" xfId="78" xr:uid="{00000000-0005-0000-0000-000051000000}"/>
    <cellStyle name="Vírgula 3" xfId="79" xr:uid="{00000000-0005-0000-0000-000052000000}"/>
    <cellStyle name="Vírgula 4" xfId="80" xr:uid="{00000000-0005-0000-0000-000053000000}"/>
    <cellStyle name="Vírgula 5" xfId="83" xr:uid="{2D959246-55C5-4E02-B7D1-CD4EDAEA31D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CD5C5C"/>
      <rgbColor rgb="FFFFFFCC"/>
      <rgbColor rgb="FFDCE6F2"/>
      <rgbColor rgb="FF660066"/>
      <rgbColor rgb="FFFF7F50"/>
      <rgbColor rgb="FF0066CC"/>
      <rgbColor rgb="FFB4C7E7"/>
      <rgbColor rgb="FF000080"/>
      <rgbColor rgb="FFFF00FF"/>
      <rgbColor rgb="FFF2F2F2"/>
      <rgbColor rgb="FF00FFFF"/>
      <rgbColor rgb="FF800080"/>
      <rgbColor rgb="FFCC0000"/>
      <rgbColor rgb="FF008080"/>
      <rgbColor rgb="FF0000FF"/>
      <rgbColor rgb="FF00BFFF"/>
      <rgbColor rgb="FFDAE3F3"/>
      <rgbColor rgb="FFEEEEEE"/>
      <rgbColor rgb="FFFFFF99"/>
      <rgbColor rgb="FF87CEEB"/>
      <rgbColor rgb="FFF2DCDB"/>
      <rgbColor rgb="FFD3D3D3"/>
      <rgbColor rgb="FFF8CBAD"/>
      <rgbColor rgb="FF3366FF"/>
      <rgbColor rgb="FF00B0F0"/>
      <rgbColor rgb="FF99CC00"/>
      <rgbColor rgb="FFDDDDDD"/>
      <rgbColor rgb="FFFF9900"/>
      <rgbColor rgb="FFED7D31"/>
      <rgbColor rgb="FF606060"/>
      <rgbColor rgb="FFD9D9D9"/>
      <rgbColor rgb="FF10243E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DE6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0</xdr:row>
      <xdr:rowOff>9360</xdr:rowOff>
    </xdr:from>
    <xdr:to>
      <xdr:col>0</xdr:col>
      <xdr:colOff>397440</xdr:colOff>
      <xdr:row>2</xdr:row>
      <xdr:rowOff>180360</xdr:rowOff>
    </xdr:to>
    <xdr:pic>
      <xdr:nvPicPr>
        <xdr:cNvPr id="21" name="Picture 3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9360"/>
          <a:ext cx="369000" cy="551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569880</xdr:colOff>
      <xdr:row>2</xdr:row>
      <xdr:rowOff>133560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3000" cy="410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1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1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57240</xdr:rowOff>
    </xdr:from>
    <xdr:to>
      <xdr:col>0</xdr:col>
      <xdr:colOff>397800</xdr:colOff>
      <xdr:row>2</xdr:row>
      <xdr:rowOff>26280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400" y="57240"/>
          <a:ext cx="302400" cy="293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1DB7ED-4156-42EF-897C-F954E979B02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4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A35A95-B615-44EE-BCF9-E0B3C7D2752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40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47520</xdr:rowOff>
    </xdr:from>
    <xdr:to>
      <xdr:col>0</xdr:col>
      <xdr:colOff>549720</xdr:colOff>
      <xdr:row>2</xdr:row>
      <xdr:rowOff>167040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47520"/>
          <a:ext cx="511560" cy="500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59400</xdr:rowOff>
    </xdr:from>
    <xdr:to>
      <xdr:col>0</xdr:col>
      <xdr:colOff>445320</xdr:colOff>
      <xdr:row>2</xdr:row>
      <xdr:rowOff>92880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400" y="59400"/>
          <a:ext cx="349920" cy="347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338760</xdr:colOff>
      <xdr:row>0</xdr:row>
      <xdr:rowOff>95400</xdr:rowOff>
    </xdr:from>
    <xdr:to>
      <xdr:col>0</xdr:col>
      <xdr:colOff>778320</xdr:colOff>
      <xdr:row>2</xdr:row>
      <xdr:rowOff>121320</xdr:rowOff>
    </xdr:to>
    <xdr:pic>
      <xdr:nvPicPr>
        <xdr:cNvPr id="7" name="Imagem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8760" y="95400"/>
          <a:ext cx="439560" cy="444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1</xdr:rowOff>
    </xdr:from>
    <xdr:to>
      <xdr:col>0</xdr:col>
      <xdr:colOff>513780</xdr:colOff>
      <xdr:row>2</xdr:row>
      <xdr:rowOff>152401</xdr:rowOff>
    </xdr:to>
    <xdr:pic>
      <xdr:nvPicPr>
        <xdr:cNvPr id="2" name="Picture 3" descr="Logotipo, nome da empresa&#10;&#10;O conteúdo gerado por IA pode estar incorreto.">
          <a:extLst>
            <a:ext uri="{FF2B5EF4-FFF2-40B4-BE49-F238E27FC236}">
              <a16:creationId xmlns:a16="http://schemas.microsoft.com/office/drawing/2014/main" id="{0091A239-9B4A-47D0-A535-8FAE643B061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780" y="1"/>
          <a:ext cx="369000" cy="487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1</xdr:rowOff>
    </xdr:from>
    <xdr:to>
      <xdr:col>0</xdr:col>
      <xdr:colOff>513780</xdr:colOff>
      <xdr:row>2</xdr:row>
      <xdr:rowOff>152401</xdr:rowOff>
    </xdr:to>
    <xdr:pic>
      <xdr:nvPicPr>
        <xdr:cNvPr id="3" name="Picture 3" descr="Logotipo, nome da empresa&#10;&#10;O conteúdo gerado por IA pode estar incorreto.">
          <a:extLst>
            <a:ext uri="{FF2B5EF4-FFF2-40B4-BE49-F238E27FC236}">
              <a16:creationId xmlns:a16="http://schemas.microsoft.com/office/drawing/2014/main" id="{2EA8C06F-2634-48B6-8CEE-1284784F413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780" y="1"/>
          <a:ext cx="369000" cy="487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02A401-559F-4142-9D39-8702EA5485A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138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1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146880</xdr:colOff>
      <xdr:row>0</xdr:row>
      <xdr:rowOff>47520</xdr:rowOff>
    </xdr:from>
    <xdr:to>
      <xdr:col>0</xdr:col>
      <xdr:colOff>573480</xdr:colOff>
      <xdr:row>2</xdr:row>
      <xdr:rowOff>137520</xdr:rowOff>
    </xdr:to>
    <xdr:pic>
      <xdr:nvPicPr>
        <xdr:cNvPr id="10" name="Picture 1_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6880" y="47520"/>
          <a:ext cx="426600" cy="4140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ercial%20Publico\3%20-%20Propostas\2017\IPHAN\MG-PE%2001-2017-Profissional\Modelo%20-%20Planilha%20de%20Custos%20-%20Te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\Propostas\2011\Federal\Minist.%20Combate%20a%20Fome\PE%2013-2011\PH-077-2011%20-%20Planilha%20de%20custos-AJUSTADA%20AO%20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ercial%20Publico\3%20-%20Propostas\2017\IPHAN\MG-PE%2001-2017-Profissional\Propos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ercial%20Publico\Controles\Modelo%20-%20Planilha%20de%20Custo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io\AppData\Local\Temp\Rar$DIa344.19415\Planilha%20de%20custos%20e%20forma&#231;&#227;o%20de%20pre&#231;os%20-%20R08.xlsx" TargetMode="External"/><Relationship Id="rId1" Type="http://schemas.openxmlformats.org/officeDocument/2006/relationships/externalLinkPath" Target="file:///C:\Users\fabio\AppData\Local\Temp\Rar$DIa344.19415\Planilha%20de%20custos%20e%20forma&#231;&#227;o%20de%20pre&#231;os%20-%20R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da Licitação"/>
      <sheetName val="base"/>
      <sheetName val="Dados"/>
      <sheetName val="Base CCT-2016-2017"/>
      <sheetName val="Cidades VT PAF ISS"/>
      <sheetName val="Estudo Liquido"/>
      <sheetName val="Estudo Liquido - realxpresumido"/>
      <sheetName val="Proposta TEXTO"/>
      <sheetName val="Anexo III (1)"/>
      <sheetName val="Global"/>
      <sheetName val="adeq"/>
      <sheetName val="Anexo III - C e D"/>
      <sheetName val="Compl. limpeza"/>
      <sheetName val="Uniforme"/>
      <sheetName val="Materiais"/>
      <sheetName val="Equipamentos"/>
      <sheetName val="Memória Encargos Sociais"/>
      <sheetName val="Memória de cálculo-grupo 1"/>
      <sheetName val="TX.ADM E Tributos"/>
      <sheetName val="Apuração de Pis e Cofins"/>
    </sheetNames>
    <sheetDataSet>
      <sheetData sheetId="0"/>
      <sheetData sheetId="1"/>
      <sheetData sheetId="2"/>
      <sheetData sheetId="3">
        <row r="1">
          <cell r="AJ1">
            <v>36</v>
          </cell>
        </row>
        <row r="20">
          <cell r="A20" t="str">
            <v>Agente de Campo</v>
          </cell>
          <cell r="B20">
            <v>1259.28</v>
          </cell>
          <cell r="C20">
            <v>1011.25</v>
          </cell>
          <cell r="D20">
            <v>941.66</v>
          </cell>
          <cell r="E20">
            <v>1259.28</v>
          </cell>
          <cell r="F20">
            <v>941.66</v>
          </cell>
          <cell r="G20">
            <v>1011.25</v>
          </cell>
          <cell r="H20">
            <v>1044.73</v>
          </cell>
          <cell r="I20">
            <v>1259.28</v>
          </cell>
          <cell r="J20">
            <v>1259.28</v>
          </cell>
          <cell r="K20">
            <v>1259.28</v>
          </cell>
          <cell r="L20">
            <v>941.66</v>
          </cell>
          <cell r="M20">
            <v>1259.28</v>
          </cell>
          <cell r="N20">
            <v>941.66</v>
          </cell>
          <cell r="P20">
            <v>941.66</v>
          </cell>
          <cell r="Q20">
            <v>1259.28</v>
          </cell>
          <cell r="R20">
            <v>941.66</v>
          </cell>
          <cell r="S20">
            <v>941.66</v>
          </cell>
          <cell r="T20">
            <v>1259.28</v>
          </cell>
          <cell r="U20">
            <v>941.66</v>
          </cell>
          <cell r="V20">
            <v>1259.28</v>
          </cell>
          <cell r="W20">
            <v>1259.28</v>
          </cell>
          <cell r="X20">
            <v>1352.34</v>
          </cell>
          <cell r="Z20">
            <v>8</v>
          </cell>
          <cell r="AD20">
            <v>1259.28</v>
          </cell>
          <cell r="AE20">
            <v>941.66</v>
          </cell>
          <cell r="AF20">
            <v>1259.28</v>
          </cell>
          <cell r="AI20">
            <v>1352.34</v>
          </cell>
          <cell r="AJ20">
            <v>19</v>
          </cell>
          <cell r="AU20" t="str">
            <v>Serv. Apoio Adm</v>
          </cell>
        </row>
        <row r="21">
          <cell r="A21" t="str">
            <v>Agente de Campo para combate à Dengue e Leishmaniose</v>
          </cell>
          <cell r="B21">
            <v>1453.13</v>
          </cell>
          <cell r="C21">
            <v>1435.34</v>
          </cell>
          <cell r="D21">
            <v>1336.56</v>
          </cell>
          <cell r="E21">
            <v>1453.13</v>
          </cell>
          <cell r="F21">
            <v>1336.56</v>
          </cell>
          <cell r="G21">
            <v>1435.34</v>
          </cell>
          <cell r="H21">
            <v>1560.52</v>
          </cell>
          <cell r="I21">
            <v>1453.13</v>
          </cell>
          <cell r="J21">
            <v>1453.13</v>
          </cell>
          <cell r="K21">
            <v>1453.13</v>
          </cell>
          <cell r="L21">
            <v>1336.56</v>
          </cell>
          <cell r="M21">
            <v>1453.13</v>
          </cell>
          <cell r="N21">
            <v>1336.56</v>
          </cell>
          <cell r="P21">
            <v>1336.56</v>
          </cell>
          <cell r="Q21">
            <v>1453.13</v>
          </cell>
          <cell r="R21">
            <v>1336.56</v>
          </cell>
          <cell r="S21">
            <v>1336.56</v>
          </cell>
          <cell r="T21">
            <v>1453.13</v>
          </cell>
          <cell r="U21">
            <v>1336.56</v>
          </cell>
          <cell r="V21">
            <v>1453.13</v>
          </cell>
          <cell r="W21">
            <v>1453.13</v>
          </cell>
          <cell r="X21">
            <v>1560.52</v>
          </cell>
          <cell r="Z21">
            <v>26</v>
          </cell>
          <cell r="AD21">
            <v>1453.13</v>
          </cell>
          <cell r="AE21">
            <v>1336.56</v>
          </cell>
          <cell r="AF21">
            <v>1453.13</v>
          </cell>
          <cell r="AI21">
            <v>1560.52</v>
          </cell>
          <cell r="AJ21">
            <v>20</v>
          </cell>
          <cell r="AU21" t="str">
            <v>Serv. Apoio Adm</v>
          </cell>
        </row>
        <row r="22">
          <cell r="A22" t="str">
            <v>Almoxarife</v>
          </cell>
          <cell r="B22">
            <v>1354.53</v>
          </cell>
          <cell r="C22">
            <v>1337.9</v>
          </cell>
          <cell r="D22">
            <v>1245.83</v>
          </cell>
          <cell r="E22">
            <v>1354.53</v>
          </cell>
          <cell r="F22">
            <v>1245.83</v>
          </cell>
          <cell r="G22">
            <v>1337.9</v>
          </cell>
          <cell r="H22">
            <v>1454.63</v>
          </cell>
          <cell r="I22">
            <v>1354.53</v>
          </cell>
          <cell r="J22">
            <v>1354.53</v>
          </cell>
          <cell r="K22">
            <v>1354.53</v>
          </cell>
          <cell r="L22">
            <v>1245.83</v>
          </cell>
          <cell r="M22">
            <v>1354.53</v>
          </cell>
          <cell r="N22">
            <v>1245.83</v>
          </cell>
          <cell r="O22">
            <v>1454.68</v>
          </cell>
          <cell r="P22">
            <v>1245.83</v>
          </cell>
          <cell r="Q22">
            <v>1354.53</v>
          </cell>
          <cell r="R22">
            <v>1245.83</v>
          </cell>
          <cell r="S22">
            <v>1245.83</v>
          </cell>
          <cell r="T22">
            <v>1354.53</v>
          </cell>
          <cell r="U22">
            <v>1245.83</v>
          </cell>
          <cell r="V22">
            <v>1354.53</v>
          </cell>
          <cell r="W22">
            <v>1354.53</v>
          </cell>
          <cell r="X22">
            <v>1454.63</v>
          </cell>
          <cell r="Z22">
            <v>23</v>
          </cell>
          <cell r="AD22">
            <v>1354.53</v>
          </cell>
          <cell r="AE22">
            <v>1245.83</v>
          </cell>
          <cell r="AF22">
            <v>1354.53</v>
          </cell>
          <cell r="AI22">
            <v>1454.63</v>
          </cell>
          <cell r="AJ22">
            <v>21</v>
          </cell>
          <cell r="AU22" t="str">
            <v>Serv. Apoio Adm</v>
          </cell>
        </row>
        <row r="23">
          <cell r="A23" t="str">
            <v>Ascensorista</v>
          </cell>
          <cell r="B23">
            <v>1022.12</v>
          </cell>
          <cell r="C23">
            <v>1061.81</v>
          </cell>
          <cell r="D23">
            <v>988.74</v>
          </cell>
          <cell r="E23">
            <v>1022.12</v>
          </cell>
          <cell r="F23">
            <v>988.74</v>
          </cell>
          <cell r="G23">
            <v>1061.81</v>
          </cell>
          <cell r="H23">
            <v>1097.6600000000001</v>
          </cell>
          <cell r="I23">
            <v>1022.12</v>
          </cell>
          <cell r="J23">
            <v>1022.12</v>
          </cell>
          <cell r="K23">
            <v>1022.12</v>
          </cell>
          <cell r="L23">
            <v>988.74</v>
          </cell>
          <cell r="M23">
            <v>1022.12</v>
          </cell>
          <cell r="N23">
            <v>988.74</v>
          </cell>
          <cell r="O23">
            <v>1185.0899999999999</v>
          </cell>
          <cell r="P23">
            <v>988.74</v>
          </cell>
          <cell r="Q23">
            <v>1022.12</v>
          </cell>
          <cell r="R23">
            <v>988.74</v>
          </cell>
          <cell r="S23">
            <v>988.74</v>
          </cell>
          <cell r="T23">
            <v>1022.12</v>
          </cell>
          <cell r="U23">
            <v>988.74</v>
          </cell>
          <cell r="V23">
            <v>1022.12</v>
          </cell>
          <cell r="W23">
            <v>1022.12</v>
          </cell>
          <cell r="X23">
            <v>1097.6600000000001</v>
          </cell>
          <cell r="Y23">
            <v>1055.04</v>
          </cell>
          <cell r="Z23">
            <v>12</v>
          </cell>
          <cell r="AD23">
            <v>1022.12</v>
          </cell>
          <cell r="AE23">
            <v>988.74</v>
          </cell>
          <cell r="AF23">
            <v>1022.12</v>
          </cell>
          <cell r="AI23">
            <v>1097.6600000000001</v>
          </cell>
          <cell r="AJ23">
            <v>22</v>
          </cell>
          <cell r="AU23" t="str">
            <v>Serv. Apoio Adm</v>
          </cell>
        </row>
        <row r="24">
          <cell r="A24" t="str">
            <v>Atendente</v>
          </cell>
          <cell r="B24">
            <v>1670.04</v>
          </cell>
          <cell r="C24">
            <v>1649.65</v>
          </cell>
          <cell r="D24">
            <v>1536.13</v>
          </cell>
          <cell r="E24">
            <v>1670.04</v>
          </cell>
          <cell r="F24">
            <v>1536.13</v>
          </cell>
          <cell r="G24">
            <v>1649.65</v>
          </cell>
          <cell r="H24">
            <v>1793.46</v>
          </cell>
          <cell r="I24">
            <v>1670.04</v>
          </cell>
          <cell r="J24">
            <v>1670.04</v>
          </cell>
          <cell r="K24">
            <v>1670.04</v>
          </cell>
          <cell r="L24">
            <v>1536.13</v>
          </cell>
          <cell r="M24">
            <v>1670.04</v>
          </cell>
          <cell r="N24">
            <v>1536.13</v>
          </cell>
          <cell r="P24">
            <v>1536.13</v>
          </cell>
          <cell r="Q24">
            <v>1670.04</v>
          </cell>
          <cell r="R24">
            <v>1536.13</v>
          </cell>
          <cell r="S24">
            <v>1536.13</v>
          </cell>
          <cell r="T24">
            <v>1670.04</v>
          </cell>
          <cell r="U24">
            <v>1536.13</v>
          </cell>
          <cell r="V24">
            <v>1670.04</v>
          </cell>
          <cell r="W24">
            <v>1670.04</v>
          </cell>
          <cell r="X24">
            <v>1793.46</v>
          </cell>
          <cell r="Z24">
            <v>36</v>
          </cell>
          <cell r="AD24">
            <v>1670.04</v>
          </cell>
          <cell r="AE24">
            <v>1536.13</v>
          </cell>
          <cell r="AF24">
            <v>1670.04</v>
          </cell>
          <cell r="AI24">
            <v>1793.46</v>
          </cell>
          <cell r="AJ24">
            <v>23</v>
          </cell>
          <cell r="AU24" t="str">
            <v>Serv. Apoio Adm</v>
          </cell>
        </row>
        <row r="25">
          <cell r="A25" t="str">
            <v>Auxiliar de Cozinha</v>
          </cell>
          <cell r="M25">
            <v>1021.07</v>
          </cell>
          <cell r="Z25">
            <v>40</v>
          </cell>
          <cell r="AJ25">
            <v>24</v>
          </cell>
          <cell r="AU25" t="str">
            <v>Serv. Apoio Adm</v>
          </cell>
        </row>
        <row r="26">
          <cell r="A26" t="str">
            <v>Auxiliar de Jardinagem</v>
          </cell>
          <cell r="B26">
            <v>1259.28</v>
          </cell>
          <cell r="C26">
            <v>1243.8399999999999</v>
          </cell>
          <cell r="D26">
            <v>1158.24</v>
          </cell>
          <cell r="E26">
            <v>1259.28</v>
          </cell>
          <cell r="F26">
            <v>1158.24</v>
          </cell>
          <cell r="G26">
            <v>1243.8399999999999</v>
          </cell>
          <cell r="H26">
            <v>1352.34</v>
          </cell>
          <cell r="I26">
            <v>1259.28</v>
          </cell>
          <cell r="J26">
            <v>1259.28</v>
          </cell>
          <cell r="K26">
            <v>1259.28</v>
          </cell>
          <cell r="L26">
            <v>1158.24</v>
          </cell>
          <cell r="M26">
            <v>1259.28</v>
          </cell>
          <cell r="N26">
            <v>1158.24</v>
          </cell>
          <cell r="P26">
            <v>1158.24</v>
          </cell>
          <cell r="Q26">
            <v>1259.28</v>
          </cell>
          <cell r="R26">
            <v>1158.24</v>
          </cell>
          <cell r="S26">
            <v>1158.24</v>
          </cell>
          <cell r="T26">
            <v>1259.28</v>
          </cell>
          <cell r="U26">
            <v>1158.24</v>
          </cell>
          <cell r="V26">
            <v>1259.28</v>
          </cell>
          <cell r="W26">
            <v>1259.28</v>
          </cell>
          <cell r="X26">
            <v>1352.34</v>
          </cell>
          <cell r="Z26">
            <v>20</v>
          </cell>
          <cell r="AD26">
            <v>1259.28</v>
          </cell>
          <cell r="AE26">
            <v>1158.24</v>
          </cell>
          <cell r="AF26">
            <v>1259.28</v>
          </cell>
          <cell r="AI26">
            <v>1352.34</v>
          </cell>
          <cell r="AJ26">
            <v>25</v>
          </cell>
          <cell r="AU26" t="str">
            <v>Serv. Apoio Adm</v>
          </cell>
        </row>
        <row r="27">
          <cell r="A27" t="str">
            <v>Auxiliar de movimentação de materiais de laboratório</v>
          </cell>
          <cell r="Q27">
            <v>1053.08</v>
          </cell>
          <cell r="Z27">
            <v>43</v>
          </cell>
          <cell r="AJ27">
            <v>26</v>
          </cell>
          <cell r="AU27" t="str">
            <v>Serv. Apoio Adm</v>
          </cell>
        </row>
        <row r="28">
          <cell r="A28" t="str">
            <v>Auxiliar de operador de carga</v>
          </cell>
          <cell r="B28">
            <v>1511.14</v>
          </cell>
          <cell r="C28">
            <v>1492.63</v>
          </cell>
          <cell r="D28">
            <v>1389.91</v>
          </cell>
          <cell r="E28">
            <v>1511.14</v>
          </cell>
          <cell r="F28">
            <v>1389.91</v>
          </cell>
          <cell r="G28">
            <v>1492.63</v>
          </cell>
          <cell r="H28">
            <v>1622.82</v>
          </cell>
          <cell r="I28">
            <v>1511.14</v>
          </cell>
          <cell r="J28">
            <v>1511.14</v>
          </cell>
          <cell r="K28">
            <v>1511.14</v>
          </cell>
          <cell r="L28">
            <v>1389.91</v>
          </cell>
          <cell r="M28">
            <v>1511.14</v>
          </cell>
          <cell r="N28">
            <v>1389.91</v>
          </cell>
          <cell r="O28">
            <v>1578.01</v>
          </cell>
          <cell r="P28">
            <v>1389.91</v>
          </cell>
          <cell r="Q28">
            <v>1511.14</v>
          </cell>
          <cell r="R28">
            <v>1389.91</v>
          </cell>
          <cell r="S28">
            <v>1389.91</v>
          </cell>
          <cell r="T28">
            <v>1511.14</v>
          </cell>
          <cell r="U28">
            <v>1389.91</v>
          </cell>
          <cell r="V28">
            <v>1511.14</v>
          </cell>
          <cell r="W28">
            <v>1511.14</v>
          </cell>
          <cell r="X28">
            <v>1622.82</v>
          </cell>
          <cell r="Z28">
            <v>30</v>
          </cell>
          <cell r="AD28">
            <v>1511.14</v>
          </cell>
          <cell r="AE28">
            <v>1389.91</v>
          </cell>
          <cell r="AF28">
            <v>1511.14</v>
          </cell>
          <cell r="AI28">
            <v>1622.82</v>
          </cell>
          <cell r="AJ28">
            <v>27</v>
          </cell>
          <cell r="AU28" t="str">
            <v>Serv. Apoio Adm</v>
          </cell>
        </row>
        <row r="29">
          <cell r="A29" t="str">
            <v>Bilheteiro</v>
          </cell>
          <cell r="G29">
            <v>1581.86</v>
          </cell>
          <cell r="H29">
            <v>1581.86</v>
          </cell>
          <cell r="X29">
            <v>1581.86</v>
          </cell>
          <cell r="Z29">
            <v>35</v>
          </cell>
          <cell r="AJ29">
            <v>28</v>
          </cell>
          <cell r="AU29" t="str">
            <v>Serv. Apoio Adm</v>
          </cell>
        </row>
        <row r="30">
          <cell r="A30" t="str">
            <v>Bombeiro Combate a Incêndio</v>
          </cell>
          <cell r="M30">
            <v>1842.33</v>
          </cell>
          <cell r="Z30">
            <v>42</v>
          </cell>
          <cell r="AJ30">
            <v>29</v>
          </cell>
          <cell r="AU30" t="str">
            <v>Serv. Apoio Adm</v>
          </cell>
        </row>
        <row r="31">
          <cell r="A31" t="str">
            <v>Camareira/Arrumadeira</v>
          </cell>
          <cell r="B31">
            <v>972.83</v>
          </cell>
          <cell r="C31">
            <v>1011.25</v>
          </cell>
          <cell r="D31">
            <v>941.66</v>
          </cell>
          <cell r="E31">
            <v>972.83</v>
          </cell>
          <cell r="F31">
            <v>941.66</v>
          </cell>
          <cell r="G31">
            <v>1011.25</v>
          </cell>
          <cell r="H31">
            <v>1044.73</v>
          </cell>
          <cell r="I31">
            <v>972.83</v>
          </cell>
          <cell r="J31">
            <v>972.83</v>
          </cell>
          <cell r="K31">
            <v>972.83</v>
          </cell>
          <cell r="L31">
            <v>941.66</v>
          </cell>
          <cell r="M31">
            <v>972.83</v>
          </cell>
          <cell r="N31">
            <v>941.66</v>
          </cell>
          <cell r="O31">
            <v>1068.51</v>
          </cell>
          <cell r="P31">
            <v>941.66</v>
          </cell>
          <cell r="Q31">
            <v>972.83</v>
          </cell>
          <cell r="R31">
            <v>941.66</v>
          </cell>
          <cell r="S31">
            <v>941.66</v>
          </cell>
          <cell r="T31">
            <v>972.83</v>
          </cell>
          <cell r="U31">
            <v>941.66</v>
          </cell>
          <cell r="V31">
            <v>972.83</v>
          </cell>
          <cell r="W31">
            <v>972.83</v>
          </cell>
          <cell r="X31">
            <v>1044.73</v>
          </cell>
          <cell r="Y31">
            <v>973.41</v>
          </cell>
          <cell r="Z31">
            <v>4</v>
          </cell>
          <cell r="AD31">
            <v>972.83</v>
          </cell>
          <cell r="AE31">
            <v>941.66</v>
          </cell>
          <cell r="AF31">
            <v>972.83</v>
          </cell>
          <cell r="AI31">
            <v>1044.73</v>
          </cell>
          <cell r="AJ31">
            <v>30</v>
          </cell>
          <cell r="AU31" t="str">
            <v>Limpeza</v>
          </cell>
        </row>
        <row r="32">
          <cell r="A32" t="str">
            <v>Capineiro</v>
          </cell>
          <cell r="B32">
            <v>1022.12</v>
          </cell>
          <cell r="C32">
            <v>1061.81</v>
          </cell>
          <cell r="D32">
            <v>988.74</v>
          </cell>
          <cell r="E32">
            <v>1022.12</v>
          </cell>
          <cell r="F32">
            <v>988.74</v>
          </cell>
          <cell r="G32">
            <v>1061.81</v>
          </cell>
          <cell r="H32">
            <v>1097.6600000000001</v>
          </cell>
          <cell r="I32">
            <v>1022.12</v>
          </cell>
          <cell r="J32">
            <v>1022.12</v>
          </cell>
          <cell r="K32">
            <v>1022.12</v>
          </cell>
          <cell r="L32">
            <v>988.74</v>
          </cell>
          <cell r="M32">
            <v>1022.12</v>
          </cell>
          <cell r="N32">
            <v>988.74</v>
          </cell>
          <cell r="O32">
            <v>1068.51</v>
          </cell>
          <cell r="P32">
            <v>988.74</v>
          </cell>
          <cell r="Q32">
            <v>1022.12</v>
          </cell>
          <cell r="R32">
            <v>988.74</v>
          </cell>
          <cell r="S32">
            <v>988.74</v>
          </cell>
          <cell r="T32">
            <v>1022.12</v>
          </cell>
          <cell r="U32">
            <v>988.74</v>
          </cell>
          <cell r="V32">
            <v>1022.12</v>
          </cell>
          <cell r="W32">
            <v>1022.12</v>
          </cell>
          <cell r="X32">
            <v>1097.6600000000001</v>
          </cell>
          <cell r="Z32">
            <v>13</v>
          </cell>
          <cell r="AD32">
            <v>1022.12</v>
          </cell>
          <cell r="AE32">
            <v>988.74</v>
          </cell>
          <cell r="AF32">
            <v>1022.12</v>
          </cell>
          <cell r="AI32">
            <v>1097.6600000000001</v>
          </cell>
          <cell r="AJ32">
            <v>31</v>
          </cell>
          <cell r="AU32" t="str">
            <v>Serv. Apoio Adm</v>
          </cell>
        </row>
        <row r="33">
          <cell r="A33" t="str">
            <v>Contínuo ou office-boy</v>
          </cell>
          <cell r="B33">
            <v>972.83</v>
          </cell>
          <cell r="C33">
            <v>1011.25</v>
          </cell>
          <cell r="D33">
            <v>941.66</v>
          </cell>
          <cell r="E33">
            <v>972.83</v>
          </cell>
          <cell r="F33">
            <v>941.66</v>
          </cell>
          <cell r="G33">
            <v>1011.25</v>
          </cell>
          <cell r="H33">
            <v>1044.73</v>
          </cell>
          <cell r="I33">
            <v>972.83</v>
          </cell>
          <cell r="J33">
            <v>972.83</v>
          </cell>
          <cell r="K33">
            <v>972.83</v>
          </cell>
          <cell r="L33">
            <v>941.66</v>
          </cell>
          <cell r="M33">
            <v>972.83</v>
          </cell>
          <cell r="N33">
            <v>941.66</v>
          </cell>
          <cell r="O33">
            <v>1015.9</v>
          </cell>
          <cell r="P33">
            <v>941.66</v>
          </cell>
          <cell r="Q33">
            <v>972.83</v>
          </cell>
          <cell r="R33">
            <v>941.66</v>
          </cell>
          <cell r="S33">
            <v>941.66</v>
          </cell>
          <cell r="T33">
            <v>972.83</v>
          </cell>
          <cell r="U33">
            <v>941.66</v>
          </cell>
          <cell r="V33">
            <v>972.83</v>
          </cell>
          <cell r="W33">
            <v>972.83</v>
          </cell>
          <cell r="X33">
            <v>1044.73</v>
          </cell>
          <cell r="Y33">
            <v>973.41</v>
          </cell>
          <cell r="Z33">
            <v>9</v>
          </cell>
          <cell r="AD33">
            <v>972.83</v>
          </cell>
          <cell r="AE33">
            <v>941.66</v>
          </cell>
          <cell r="AF33">
            <v>972.83</v>
          </cell>
          <cell r="AI33">
            <v>1044.73</v>
          </cell>
          <cell r="AJ33">
            <v>32</v>
          </cell>
          <cell r="AU33" t="str">
            <v>Serv. Apoio Adm</v>
          </cell>
        </row>
        <row r="34">
          <cell r="A34" t="str">
            <v>Controlador de Acesso ou de Piso</v>
          </cell>
          <cell r="B34">
            <v>1259.28</v>
          </cell>
          <cell r="C34">
            <v>1243.8399999999999</v>
          </cell>
          <cell r="D34">
            <v>1158.24</v>
          </cell>
          <cell r="E34">
            <v>1259.28</v>
          </cell>
          <cell r="F34">
            <v>1158.24</v>
          </cell>
          <cell r="G34">
            <v>1243.8399999999999</v>
          </cell>
          <cell r="H34">
            <v>1352.34</v>
          </cell>
          <cell r="I34">
            <v>1259.28</v>
          </cell>
          <cell r="J34">
            <v>1259.28</v>
          </cell>
          <cell r="K34">
            <v>1259.28</v>
          </cell>
          <cell r="L34">
            <v>1158.24</v>
          </cell>
          <cell r="M34">
            <v>1259.28</v>
          </cell>
          <cell r="N34">
            <v>1158.24</v>
          </cell>
          <cell r="P34">
            <v>1158.24</v>
          </cell>
          <cell r="Q34">
            <v>1259.28</v>
          </cell>
          <cell r="R34">
            <v>1158.24</v>
          </cell>
          <cell r="S34">
            <v>1158.24</v>
          </cell>
          <cell r="T34">
            <v>1259.28</v>
          </cell>
          <cell r="U34">
            <v>1158.24</v>
          </cell>
          <cell r="V34">
            <v>1259.28</v>
          </cell>
          <cell r="W34">
            <v>1259.28</v>
          </cell>
          <cell r="X34">
            <v>1352.34</v>
          </cell>
          <cell r="Z34">
            <v>18</v>
          </cell>
          <cell r="AD34">
            <v>1259.28</v>
          </cell>
          <cell r="AE34">
            <v>1158.24</v>
          </cell>
          <cell r="AF34">
            <v>1259.28</v>
          </cell>
          <cell r="AI34">
            <v>1352.34</v>
          </cell>
          <cell r="AJ34">
            <v>33</v>
          </cell>
          <cell r="AU34" t="str">
            <v>Serv. Apoio Adm</v>
          </cell>
        </row>
        <row r="35">
          <cell r="A35" t="str">
            <v>Copeira</v>
          </cell>
          <cell r="B35">
            <v>972.83</v>
          </cell>
          <cell r="C35">
            <v>1011.25</v>
          </cell>
          <cell r="D35">
            <v>941.66</v>
          </cell>
          <cell r="E35">
            <v>972.83</v>
          </cell>
          <cell r="F35">
            <v>941.66</v>
          </cell>
          <cell r="G35">
            <v>1011.25</v>
          </cell>
          <cell r="H35">
            <v>1044.73</v>
          </cell>
          <cell r="I35">
            <v>972.83</v>
          </cell>
          <cell r="J35">
            <v>972.83</v>
          </cell>
          <cell r="K35">
            <v>972.83</v>
          </cell>
          <cell r="L35">
            <v>941.66</v>
          </cell>
          <cell r="M35">
            <v>972.83</v>
          </cell>
          <cell r="N35">
            <v>941.66</v>
          </cell>
          <cell r="O35">
            <v>1015.9</v>
          </cell>
          <cell r="P35">
            <v>941.66</v>
          </cell>
          <cell r="Q35">
            <v>972.83</v>
          </cell>
          <cell r="R35">
            <v>941.66</v>
          </cell>
          <cell r="S35">
            <v>941.66</v>
          </cell>
          <cell r="T35">
            <v>972.83</v>
          </cell>
          <cell r="U35">
            <v>941.66</v>
          </cell>
          <cell r="V35">
            <v>972.83</v>
          </cell>
          <cell r="W35">
            <v>972.83</v>
          </cell>
          <cell r="X35">
            <v>1044.73</v>
          </cell>
          <cell r="Y35">
            <v>973.41</v>
          </cell>
          <cell r="Z35">
            <v>5</v>
          </cell>
          <cell r="AD35">
            <v>972.83</v>
          </cell>
          <cell r="AE35">
            <v>941.66</v>
          </cell>
          <cell r="AF35">
            <v>972.83</v>
          </cell>
          <cell r="AI35">
            <v>1044.73</v>
          </cell>
          <cell r="AJ35">
            <v>34</v>
          </cell>
          <cell r="AU35" t="str">
            <v>Serv. Apoio Adm</v>
          </cell>
        </row>
        <row r="36">
          <cell r="A36" t="str">
            <v>Cozinheira</v>
          </cell>
          <cell r="M36">
            <v>1674.99</v>
          </cell>
          <cell r="O36">
            <v>1100.03</v>
          </cell>
          <cell r="Z36">
            <v>39</v>
          </cell>
          <cell r="AJ36">
            <v>35</v>
          </cell>
          <cell r="AU36" t="str">
            <v>Serv. Apoio Adm</v>
          </cell>
        </row>
        <row r="37">
          <cell r="A37" t="str">
            <v>Dedetizador</v>
          </cell>
          <cell r="B37">
            <v>1453.13</v>
          </cell>
          <cell r="C37">
            <v>1435.34</v>
          </cell>
          <cell r="D37">
            <v>1336.56</v>
          </cell>
          <cell r="E37">
            <v>1453.13</v>
          </cell>
          <cell r="F37">
            <v>1336.56</v>
          </cell>
          <cell r="G37">
            <v>1435.34</v>
          </cell>
          <cell r="H37">
            <v>1560.52</v>
          </cell>
          <cell r="I37">
            <v>1453.13</v>
          </cell>
          <cell r="J37">
            <v>1453.13</v>
          </cell>
          <cell r="K37">
            <v>1453.13</v>
          </cell>
          <cell r="L37">
            <v>1336.56</v>
          </cell>
          <cell r="M37">
            <v>1453.13</v>
          </cell>
          <cell r="N37">
            <v>1336.56</v>
          </cell>
          <cell r="O37">
            <v>1517.4</v>
          </cell>
          <cell r="P37">
            <v>1336.56</v>
          </cell>
          <cell r="Q37">
            <v>1453.13</v>
          </cell>
          <cell r="R37">
            <v>1336.56</v>
          </cell>
          <cell r="S37">
            <v>1336.56</v>
          </cell>
          <cell r="T37">
            <v>1453.13</v>
          </cell>
          <cell r="U37">
            <v>1336.56</v>
          </cell>
          <cell r="V37">
            <v>1453.13</v>
          </cell>
          <cell r="W37">
            <v>1453.13</v>
          </cell>
          <cell r="X37">
            <v>1560.52</v>
          </cell>
          <cell r="Z37">
            <v>25</v>
          </cell>
          <cell r="AD37">
            <v>1453.13</v>
          </cell>
          <cell r="AE37">
            <v>1336.56</v>
          </cell>
          <cell r="AF37">
            <v>1453.13</v>
          </cell>
          <cell r="AI37">
            <v>1560.52</v>
          </cell>
          <cell r="AJ37">
            <v>36</v>
          </cell>
          <cell r="AU37" t="str">
            <v>Serv. Apoio Adm</v>
          </cell>
        </row>
        <row r="38">
          <cell r="A38" t="str">
            <v>Encarregado</v>
          </cell>
          <cell r="B38">
            <v>1453.13</v>
          </cell>
          <cell r="C38">
            <v>1435.34</v>
          </cell>
          <cell r="D38">
            <v>1336.56</v>
          </cell>
          <cell r="E38">
            <v>1453.13</v>
          </cell>
          <cell r="F38">
            <v>1336.56</v>
          </cell>
          <cell r="G38">
            <v>1435.34</v>
          </cell>
          <cell r="H38">
            <v>1560.52</v>
          </cell>
          <cell r="I38">
            <v>1453.13</v>
          </cell>
          <cell r="J38">
            <v>1453.13</v>
          </cell>
          <cell r="K38">
            <v>1453.13</v>
          </cell>
          <cell r="L38">
            <v>1336.56</v>
          </cell>
          <cell r="M38">
            <v>1453.13</v>
          </cell>
          <cell r="N38">
            <v>1336.56</v>
          </cell>
          <cell r="O38">
            <v>1677.92</v>
          </cell>
          <cell r="P38">
            <v>1336.56</v>
          </cell>
          <cell r="Q38">
            <v>1453.13</v>
          </cell>
          <cell r="R38">
            <v>1336.56</v>
          </cell>
          <cell r="S38">
            <v>1336.56</v>
          </cell>
          <cell r="T38">
            <v>1453.13</v>
          </cell>
          <cell r="U38">
            <v>1336.56</v>
          </cell>
          <cell r="V38">
            <v>1453.13</v>
          </cell>
          <cell r="W38">
            <v>1453.13</v>
          </cell>
          <cell r="X38">
            <v>1560.52</v>
          </cell>
          <cell r="Z38">
            <v>27</v>
          </cell>
          <cell r="AD38">
            <v>1453.13</v>
          </cell>
          <cell r="AE38">
            <v>1336.56</v>
          </cell>
          <cell r="AF38">
            <v>1453.13</v>
          </cell>
          <cell r="AI38">
            <v>1560.52</v>
          </cell>
          <cell r="AJ38">
            <v>37</v>
          </cell>
          <cell r="AU38" t="str">
            <v>Serv. Apoio Adm</v>
          </cell>
        </row>
        <row r="39">
          <cell r="A39" t="str">
            <v>Faxineiro</v>
          </cell>
          <cell r="B39">
            <v>972.83</v>
          </cell>
          <cell r="C39">
            <v>1011.25</v>
          </cell>
          <cell r="D39">
            <v>941.66</v>
          </cell>
          <cell r="E39">
            <v>972.83</v>
          </cell>
          <cell r="F39">
            <v>941.66</v>
          </cell>
          <cell r="G39">
            <v>1011.25</v>
          </cell>
          <cell r="H39">
            <v>1044.73</v>
          </cell>
          <cell r="I39">
            <v>972.83</v>
          </cell>
          <cell r="J39">
            <v>972.83</v>
          </cell>
          <cell r="K39">
            <v>972.83</v>
          </cell>
          <cell r="L39">
            <v>941.66</v>
          </cell>
          <cell r="M39">
            <v>972.83</v>
          </cell>
          <cell r="N39">
            <v>941.66</v>
          </cell>
          <cell r="O39">
            <v>1015.9</v>
          </cell>
          <cell r="P39">
            <v>941.66</v>
          </cell>
          <cell r="Q39">
            <v>972.83</v>
          </cell>
          <cell r="R39">
            <v>941.66</v>
          </cell>
          <cell r="S39">
            <v>941.66</v>
          </cell>
          <cell r="T39">
            <v>972.83</v>
          </cell>
          <cell r="U39">
            <v>941.66</v>
          </cell>
          <cell r="V39">
            <v>972.83</v>
          </cell>
          <cell r="W39">
            <v>972.83</v>
          </cell>
          <cell r="X39">
            <v>1044.73</v>
          </cell>
          <cell r="Y39">
            <v>973.41</v>
          </cell>
          <cell r="Z39">
            <v>1</v>
          </cell>
          <cell r="AD39">
            <v>972.83</v>
          </cell>
          <cell r="AE39">
            <v>941.66</v>
          </cell>
          <cell r="AF39">
            <v>972.83</v>
          </cell>
          <cell r="AI39">
            <v>1044.73</v>
          </cell>
          <cell r="AJ39">
            <v>38</v>
          </cell>
          <cell r="AU39" t="str">
            <v>Limpeza</v>
          </cell>
        </row>
        <row r="40">
          <cell r="A40" t="str">
            <v>Faxineiro limpeza técnica industrial na indústria automobilística</v>
          </cell>
          <cell r="B40">
            <v>1514.69</v>
          </cell>
          <cell r="C40">
            <v>1335.83</v>
          </cell>
          <cell r="D40">
            <v>1243.9000000000001</v>
          </cell>
          <cell r="E40">
            <v>1514.69</v>
          </cell>
          <cell r="F40">
            <v>1243.9000000000001</v>
          </cell>
          <cell r="G40">
            <v>1335.83</v>
          </cell>
          <cell r="H40">
            <v>1626.63</v>
          </cell>
          <cell r="I40">
            <v>1514.69</v>
          </cell>
          <cell r="J40">
            <v>1514.69</v>
          </cell>
          <cell r="K40">
            <v>1514.69</v>
          </cell>
          <cell r="L40">
            <v>1243.9000000000001</v>
          </cell>
          <cell r="M40">
            <v>1514.69</v>
          </cell>
          <cell r="N40">
            <v>1243.9000000000001</v>
          </cell>
          <cell r="O40">
            <v>1412.19</v>
          </cell>
          <cell r="P40">
            <v>1243.9000000000001</v>
          </cell>
          <cell r="Q40">
            <v>1514.69</v>
          </cell>
          <cell r="R40">
            <v>1243.9000000000001</v>
          </cell>
          <cell r="S40">
            <v>1243.9000000000001</v>
          </cell>
          <cell r="T40">
            <v>1514.69</v>
          </cell>
          <cell r="U40">
            <v>1243.9000000000001</v>
          </cell>
          <cell r="V40">
            <v>1514.69</v>
          </cell>
          <cell r="W40">
            <v>1514.69</v>
          </cell>
          <cell r="X40">
            <v>1626.63</v>
          </cell>
          <cell r="Z40">
            <v>21</v>
          </cell>
          <cell r="AD40">
            <v>1514.69</v>
          </cell>
          <cell r="AE40">
            <v>1243.9000000000001</v>
          </cell>
          <cell r="AF40">
            <v>1514.69</v>
          </cell>
          <cell r="AI40">
            <v>1626.63</v>
          </cell>
          <cell r="AJ40">
            <v>39</v>
          </cell>
          <cell r="AU40" t="str">
            <v>Limpeza</v>
          </cell>
        </row>
        <row r="41">
          <cell r="A41" t="str">
            <v>Garagista</v>
          </cell>
          <cell r="B41">
            <v>1453.13</v>
          </cell>
          <cell r="C41">
            <v>1435.34</v>
          </cell>
          <cell r="D41">
            <v>1336.56</v>
          </cell>
          <cell r="E41">
            <v>1453.13</v>
          </cell>
          <cell r="F41">
            <v>1336.56</v>
          </cell>
          <cell r="G41">
            <v>1635.34</v>
          </cell>
          <cell r="H41">
            <v>1560.52</v>
          </cell>
          <cell r="I41">
            <v>1453.13</v>
          </cell>
          <cell r="J41">
            <v>1453.13</v>
          </cell>
          <cell r="K41">
            <v>1453.13</v>
          </cell>
          <cell r="L41">
            <v>1336.56</v>
          </cell>
          <cell r="M41">
            <v>1453.13</v>
          </cell>
          <cell r="N41">
            <v>1336.56</v>
          </cell>
          <cell r="O41">
            <v>1516.16</v>
          </cell>
          <cell r="P41">
            <v>1336.56</v>
          </cell>
          <cell r="Q41">
            <v>1453.13</v>
          </cell>
          <cell r="R41">
            <v>1336.56</v>
          </cell>
          <cell r="S41">
            <v>1336.56</v>
          </cell>
          <cell r="T41">
            <v>1453.13</v>
          </cell>
          <cell r="U41">
            <v>1336.56</v>
          </cell>
          <cell r="V41">
            <v>1453.13</v>
          </cell>
          <cell r="W41">
            <v>1453.13</v>
          </cell>
          <cell r="X41">
            <v>1560.52</v>
          </cell>
          <cell r="Y41">
            <v>973.41</v>
          </cell>
          <cell r="Z41">
            <v>14</v>
          </cell>
          <cell r="AD41">
            <v>1453.13</v>
          </cell>
          <cell r="AE41">
            <v>1336.56</v>
          </cell>
          <cell r="AF41">
            <v>1453.13</v>
          </cell>
          <cell r="AI41">
            <v>1560.52</v>
          </cell>
          <cell r="AJ41">
            <v>40</v>
          </cell>
          <cell r="AU41" t="str">
            <v>Serv. Apoio Adm</v>
          </cell>
        </row>
        <row r="42">
          <cell r="A42" t="str">
            <v>Garçom</v>
          </cell>
          <cell r="B42">
            <v>972.83</v>
          </cell>
          <cell r="C42">
            <v>1011.25</v>
          </cell>
          <cell r="D42">
            <v>941.66</v>
          </cell>
          <cell r="E42">
            <v>972.83</v>
          </cell>
          <cell r="F42">
            <v>941.66</v>
          </cell>
          <cell r="G42">
            <v>1011.25</v>
          </cell>
          <cell r="H42">
            <v>1044.73</v>
          </cell>
          <cell r="I42">
            <v>972.83</v>
          </cell>
          <cell r="J42">
            <v>972.83</v>
          </cell>
          <cell r="K42">
            <v>972.83</v>
          </cell>
          <cell r="L42">
            <v>941.66</v>
          </cell>
          <cell r="M42">
            <v>972.83</v>
          </cell>
          <cell r="N42">
            <v>941.66</v>
          </cell>
          <cell r="O42">
            <v>1015.9</v>
          </cell>
          <cell r="P42">
            <v>941.66</v>
          </cell>
          <cell r="Q42">
            <v>972.83</v>
          </cell>
          <cell r="R42">
            <v>941.66</v>
          </cell>
          <cell r="S42">
            <v>941.66</v>
          </cell>
          <cell r="T42">
            <v>972.83</v>
          </cell>
          <cell r="U42">
            <v>941.66</v>
          </cell>
          <cell r="V42">
            <v>972.83</v>
          </cell>
          <cell r="W42">
            <v>972.83</v>
          </cell>
          <cell r="X42">
            <v>1044.73</v>
          </cell>
          <cell r="Y42">
            <v>973.41</v>
          </cell>
          <cell r="Z42">
            <v>3</v>
          </cell>
          <cell r="AD42">
            <v>972.83</v>
          </cell>
          <cell r="AE42">
            <v>941.66</v>
          </cell>
          <cell r="AF42">
            <v>972.83</v>
          </cell>
          <cell r="AI42">
            <v>1044.73</v>
          </cell>
          <cell r="AJ42">
            <v>41</v>
          </cell>
          <cell r="AU42" t="str">
            <v>Serv. Apoio Adm</v>
          </cell>
        </row>
        <row r="43">
          <cell r="A43" t="str">
            <v>Jardineiro</v>
          </cell>
          <cell r="B43">
            <v>1354.53</v>
          </cell>
          <cell r="C43">
            <v>1337.9</v>
          </cell>
          <cell r="D43">
            <v>1245.83</v>
          </cell>
          <cell r="E43">
            <v>1354.53</v>
          </cell>
          <cell r="F43">
            <v>1245.83</v>
          </cell>
          <cell r="G43">
            <v>1337.9</v>
          </cell>
          <cell r="H43">
            <v>1454.63</v>
          </cell>
          <cell r="I43">
            <v>1354.53</v>
          </cell>
          <cell r="J43">
            <v>1354.53</v>
          </cell>
          <cell r="K43">
            <v>1354.53</v>
          </cell>
          <cell r="L43">
            <v>1245.83</v>
          </cell>
          <cell r="M43">
            <v>1354.53</v>
          </cell>
          <cell r="N43">
            <v>1245.83</v>
          </cell>
          <cell r="O43">
            <v>1455.48</v>
          </cell>
          <cell r="P43">
            <v>1245.83</v>
          </cell>
          <cell r="Q43">
            <v>1354.53</v>
          </cell>
          <cell r="R43">
            <v>1245.83</v>
          </cell>
          <cell r="S43">
            <v>1245.83</v>
          </cell>
          <cell r="T43">
            <v>1354.53</v>
          </cell>
          <cell r="U43">
            <v>1245.83</v>
          </cell>
          <cell r="V43">
            <v>1354.53</v>
          </cell>
          <cell r="W43">
            <v>1354.53</v>
          </cell>
          <cell r="X43">
            <v>1454.63</v>
          </cell>
          <cell r="Y43">
            <v>1055.04</v>
          </cell>
          <cell r="Z43">
            <v>22</v>
          </cell>
          <cell r="AD43">
            <v>1354.53</v>
          </cell>
          <cell r="AE43">
            <v>1245.83</v>
          </cell>
          <cell r="AF43">
            <v>1354.53</v>
          </cell>
          <cell r="AI43">
            <v>1454.63</v>
          </cell>
          <cell r="AJ43">
            <v>42</v>
          </cell>
          <cell r="AU43" t="str">
            <v>Serv. Apoio Adm</v>
          </cell>
        </row>
        <row r="44">
          <cell r="A44" t="str">
            <v>Líder de limpeza técnica industrial na indústria automobilística</v>
          </cell>
          <cell r="B44">
            <v>2149.61</v>
          </cell>
          <cell r="C44">
            <v>2123.27</v>
          </cell>
          <cell r="D44">
            <v>1977.15</v>
          </cell>
          <cell r="E44">
            <v>2149.61</v>
          </cell>
          <cell r="F44">
            <v>1977.15</v>
          </cell>
          <cell r="G44">
            <v>2123.27</v>
          </cell>
          <cell r="H44">
            <v>2308.4699999999998</v>
          </cell>
          <cell r="I44">
            <v>2149.61</v>
          </cell>
          <cell r="J44">
            <v>2149.61</v>
          </cell>
          <cell r="K44">
            <v>2149.61</v>
          </cell>
          <cell r="L44">
            <v>1977.15</v>
          </cell>
          <cell r="M44">
            <v>2149.61</v>
          </cell>
          <cell r="N44">
            <v>1977.15</v>
          </cell>
          <cell r="O44">
            <v>2004.24</v>
          </cell>
          <cell r="P44">
            <v>1977.15</v>
          </cell>
          <cell r="Q44">
            <v>2149.61</v>
          </cell>
          <cell r="R44">
            <v>1977.15</v>
          </cell>
          <cell r="S44">
            <v>1977.15</v>
          </cell>
          <cell r="T44">
            <v>2149.61</v>
          </cell>
          <cell r="U44">
            <v>1977.15</v>
          </cell>
          <cell r="V44">
            <v>2149.61</v>
          </cell>
          <cell r="W44">
            <v>2149.61</v>
          </cell>
          <cell r="X44">
            <v>2308.4699999999998</v>
          </cell>
          <cell r="Z44">
            <v>33</v>
          </cell>
          <cell r="AD44">
            <v>2149.61</v>
          </cell>
          <cell r="AE44">
            <v>1977.15</v>
          </cell>
          <cell r="AF44">
            <v>2149.61</v>
          </cell>
          <cell r="AI44">
            <v>2308.4699999999998</v>
          </cell>
          <cell r="AJ44">
            <v>43</v>
          </cell>
          <cell r="AU44" t="str">
            <v>Limpeza</v>
          </cell>
        </row>
        <row r="45">
          <cell r="A45" t="str">
            <v>Limpador de caixas d’água</v>
          </cell>
          <cell r="B45">
            <v>972.83</v>
          </cell>
          <cell r="C45">
            <v>1011.25</v>
          </cell>
          <cell r="D45">
            <v>941.66</v>
          </cell>
          <cell r="E45">
            <v>972.83</v>
          </cell>
          <cell r="F45">
            <v>941.66</v>
          </cell>
          <cell r="G45">
            <v>1011.25</v>
          </cell>
          <cell r="H45">
            <v>1044.73</v>
          </cell>
          <cell r="I45">
            <v>972.83</v>
          </cell>
          <cell r="J45">
            <v>972.83</v>
          </cell>
          <cell r="K45">
            <v>972.83</v>
          </cell>
          <cell r="L45">
            <v>941.66</v>
          </cell>
          <cell r="M45">
            <v>972.83</v>
          </cell>
          <cell r="N45">
            <v>941.66</v>
          </cell>
          <cell r="O45">
            <v>1015.9</v>
          </cell>
          <cell r="P45">
            <v>941.66</v>
          </cell>
          <cell r="Q45">
            <v>972.83</v>
          </cell>
          <cell r="R45">
            <v>941.66</v>
          </cell>
          <cell r="S45">
            <v>941.66</v>
          </cell>
          <cell r="T45">
            <v>972.83</v>
          </cell>
          <cell r="U45">
            <v>941.66</v>
          </cell>
          <cell r="V45">
            <v>972.83</v>
          </cell>
          <cell r="W45">
            <v>972.83</v>
          </cell>
          <cell r="X45">
            <v>1044.73</v>
          </cell>
          <cell r="Z45">
            <v>6</v>
          </cell>
          <cell r="AD45">
            <v>972.83</v>
          </cell>
          <cell r="AE45">
            <v>941.66</v>
          </cell>
          <cell r="AF45">
            <v>972.83</v>
          </cell>
          <cell r="AI45">
            <v>1044.73</v>
          </cell>
          <cell r="AJ45">
            <v>44</v>
          </cell>
          <cell r="AU45" t="str">
            <v>Limpeza</v>
          </cell>
        </row>
        <row r="46">
          <cell r="A46" t="str">
            <v>Limpador de Vidros</v>
          </cell>
          <cell r="B46">
            <v>1065.3499999999999</v>
          </cell>
          <cell r="C46">
            <v>1052.3</v>
          </cell>
          <cell r="D46">
            <v>979.88</v>
          </cell>
          <cell r="E46">
            <v>1065.3499999999999</v>
          </cell>
          <cell r="F46">
            <v>979.88</v>
          </cell>
          <cell r="G46">
            <v>1052.3</v>
          </cell>
          <cell r="H46">
            <v>1144.08</v>
          </cell>
          <cell r="I46">
            <v>1065.3499999999999</v>
          </cell>
          <cell r="J46">
            <v>1065.3499999999999</v>
          </cell>
          <cell r="K46">
            <v>1065.3499999999999</v>
          </cell>
          <cell r="L46">
            <v>979.88</v>
          </cell>
          <cell r="M46">
            <v>1065.3499999999999</v>
          </cell>
          <cell r="N46">
            <v>979.88</v>
          </cell>
          <cell r="O46">
            <v>1112.42</v>
          </cell>
          <cell r="P46">
            <v>979.88</v>
          </cell>
          <cell r="Q46">
            <v>1065.3499999999999</v>
          </cell>
          <cell r="R46">
            <v>979.88</v>
          </cell>
          <cell r="S46">
            <v>979.88</v>
          </cell>
          <cell r="T46">
            <v>1065.3499999999999</v>
          </cell>
          <cell r="U46">
            <v>979.88</v>
          </cell>
          <cell r="V46">
            <v>1065.3499999999999</v>
          </cell>
          <cell r="W46">
            <v>1065.3499999999999</v>
          </cell>
          <cell r="X46">
            <v>1144.08</v>
          </cell>
          <cell r="Z46">
            <v>10</v>
          </cell>
          <cell r="AD46">
            <v>1065.3499999999999</v>
          </cell>
          <cell r="AE46">
            <v>979.88</v>
          </cell>
          <cell r="AF46">
            <v>1065.3499999999999</v>
          </cell>
          <cell r="AI46">
            <v>1144.08</v>
          </cell>
          <cell r="AJ46">
            <v>45</v>
          </cell>
          <cell r="AU46" t="str">
            <v>Limpeza</v>
          </cell>
        </row>
        <row r="47">
          <cell r="A47" t="str">
            <v>Manobrista</v>
          </cell>
          <cell r="B47">
            <v>1453.13</v>
          </cell>
          <cell r="C47">
            <v>1435.34</v>
          </cell>
          <cell r="D47">
            <v>1336.56</v>
          </cell>
          <cell r="E47">
            <v>1453.13</v>
          </cell>
          <cell r="F47">
            <v>1336.56</v>
          </cell>
          <cell r="G47">
            <v>1435.34</v>
          </cell>
          <cell r="H47">
            <v>1560.52</v>
          </cell>
          <cell r="I47">
            <v>1453.13</v>
          </cell>
          <cell r="J47">
            <v>1453.13</v>
          </cell>
          <cell r="K47">
            <v>1453.13</v>
          </cell>
          <cell r="L47">
            <v>1336.56</v>
          </cell>
          <cell r="M47">
            <v>1453.13</v>
          </cell>
          <cell r="N47">
            <v>1336.56</v>
          </cell>
          <cell r="O47">
            <v>1516.16</v>
          </cell>
          <cell r="P47">
            <v>1336.56</v>
          </cell>
          <cell r="Q47">
            <v>1453.13</v>
          </cell>
          <cell r="R47">
            <v>1336.56</v>
          </cell>
          <cell r="S47">
            <v>1336.56</v>
          </cell>
          <cell r="T47">
            <v>1453.13</v>
          </cell>
          <cell r="U47">
            <v>1336.56</v>
          </cell>
          <cell r="V47">
            <v>1453.13</v>
          </cell>
          <cell r="W47">
            <v>1453.13</v>
          </cell>
          <cell r="X47">
            <v>1560.52</v>
          </cell>
          <cell r="Z47">
            <v>29</v>
          </cell>
          <cell r="AD47">
            <v>1453.13</v>
          </cell>
          <cell r="AE47">
            <v>1336.56</v>
          </cell>
          <cell r="AF47">
            <v>1453.13</v>
          </cell>
          <cell r="AI47">
            <v>1560.52</v>
          </cell>
          <cell r="AJ47">
            <v>46</v>
          </cell>
          <cell r="AU47" t="str">
            <v>Serv. Apoio Adm</v>
          </cell>
        </row>
        <row r="48">
          <cell r="A48" t="str">
            <v>Monitor Externo</v>
          </cell>
          <cell r="B48">
            <v>1259.28</v>
          </cell>
          <cell r="C48">
            <v>1243.8399999999999</v>
          </cell>
          <cell r="D48">
            <v>1158.24</v>
          </cell>
          <cell r="E48">
            <v>1259.28</v>
          </cell>
          <cell r="F48">
            <v>1158.24</v>
          </cell>
          <cell r="G48">
            <v>1243.8399999999999</v>
          </cell>
          <cell r="H48">
            <v>1352.34</v>
          </cell>
          <cell r="I48">
            <v>1259.28</v>
          </cell>
          <cell r="J48">
            <v>1259.28</v>
          </cell>
          <cell r="K48">
            <v>1259.28</v>
          </cell>
          <cell r="L48">
            <v>1158.24</v>
          </cell>
          <cell r="M48">
            <v>1259.28</v>
          </cell>
          <cell r="N48">
            <v>1158.24</v>
          </cell>
          <cell r="P48">
            <v>1158.24</v>
          </cell>
          <cell r="Q48">
            <v>1259.28</v>
          </cell>
          <cell r="R48">
            <v>1158.24</v>
          </cell>
          <cell r="S48">
            <v>1158.24</v>
          </cell>
          <cell r="T48">
            <v>1259.28</v>
          </cell>
          <cell r="U48">
            <v>1158.24</v>
          </cell>
          <cell r="V48">
            <v>1259.28</v>
          </cell>
          <cell r="W48">
            <v>1259.28</v>
          </cell>
          <cell r="X48">
            <v>1352.34</v>
          </cell>
          <cell r="Z48">
            <v>16</v>
          </cell>
          <cell r="AD48">
            <v>1259.28</v>
          </cell>
          <cell r="AE48">
            <v>1158.24</v>
          </cell>
          <cell r="AF48">
            <v>1259.28</v>
          </cell>
          <cell r="AI48">
            <v>1352.34</v>
          </cell>
          <cell r="AJ48">
            <v>47</v>
          </cell>
          <cell r="AU48" t="str">
            <v>Serv. Apoio Adm</v>
          </cell>
        </row>
        <row r="49">
          <cell r="A49" t="str">
            <v>Operador de equipamento</v>
          </cell>
          <cell r="M49">
            <v>972.83</v>
          </cell>
          <cell r="Z49">
            <v>41</v>
          </cell>
          <cell r="AJ49">
            <v>48</v>
          </cell>
          <cell r="AU49" t="str">
            <v>Serv. Apoio Adm</v>
          </cell>
        </row>
        <row r="50">
          <cell r="A50" t="str">
            <v>Operador de Telemarketing</v>
          </cell>
          <cell r="Z50">
            <v>44</v>
          </cell>
          <cell r="AA50">
            <v>1544.96</v>
          </cell>
          <cell r="AJ50">
            <v>49</v>
          </cell>
          <cell r="AU50" t="str">
            <v>Serv. Apoio Adm</v>
          </cell>
        </row>
        <row r="51">
          <cell r="A51" t="str">
            <v>Operador de Varredeira Veicular Industrial</v>
          </cell>
          <cell r="C51">
            <v>1584.14</v>
          </cell>
          <cell r="D51">
            <v>1475.12</v>
          </cell>
          <cell r="F51">
            <v>1475.12</v>
          </cell>
          <cell r="G51">
            <v>1584.14</v>
          </cell>
          <cell r="L51">
            <v>1475.12</v>
          </cell>
          <cell r="N51">
            <v>1475.12</v>
          </cell>
          <cell r="P51">
            <v>1475.12</v>
          </cell>
          <cell r="R51">
            <v>1475.12</v>
          </cell>
          <cell r="S51">
            <v>1475.12</v>
          </cell>
          <cell r="U51">
            <v>1475.12</v>
          </cell>
          <cell r="Z51">
            <v>37</v>
          </cell>
          <cell r="AE51">
            <v>1475.12</v>
          </cell>
          <cell r="AJ51">
            <v>50</v>
          </cell>
          <cell r="AU51" t="str">
            <v>Serv. Apoio Adm</v>
          </cell>
        </row>
        <row r="52">
          <cell r="A52" t="str">
            <v>Pessoal da administração</v>
          </cell>
          <cell r="B52">
            <v>1374.37</v>
          </cell>
          <cell r="C52">
            <v>1413.83</v>
          </cell>
          <cell r="D52">
            <v>1316.53</v>
          </cell>
          <cell r="E52">
            <v>1374.37</v>
          </cell>
          <cell r="F52">
            <v>1316.53</v>
          </cell>
          <cell r="G52">
            <v>1413.83</v>
          </cell>
          <cell r="H52">
            <v>1537.27</v>
          </cell>
          <cell r="I52">
            <v>1374.37</v>
          </cell>
          <cell r="J52">
            <v>1374.37</v>
          </cell>
          <cell r="K52">
            <v>1374.37</v>
          </cell>
          <cell r="L52">
            <v>1316.53</v>
          </cell>
          <cell r="M52">
            <v>1374.37</v>
          </cell>
          <cell r="N52">
            <v>1316.53</v>
          </cell>
          <cell r="P52">
            <v>1316.53</v>
          </cell>
          <cell r="Q52">
            <v>1374.37</v>
          </cell>
          <cell r="R52">
            <v>1316.53</v>
          </cell>
          <cell r="S52">
            <v>1316.53</v>
          </cell>
          <cell r="T52">
            <v>1374.37</v>
          </cell>
          <cell r="U52">
            <v>1316.53</v>
          </cell>
          <cell r="V52">
            <v>1374.37</v>
          </cell>
          <cell r="W52">
            <v>1374.37</v>
          </cell>
          <cell r="X52">
            <v>1537.27</v>
          </cell>
          <cell r="Z52">
            <v>24</v>
          </cell>
          <cell r="AD52">
            <v>1374.37</v>
          </cell>
          <cell r="AE52">
            <v>1316.53</v>
          </cell>
          <cell r="AF52">
            <v>1374.37</v>
          </cell>
          <cell r="AI52">
            <v>1537.27</v>
          </cell>
          <cell r="AJ52">
            <v>51</v>
          </cell>
          <cell r="AU52" t="str">
            <v>Serv. Apoio Adm</v>
          </cell>
        </row>
        <row r="53">
          <cell r="A53" t="str">
            <v>Porteiro</v>
          </cell>
          <cell r="B53">
            <v>1259.28</v>
          </cell>
          <cell r="C53">
            <v>1243.8399999999999</v>
          </cell>
          <cell r="D53">
            <v>1158.24</v>
          </cell>
          <cell r="E53">
            <v>1259.28</v>
          </cell>
          <cell r="F53">
            <v>1158.24</v>
          </cell>
          <cell r="G53">
            <v>1243.8399999999999</v>
          </cell>
          <cell r="H53">
            <v>1352.34</v>
          </cell>
          <cell r="I53">
            <v>1259.28</v>
          </cell>
          <cell r="J53">
            <v>1259.28</v>
          </cell>
          <cell r="K53">
            <v>1259.28</v>
          </cell>
          <cell r="L53">
            <v>1158.24</v>
          </cell>
          <cell r="M53">
            <v>1259.28</v>
          </cell>
          <cell r="N53">
            <v>1158.24</v>
          </cell>
          <cell r="O53">
            <v>1315</v>
          </cell>
          <cell r="P53">
            <v>1158.24</v>
          </cell>
          <cell r="Q53">
            <v>1259.28</v>
          </cell>
          <cell r="R53">
            <v>1158.24</v>
          </cell>
          <cell r="S53">
            <v>1158.24</v>
          </cell>
          <cell r="T53">
            <v>1259.28</v>
          </cell>
          <cell r="U53">
            <v>1158.24</v>
          </cell>
          <cell r="V53">
            <v>1259.28</v>
          </cell>
          <cell r="W53">
            <v>1259.28</v>
          </cell>
          <cell r="X53">
            <v>1352.34</v>
          </cell>
          <cell r="Y53">
            <v>1055.04</v>
          </cell>
          <cell r="Z53">
            <v>15</v>
          </cell>
          <cell r="AD53">
            <v>1259.28</v>
          </cell>
          <cell r="AE53">
            <v>1158.24</v>
          </cell>
          <cell r="AF53">
            <v>1259.28</v>
          </cell>
          <cell r="AI53">
            <v>1352.34</v>
          </cell>
          <cell r="AJ53">
            <v>52</v>
          </cell>
          <cell r="AU53" t="str">
            <v>Serv. Apoio Adm</v>
          </cell>
        </row>
        <row r="54">
          <cell r="A54" t="str">
            <v>Recepcionista</v>
          </cell>
          <cell r="B54">
            <v>1670.04</v>
          </cell>
          <cell r="C54">
            <v>1649.65</v>
          </cell>
          <cell r="D54">
            <v>1536.13</v>
          </cell>
          <cell r="E54">
            <v>1670.04</v>
          </cell>
          <cell r="F54">
            <v>1536.13</v>
          </cell>
          <cell r="G54">
            <v>1649.65</v>
          </cell>
          <cell r="H54">
            <v>1793.46</v>
          </cell>
          <cell r="I54">
            <v>1670.04</v>
          </cell>
          <cell r="J54">
            <v>1670.04</v>
          </cell>
          <cell r="K54">
            <v>1670.04</v>
          </cell>
          <cell r="L54">
            <v>1536.13</v>
          </cell>
          <cell r="M54">
            <v>1670.04</v>
          </cell>
          <cell r="N54">
            <v>1536.13</v>
          </cell>
          <cell r="O54">
            <v>1743.95</v>
          </cell>
          <cell r="P54">
            <v>1536.13</v>
          </cell>
          <cell r="Q54">
            <v>1670.04</v>
          </cell>
          <cell r="R54">
            <v>1536.13</v>
          </cell>
          <cell r="S54">
            <v>1536.13</v>
          </cell>
          <cell r="T54">
            <v>1670.04</v>
          </cell>
          <cell r="U54">
            <v>1536.13</v>
          </cell>
          <cell r="V54">
            <v>1670.04</v>
          </cell>
          <cell r="W54">
            <v>1670.04</v>
          </cell>
          <cell r="X54">
            <v>1793.46</v>
          </cell>
          <cell r="Z54">
            <v>31</v>
          </cell>
          <cell r="AD54">
            <v>1670.04</v>
          </cell>
          <cell r="AE54">
            <v>1536.13</v>
          </cell>
          <cell r="AF54">
            <v>1670.04</v>
          </cell>
          <cell r="AI54">
            <v>1793.46</v>
          </cell>
          <cell r="AJ54">
            <v>53</v>
          </cell>
          <cell r="AU54" t="str">
            <v>Serv. Apoio Adm</v>
          </cell>
        </row>
        <row r="55">
          <cell r="A55" t="str">
            <v>Servente</v>
          </cell>
          <cell r="B55">
            <v>972.83</v>
          </cell>
          <cell r="C55">
            <v>1011.25</v>
          </cell>
          <cell r="D55">
            <v>941.66</v>
          </cell>
          <cell r="E55">
            <v>972.83</v>
          </cell>
          <cell r="F55">
            <v>941.66</v>
          </cell>
          <cell r="G55">
            <v>1011.25</v>
          </cell>
          <cell r="H55">
            <v>1044.73</v>
          </cell>
          <cell r="I55">
            <v>972.83</v>
          </cell>
          <cell r="J55">
            <v>972.83</v>
          </cell>
          <cell r="K55">
            <v>972.83</v>
          </cell>
          <cell r="L55">
            <v>941.66</v>
          </cell>
          <cell r="M55">
            <v>972.83</v>
          </cell>
          <cell r="N55">
            <v>941.66</v>
          </cell>
          <cell r="O55">
            <v>1015.9</v>
          </cell>
          <cell r="P55">
            <v>941.66</v>
          </cell>
          <cell r="Q55">
            <v>972.83</v>
          </cell>
          <cell r="R55">
            <v>941.66</v>
          </cell>
          <cell r="S55">
            <v>941.66</v>
          </cell>
          <cell r="T55">
            <v>972.83</v>
          </cell>
          <cell r="U55">
            <v>941.66</v>
          </cell>
          <cell r="V55">
            <v>972.83</v>
          </cell>
          <cell r="W55">
            <v>972.83</v>
          </cell>
          <cell r="X55">
            <v>1044.73</v>
          </cell>
          <cell r="Y55">
            <v>973.41</v>
          </cell>
          <cell r="Z55">
            <v>2</v>
          </cell>
          <cell r="AD55">
            <v>972.83</v>
          </cell>
          <cell r="AE55">
            <v>941.66</v>
          </cell>
          <cell r="AF55">
            <v>972.83</v>
          </cell>
          <cell r="AI55">
            <v>1044.73</v>
          </cell>
          <cell r="AJ55">
            <v>54</v>
          </cell>
          <cell r="AU55" t="str">
            <v>Limpeza</v>
          </cell>
        </row>
        <row r="56">
          <cell r="A56" t="str">
            <v>Supervisor</v>
          </cell>
          <cell r="B56">
            <v>1886.99</v>
          </cell>
          <cell r="C56">
            <v>1863.96</v>
          </cell>
          <cell r="D56">
            <v>1735.69</v>
          </cell>
          <cell r="E56">
            <v>1886.99</v>
          </cell>
          <cell r="F56">
            <v>1735.69</v>
          </cell>
          <cell r="G56">
            <v>1863.96</v>
          </cell>
          <cell r="H56">
            <v>2026.44</v>
          </cell>
          <cell r="I56">
            <v>1886.99</v>
          </cell>
          <cell r="J56">
            <v>1886.99</v>
          </cell>
          <cell r="K56">
            <v>1886.99</v>
          </cell>
          <cell r="L56">
            <v>1735.69</v>
          </cell>
          <cell r="M56">
            <v>1886.99</v>
          </cell>
          <cell r="N56">
            <v>1735.69</v>
          </cell>
          <cell r="O56">
            <v>1970.47</v>
          </cell>
          <cell r="P56">
            <v>1735.69</v>
          </cell>
          <cell r="Q56">
            <v>1886.99</v>
          </cell>
          <cell r="R56">
            <v>1735.69</v>
          </cell>
          <cell r="S56">
            <v>1735.69</v>
          </cell>
          <cell r="T56">
            <v>1886.99</v>
          </cell>
          <cell r="U56">
            <v>1735.69</v>
          </cell>
          <cell r="V56">
            <v>1886.99</v>
          </cell>
          <cell r="W56">
            <v>1886.99</v>
          </cell>
          <cell r="X56">
            <v>2026.44</v>
          </cell>
          <cell r="Z56">
            <v>32</v>
          </cell>
          <cell r="AD56">
            <v>1886.99</v>
          </cell>
          <cell r="AE56">
            <v>1735.69</v>
          </cell>
          <cell r="AF56">
            <v>1886.99</v>
          </cell>
          <cell r="AI56">
            <v>2026.44</v>
          </cell>
          <cell r="AJ56">
            <v>55</v>
          </cell>
          <cell r="AU56" t="str">
            <v>Serv. Apoio Adm</v>
          </cell>
        </row>
        <row r="57">
          <cell r="A57" t="str">
            <v>Técnico em Comunicações</v>
          </cell>
          <cell r="Z57">
            <v>46</v>
          </cell>
          <cell r="AA57">
            <v>3420.7</v>
          </cell>
          <cell r="AJ57">
            <v>56</v>
          </cell>
          <cell r="AU57" t="str">
            <v>Telefonia</v>
          </cell>
        </row>
        <row r="58">
          <cell r="A58" t="str">
            <v>Teledigifonista</v>
          </cell>
          <cell r="Z58">
            <v>45</v>
          </cell>
          <cell r="AA58">
            <v>1653.33</v>
          </cell>
          <cell r="AJ58">
            <v>57</v>
          </cell>
          <cell r="AU58" t="str">
            <v>Telefonia</v>
          </cell>
        </row>
        <row r="59">
          <cell r="A59" t="str">
            <v>Telefonista</v>
          </cell>
          <cell r="Z59">
            <v>38</v>
          </cell>
          <cell r="AA59">
            <v>1544.96</v>
          </cell>
          <cell r="AJ59">
            <v>58</v>
          </cell>
          <cell r="AU59" t="str">
            <v>Telefonia</v>
          </cell>
        </row>
        <row r="60">
          <cell r="A60" t="str">
            <v>Telemarketing</v>
          </cell>
          <cell r="Z60">
            <v>47</v>
          </cell>
          <cell r="AA60">
            <v>1967.7</v>
          </cell>
          <cell r="AJ60">
            <v>59</v>
          </cell>
          <cell r="AU60" t="str">
            <v>Telefonia</v>
          </cell>
        </row>
        <row r="61">
          <cell r="A61" t="str">
            <v>Trabalhador Braçal</v>
          </cell>
          <cell r="B61">
            <v>972.83</v>
          </cell>
          <cell r="C61">
            <v>1011.25</v>
          </cell>
          <cell r="D61">
            <v>941.66</v>
          </cell>
          <cell r="E61">
            <v>972.83</v>
          </cell>
          <cell r="F61">
            <v>941.66</v>
          </cell>
          <cell r="G61">
            <v>1011.25</v>
          </cell>
          <cell r="H61">
            <v>1044.73</v>
          </cell>
          <cell r="I61">
            <v>972.83</v>
          </cell>
          <cell r="J61">
            <v>972.83</v>
          </cell>
          <cell r="K61">
            <v>972.83</v>
          </cell>
          <cell r="L61">
            <v>941.66</v>
          </cell>
          <cell r="M61">
            <v>972.83</v>
          </cell>
          <cell r="N61">
            <v>941.66</v>
          </cell>
          <cell r="P61">
            <v>941.66</v>
          </cell>
          <cell r="Q61">
            <v>972.83</v>
          </cell>
          <cell r="R61">
            <v>941.66</v>
          </cell>
          <cell r="S61">
            <v>941.66</v>
          </cell>
          <cell r="T61">
            <v>972.83</v>
          </cell>
          <cell r="U61">
            <v>941.66</v>
          </cell>
          <cell r="V61">
            <v>972.83</v>
          </cell>
          <cell r="W61">
            <v>972.83</v>
          </cell>
          <cell r="X61">
            <v>1044.73</v>
          </cell>
          <cell r="Z61">
            <v>7</v>
          </cell>
          <cell r="AD61">
            <v>972.83</v>
          </cell>
          <cell r="AE61">
            <v>941.66</v>
          </cell>
          <cell r="AF61">
            <v>972.83</v>
          </cell>
          <cell r="AI61">
            <v>1044.73</v>
          </cell>
          <cell r="AJ61">
            <v>60</v>
          </cell>
          <cell r="AU61" t="str">
            <v>Serv. Apoio Adm</v>
          </cell>
        </row>
        <row r="62">
          <cell r="A62" t="str">
            <v>Trabalhador em Cemitério</v>
          </cell>
          <cell r="B62">
            <v>1022.12</v>
          </cell>
          <cell r="C62">
            <v>1061.81</v>
          </cell>
          <cell r="D62">
            <v>988.74</v>
          </cell>
          <cell r="E62">
            <v>1022.12</v>
          </cell>
          <cell r="F62">
            <v>988.74</v>
          </cell>
          <cell r="G62">
            <v>1061.81</v>
          </cell>
          <cell r="H62">
            <v>1097.6600000000001</v>
          </cell>
          <cell r="I62">
            <v>1022.12</v>
          </cell>
          <cell r="J62">
            <v>1022.12</v>
          </cell>
          <cell r="K62">
            <v>1022.12</v>
          </cell>
          <cell r="L62">
            <v>988.74</v>
          </cell>
          <cell r="M62">
            <v>1022.12</v>
          </cell>
          <cell r="N62">
            <v>988.74</v>
          </cell>
          <cell r="P62">
            <v>988.74</v>
          </cell>
          <cell r="Q62">
            <v>1022.12</v>
          </cell>
          <cell r="R62">
            <v>988.74</v>
          </cell>
          <cell r="S62">
            <v>988.74</v>
          </cell>
          <cell r="T62">
            <v>1022.12</v>
          </cell>
          <cell r="U62">
            <v>988.74</v>
          </cell>
          <cell r="V62">
            <v>1022.12</v>
          </cell>
          <cell r="W62">
            <v>1022.12</v>
          </cell>
          <cell r="X62">
            <v>1097.6600000000001</v>
          </cell>
          <cell r="Z62">
            <v>11</v>
          </cell>
          <cell r="AD62">
            <v>1022.12</v>
          </cell>
          <cell r="AE62">
            <v>988.74</v>
          </cell>
          <cell r="AF62">
            <v>1022.12</v>
          </cell>
          <cell r="AI62">
            <v>1097.6600000000001</v>
          </cell>
          <cell r="AJ62">
            <v>61</v>
          </cell>
          <cell r="AU62" t="str">
            <v>Serv. Apoio Adm</v>
          </cell>
        </row>
        <row r="63">
          <cell r="A63" t="str">
            <v>Trabalhador em Postos de Pedágio ou Similar</v>
          </cell>
          <cell r="B63">
            <v>1259.28</v>
          </cell>
          <cell r="C63">
            <v>12433.84</v>
          </cell>
          <cell r="D63">
            <v>1158.24</v>
          </cell>
          <cell r="E63">
            <v>1259.28</v>
          </cell>
          <cell r="F63">
            <v>1158.24</v>
          </cell>
          <cell r="G63">
            <v>1243.8399999999999</v>
          </cell>
          <cell r="H63">
            <v>1352.34</v>
          </cell>
          <cell r="I63">
            <v>1259.28</v>
          </cell>
          <cell r="J63">
            <v>1259.28</v>
          </cell>
          <cell r="K63">
            <v>1259.28</v>
          </cell>
          <cell r="L63">
            <v>1158.24</v>
          </cell>
          <cell r="M63">
            <v>1259.28</v>
          </cell>
          <cell r="N63">
            <v>1158.24</v>
          </cell>
          <cell r="P63">
            <v>1158.24</v>
          </cell>
          <cell r="Q63">
            <v>1259.28</v>
          </cell>
          <cell r="R63">
            <v>1158.24</v>
          </cell>
          <cell r="S63">
            <v>1158.24</v>
          </cell>
          <cell r="T63">
            <v>1259.28</v>
          </cell>
          <cell r="U63">
            <v>1158.24</v>
          </cell>
          <cell r="V63">
            <v>1259.28</v>
          </cell>
          <cell r="W63">
            <v>1259.28</v>
          </cell>
          <cell r="X63">
            <v>1352.34</v>
          </cell>
          <cell r="Z63">
            <v>19</v>
          </cell>
          <cell r="AD63">
            <v>1259.28</v>
          </cell>
          <cell r="AE63">
            <v>1158.24</v>
          </cell>
          <cell r="AF63">
            <v>1259.28</v>
          </cell>
          <cell r="AI63">
            <v>1352.34</v>
          </cell>
          <cell r="AJ63">
            <v>62</v>
          </cell>
          <cell r="AU63" t="str">
            <v>Serv. Apoio Adm</v>
          </cell>
        </row>
        <row r="64">
          <cell r="A64" t="str">
            <v>Vigia</v>
          </cell>
          <cell r="B64">
            <v>1259.28</v>
          </cell>
          <cell r="C64">
            <v>1243.8399999999999</v>
          </cell>
          <cell r="D64">
            <v>1158.24</v>
          </cell>
          <cell r="E64">
            <v>1259.28</v>
          </cell>
          <cell r="F64">
            <v>1158.24</v>
          </cell>
          <cell r="G64">
            <v>1243.8399999999999</v>
          </cell>
          <cell r="H64">
            <v>1352.34</v>
          </cell>
          <cell r="I64">
            <v>1259.28</v>
          </cell>
          <cell r="J64">
            <v>1259.28</v>
          </cell>
          <cell r="K64">
            <v>1259.28</v>
          </cell>
          <cell r="L64">
            <v>1158.24</v>
          </cell>
          <cell r="M64">
            <v>1259.28</v>
          </cell>
          <cell r="N64">
            <v>1158.24</v>
          </cell>
          <cell r="P64">
            <v>1158.24</v>
          </cell>
          <cell r="Q64">
            <v>1259.28</v>
          </cell>
          <cell r="R64">
            <v>1158.24</v>
          </cell>
          <cell r="S64">
            <v>1158.24</v>
          </cell>
          <cell r="T64">
            <v>1259.28</v>
          </cell>
          <cell r="U64">
            <v>1158.24</v>
          </cell>
          <cell r="V64">
            <v>1259.28</v>
          </cell>
          <cell r="W64">
            <v>1259.28</v>
          </cell>
          <cell r="X64">
            <v>1352.34</v>
          </cell>
          <cell r="Z64">
            <v>17</v>
          </cell>
          <cell r="AD64">
            <v>1259.28</v>
          </cell>
          <cell r="AE64">
            <v>1158.24</v>
          </cell>
          <cell r="AF64">
            <v>1259.28</v>
          </cell>
          <cell r="AI64">
            <v>1352.34</v>
          </cell>
          <cell r="AJ64">
            <v>63</v>
          </cell>
          <cell r="AU64" t="str">
            <v>Serv. Apoio Adm</v>
          </cell>
        </row>
        <row r="65">
          <cell r="A65" t="str">
            <v>Vigia Orgânico</v>
          </cell>
          <cell r="B65">
            <v>1238.5</v>
          </cell>
          <cell r="C65">
            <v>1475.94</v>
          </cell>
          <cell r="D65">
            <v>1374.37</v>
          </cell>
          <cell r="E65">
            <v>1238.5</v>
          </cell>
          <cell r="F65">
            <v>1374.37</v>
          </cell>
          <cell r="G65">
            <v>1475.94</v>
          </cell>
          <cell r="H65">
            <v>1475.94</v>
          </cell>
          <cell r="I65">
            <v>1238.5</v>
          </cell>
          <cell r="J65">
            <v>1238.5</v>
          </cell>
          <cell r="K65">
            <v>1238.5</v>
          </cell>
          <cell r="L65">
            <v>1374.37</v>
          </cell>
          <cell r="M65">
            <v>1238.5</v>
          </cell>
          <cell r="N65">
            <v>1374.37</v>
          </cell>
          <cell r="P65">
            <v>1374.37</v>
          </cell>
          <cell r="Q65">
            <v>1238.5</v>
          </cell>
          <cell r="R65">
            <v>1374.37</v>
          </cell>
          <cell r="S65">
            <v>1374.37</v>
          </cell>
          <cell r="T65">
            <v>1238.5</v>
          </cell>
          <cell r="U65">
            <v>1374.37</v>
          </cell>
          <cell r="V65">
            <v>1238.5</v>
          </cell>
          <cell r="W65">
            <v>1238.5</v>
          </cell>
          <cell r="X65">
            <v>1352.34</v>
          </cell>
          <cell r="Z65">
            <v>34</v>
          </cell>
          <cell r="AD65">
            <v>1238.5</v>
          </cell>
          <cell r="AE65">
            <v>1374.37</v>
          </cell>
          <cell r="AF65">
            <v>1238.5</v>
          </cell>
          <cell r="AI65">
            <v>1352.34</v>
          </cell>
          <cell r="AJ65">
            <v>64</v>
          </cell>
          <cell r="AU65" t="str">
            <v>Serv. Apoio Adm</v>
          </cell>
        </row>
        <row r="66">
          <cell r="A66" t="str">
            <v>Zelador</v>
          </cell>
          <cell r="B66">
            <v>1453.13</v>
          </cell>
          <cell r="C66">
            <v>1435.34</v>
          </cell>
          <cell r="D66">
            <v>1336.56</v>
          </cell>
          <cell r="E66">
            <v>1453.13</v>
          </cell>
          <cell r="F66">
            <v>1336.56</v>
          </cell>
          <cell r="G66">
            <v>1435.34</v>
          </cell>
          <cell r="H66">
            <v>1560.52</v>
          </cell>
          <cell r="I66">
            <v>1453.13</v>
          </cell>
          <cell r="J66">
            <v>1453.13</v>
          </cell>
          <cell r="K66">
            <v>1453.13</v>
          </cell>
          <cell r="L66">
            <v>1336.56</v>
          </cell>
          <cell r="M66">
            <v>1453.13</v>
          </cell>
          <cell r="N66">
            <v>1336.56</v>
          </cell>
          <cell r="O66">
            <v>1196.28</v>
          </cell>
          <cell r="P66">
            <v>1336.56</v>
          </cell>
          <cell r="Q66">
            <v>1453.13</v>
          </cell>
          <cell r="R66">
            <v>1336.56</v>
          </cell>
          <cell r="S66">
            <v>1336.56</v>
          </cell>
          <cell r="T66">
            <v>1453.13</v>
          </cell>
          <cell r="U66">
            <v>1336.56</v>
          </cell>
          <cell r="V66">
            <v>1453.13</v>
          </cell>
          <cell r="W66">
            <v>1453.13</v>
          </cell>
          <cell r="X66">
            <v>1560.52</v>
          </cell>
          <cell r="Z66">
            <v>28</v>
          </cell>
          <cell r="AD66">
            <v>1453.13</v>
          </cell>
          <cell r="AE66">
            <v>1336.56</v>
          </cell>
          <cell r="AF66">
            <v>1453.13</v>
          </cell>
          <cell r="AI66">
            <v>1560.52</v>
          </cell>
          <cell r="AJ66">
            <v>65</v>
          </cell>
          <cell r="AU66" t="str">
            <v>Serv. Apoio Adm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Comprovação RAT X FAP"/>
      <sheetName val="RESUMO"/>
      <sheetName val="Nível I"/>
      <sheetName val="Nível II"/>
      <sheetName val="base"/>
    </sheetNames>
    <sheetDataSet>
      <sheetData sheetId="0"/>
      <sheetData sheetId="1"/>
      <sheetData sheetId="2"/>
      <sheetData sheetId="3"/>
      <sheetData sheetId="4"/>
      <sheetData sheetId="5">
        <row r="4">
          <cell r="A4">
            <v>1</v>
          </cell>
          <cell r="B4" t="str">
            <v>Serv. de Suporte Operac. Espec - Nível I</v>
          </cell>
          <cell r="C4">
            <v>49</v>
          </cell>
          <cell r="D4">
            <v>3800</v>
          </cell>
          <cell r="E4" t="str">
            <v>1º de janeiro/11</v>
          </cell>
          <cell r="F4">
            <v>132</v>
          </cell>
          <cell r="G4">
            <v>352</v>
          </cell>
          <cell r="H4">
            <v>4</v>
          </cell>
          <cell r="I4">
            <v>0</v>
          </cell>
          <cell r="J4">
            <v>0.5</v>
          </cell>
          <cell r="K4">
            <v>27.92</v>
          </cell>
          <cell r="M4">
            <v>0.5</v>
          </cell>
          <cell r="N4" t="str">
            <v>Suporte Operacional</v>
          </cell>
        </row>
        <row r="5">
          <cell r="A5">
            <v>2</v>
          </cell>
          <cell r="B5" t="str">
            <v>Serv. de Suporte Operac. Espec - Nível II</v>
          </cell>
          <cell r="C5">
            <v>67</v>
          </cell>
          <cell r="D5">
            <v>4900</v>
          </cell>
          <cell r="E5" t="str">
            <v>1º de janeiro/11</v>
          </cell>
          <cell r="F5">
            <v>132</v>
          </cell>
          <cell r="G5">
            <v>352</v>
          </cell>
          <cell r="H5">
            <v>4</v>
          </cell>
          <cell r="I5">
            <v>0</v>
          </cell>
          <cell r="J5">
            <v>0.5</v>
          </cell>
          <cell r="K5">
            <v>27.92</v>
          </cell>
          <cell r="M5">
            <v>0.5</v>
          </cell>
          <cell r="N5" t="str">
            <v>Suporte Operacional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da Licitação"/>
      <sheetName val="Global"/>
      <sheetName val="Dados"/>
      <sheetName val="Estudo Liquido"/>
      <sheetName val="base"/>
      <sheetName val="Base CCT-2016-2017"/>
      <sheetName val="Cidades VT PAF ISS"/>
      <sheetName val="Estudo Liquido - realxpresumido"/>
      <sheetName val="Proposta TEXTO"/>
      <sheetName val="Anexo III (1)"/>
      <sheetName val="adeq"/>
      <sheetName val="Anexo III - C e D"/>
      <sheetName val="Compl. limpeza"/>
      <sheetName val="Memória Encargos Sociais"/>
      <sheetName val="Uniforme"/>
      <sheetName val="Materiais"/>
      <sheetName val="Equipamentos"/>
      <sheetName val="TX.ADM E Tributos"/>
      <sheetName val="Memória de cálculo-grupo 1"/>
      <sheetName val="Apuração de Pis e Cofins"/>
      <sheetName val="Exequibilidade"/>
      <sheetName val="Plan1"/>
    </sheetNames>
    <sheetDataSet>
      <sheetData sheetId="0"/>
      <sheetData sheetId="1"/>
      <sheetData sheetId="2"/>
      <sheetData sheetId="3">
        <row r="32">
          <cell r="Q32" t="str">
            <v>FEDERAL M.O</v>
          </cell>
        </row>
      </sheetData>
      <sheetData sheetId="4">
        <row r="5">
          <cell r="A5">
            <v>1</v>
          </cell>
        </row>
      </sheetData>
      <sheetData sheetId="5">
        <row r="2">
          <cell r="A2" t="str">
            <v>CCT</v>
          </cell>
          <cell r="B2" t="str">
            <v>ARAXÁ</v>
          </cell>
          <cell r="C2" t="str">
            <v>CATAGUASES</v>
          </cell>
          <cell r="D2" t="str">
            <v>CURVELO</v>
          </cell>
          <cell r="E2" t="str">
            <v>DIVINÓPOLIS</v>
          </cell>
          <cell r="F2" t="str">
            <v>DIVINÓPOLIS RG</v>
          </cell>
          <cell r="G2" t="str">
            <v>FETHEMG</v>
          </cell>
          <cell r="H2" t="str">
            <v>FETHEMG RM</v>
          </cell>
          <cell r="I2" t="str">
            <v>GOVERNADOR VALADARES</v>
          </cell>
          <cell r="J2" t="str">
            <v>IPATINGA</v>
          </cell>
          <cell r="K2" t="str">
            <v>ITABIRA</v>
          </cell>
          <cell r="L2" t="str">
            <v>ITABIRA RG</v>
          </cell>
          <cell r="M2" t="str">
            <v>JOÃO MONLEVADE</v>
          </cell>
          <cell r="N2" t="str">
            <v>JOÃO MONLEVADE RG</v>
          </cell>
          <cell r="O2" t="str">
            <v>JUIZ DE FORA</v>
          </cell>
          <cell r="P2" t="str">
            <v>JUIZ DE FORA RG</v>
          </cell>
          <cell r="Q2" t="str">
            <v>MONTES CLAROS</v>
          </cell>
          <cell r="R2" t="str">
            <v>MONTES CLAROS RG</v>
          </cell>
          <cell r="S2" t="str">
            <v>OURO PRETO</v>
          </cell>
          <cell r="T2" t="str">
            <v>SÃO LOURENÇO</v>
          </cell>
          <cell r="U2" t="str">
            <v>SÃO LOURENÇO RG</v>
          </cell>
          <cell r="V2" t="str">
            <v>SETE LAGOAS</v>
          </cell>
          <cell r="W2" t="str">
            <v>SIND- ASSEIO</v>
          </cell>
          <cell r="X2" t="str">
            <v>SINDEAC</v>
          </cell>
          <cell r="Y2" t="str">
            <v>SINDILIMPE-ES</v>
          </cell>
          <cell r="Z2" t="str">
            <v>SEAC-MT</v>
          </cell>
          <cell r="AA2" t="str">
            <v>SINTTEL-MG</v>
          </cell>
          <cell r="AB2" t="str">
            <v>TEÓFILO OTONI RG</v>
          </cell>
          <cell r="AC2" t="str">
            <v>TEÓFILO OTONI</v>
          </cell>
          <cell r="AD2" t="str">
            <v>UBERABA</v>
          </cell>
          <cell r="AE2" t="str">
            <v>UBERABA RG</v>
          </cell>
          <cell r="AF2" t="str">
            <v>UBERLÂNDIA</v>
          </cell>
          <cell r="AG2" t="str">
            <v>UBERLÂNDIA RG</v>
          </cell>
          <cell r="AH2" t="str">
            <v>VALE DO AÇO</v>
          </cell>
          <cell r="AI2" t="str">
            <v>VESPASIANO</v>
          </cell>
          <cell r="AJ2">
            <v>1</v>
          </cell>
        </row>
        <row r="3">
          <cell r="A3" t="str">
            <v>Convenção Coletiva/ANO</v>
          </cell>
          <cell r="B3" t="str">
            <v>MG000561/2016</v>
          </cell>
          <cell r="C3" t="str">
            <v>MG000168/2017</v>
          </cell>
          <cell r="D3" t="str">
            <v>MG001333/2016</v>
          </cell>
          <cell r="E3" t="str">
            <v>MG000439/2016</v>
          </cell>
          <cell r="F3" t="str">
            <v>MG000599/2016</v>
          </cell>
          <cell r="G3" t="str">
            <v>MG005290/2016</v>
          </cell>
          <cell r="H3" t="str">
            <v xml:space="preserve">MG005291/2016 </v>
          </cell>
          <cell r="I3" t="str">
            <v>MG001861/2016</v>
          </cell>
          <cell r="J3" t="str">
            <v>MG000481/2016</v>
          </cell>
          <cell r="K3" t="str">
            <v xml:space="preserve">MG002543/2016 </v>
          </cell>
          <cell r="L3" t="str">
            <v>MG002616/2016</v>
          </cell>
          <cell r="M3" t="str">
            <v xml:space="preserve">MG001261/2016 </v>
          </cell>
          <cell r="N3" t="str">
            <v>MG001583/2016</v>
          </cell>
          <cell r="O3" t="str">
            <v>MG005219/2016</v>
          </cell>
          <cell r="P3" t="str">
            <v>MG000838/2016</v>
          </cell>
          <cell r="Q3" t="str">
            <v>MG001176/2016</v>
          </cell>
          <cell r="R3" t="str">
            <v>MG001160/2016</v>
          </cell>
          <cell r="S3" t="str">
            <v>MG000812/2016</v>
          </cell>
          <cell r="T3" t="str">
            <v>MG002090/2016</v>
          </cell>
          <cell r="U3" t="str">
            <v>MG002091/2016</v>
          </cell>
          <cell r="V3" t="str">
            <v>MG000742/2016</v>
          </cell>
          <cell r="W3" t="str">
            <v>MG000941/2016</v>
          </cell>
          <cell r="X3" t="str">
            <v>MG 005280/2016</v>
          </cell>
          <cell r="Y3" t="str">
            <v>ES000097/2016</v>
          </cell>
          <cell r="Z3" t="str">
            <v>MT000020/2016</v>
          </cell>
          <cell r="AA3" t="str">
            <v>MG002187/2016</v>
          </cell>
          <cell r="AD3" t="str">
            <v>MG001032/2016</v>
          </cell>
          <cell r="AE3" t="str">
            <v>MG000909/2016</v>
          </cell>
          <cell r="AF3" t="str">
            <v>MG000022/2017</v>
          </cell>
          <cell r="AG3" t="str">
            <v>MG001033/2016</v>
          </cell>
          <cell r="AI3" t="str">
            <v>MG000316/2017</v>
          </cell>
          <cell r="AJ3">
            <v>2</v>
          </cell>
        </row>
        <row r="4">
          <cell r="A4" t="str">
            <v>Data base</v>
          </cell>
          <cell r="B4">
            <v>42370</v>
          </cell>
          <cell r="C4">
            <v>42736</v>
          </cell>
          <cell r="D4">
            <v>42370</v>
          </cell>
          <cell r="E4">
            <v>42370</v>
          </cell>
          <cell r="F4">
            <v>42370</v>
          </cell>
          <cell r="G4">
            <v>42736</v>
          </cell>
          <cell r="H4">
            <v>42736</v>
          </cell>
          <cell r="I4">
            <v>42370</v>
          </cell>
          <cell r="J4">
            <v>42370</v>
          </cell>
          <cell r="K4">
            <v>42370</v>
          </cell>
          <cell r="L4">
            <v>42370</v>
          </cell>
          <cell r="M4">
            <v>42370</v>
          </cell>
          <cell r="N4">
            <v>42370</v>
          </cell>
          <cell r="O4">
            <v>42736</v>
          </cell>
          <cell r="P4">
            <v>42370</v>
          </cell>
          <cell r="Q4">
            <v>42370</v>
          </cell>
          <cell r="R4">
            <v>42370</v>
          </cell>
          <cell r="S4">
            <v>42370</v>
          </cell>
          <cell r="T4">
            <v>42370</v>
          </cell>
          <cell r="U4">
            <v>42370</v>
          </cell>
          <cell r="V4">
            <v>42370</v>
          </cell>
          <cell r="W4">
            <v>42370</v>
          </cell>
          <cell r="X4">
            <v>42736</v>
          </cell>
          <cell r="Y4">
            <v>42370</v>
          </cell>
          <cell r="Z4">
            <v>42370</v>
          </cell>
          <cell r="AA4">
            <v>42736</v>
          </cell>
          <cell r="AB4">
            <v>42005</v>
          </cell>
          <cell r="AC4">
            <v>42005</v>
          </cell>
          <cell r="AD4">
            <v>42370</v>
          </cell>
          <cell r="AE4">
            <v>42370</v>
          </cell>
          <cell r="AF4">
            <v>42736</v>
          </cell>
          <cell r="AG4">
            <v>42370</v>
          </cell>
          <cell r="AI4">
            <v>42736</v>
          </cell>
          <cell r="AJ4">
            <v>3</v>
          </cell>
        </row>
        <row r="5">
          <cell r="A5" t="str">
            <v>Vale Alimentação</v>
          </cell>
          <cell r="B5">
            <v>15.26</v>
          </cell>
          <cell r="C5">
            <v>16.440000000000001</v>
          </cell>
          <cell r="D5">
            <v>15.26</v>
          </cell>
          <cell r="E5">
            <v>15.26</v>
          </cell>
          <cell r="F5">
            <v>15.26</v>
          </cell>
          <cell r="G5">
            <v>16.440000000000001</v>
          </cell>
          <cell r="H5">
            <v>16.440000000000001</v>
          </cell>
          <cell r="I5">
            <v>15.26</v>
          </cell>
          <cell r="J5">
            <v>15.26</v>
          </cell>
          <cell r="K5">
            <v>15.26</v>
          </cell>
          <cell r="L5">
            <v>15.26</v>
          </cell>
          <cell r="M5">
            <v>15.26</v>
          </cell>
          <cell r="N5">
            <v>15.26</v>
          </cell>
          <cell r="O5">
            <v>13.65</v>
          </cell>
          <cell r="P5">
            <v>15.26</v>
          </cell>
          <cell r="Q5">
            <v>15.26</v>
          </cell>
          <cell r="R5">
            <v>15.26</v>
          </cell>
          <cell r="S5">
            <v>15.26</v>
          </cell>
          <cell r="T5">
            <v>15.26</v>
          </cell>
          <cell r="U5">
            <v>15.26</v>
          </cell>
          <cell r="V5">
            <v>15.26</v>
          </cell>
          <cell r="W5">
            <v>15.26</v>
          </cell>
          <cell r="X5">
            <v>16.440000000000001</v>
          </cell>
          <cell r="Y5">
            <v>265</v>
          </cell>
          <cell r="Z5">
            <v>12</v>
          </cell>
          <cell r="AA5">
            <v>14.31</v>
          </cell>
          <cell r="AD5">
            <v>15.26</v>
          </cell>
          <cell r="AE5">
            <v>15.26</v>
          </cell>
          <cell r="AI5">
            <v>16.440000000000001</v>
          </cell>
          <cell r="AJ5">
            <v>4</v>
          </cell>
        </row>
        <row r="6">
          <cell r="A6" t="str">
            <v>Vale Alimentação 12x36</v>
          </cell>
          <cell r="B6">
            <v>15.26</v>
          </cell>
          <cell r="D6">
            <v>15.26</v>
          </cell>
          <cell r="E6">
            <v>15.26</v>
          </cell>
          <cell r="F6">
            <v>15.26</v>
          </cell>
          <cell r="G6">
            <v>16.440000000000001</v>
          </cell>
          <cell r="H6">
            <v>16.440000000000001</v>
          </cell>
          <cell r="I6">
            <v>15.26</v>
          </cell>
          <cell r="J6">
            <v>15.26</v>
          </cell>
          <cell r="K6">
            <v>15.26</v>
          </cell>
          <cell r="L6">
            <v>15.26</v>
          </cell>
          <cell r="M6">
            <v>15.26</v>
          </cell>
          <cell r="N6">
            <v>15.26</v>
          </cell>
          <cell r="O6">
            <v>13.65</v>
          </cell>
          <cell r="P6">
            <v>15.26</v>
          </cell>
          <cell r="Q6">
            <v>15.26</v>
          </cell>
          <cell r="R6">
            <v>15.26</v>
          </cell>
          <cell r="S6">
            <v>15.26</v>
          </cell>
          <cell r="T6">
            <v>15.26</v>
          </cell>
          <cell r="U6">
            <v>15.26</v>
          </cell>
          <cell r="V6">
            <v>15.26</v>
          </cell>
          <cell r="W6">
            <v>15.26</v>
          </cell>
          <cell r="X6">
            <v>16.440000000000001</v>
          </cell>
          <cell r="Y6">
            <v>220.6</v>
          </cell>
          <cell r="AJ6">
            <v>5</v>
          </cell>
        </row>
        <row r="7">
          <cell r="A7" t="str">
            <v>Vale Alimentação Noturno</v>
          </cell>
          <cell r="Z7">
            <v>8</v>
          </cell>
          <cell r="AJ7">
            <v>6</v>
          </cell>
        </row>
        <row r="8">
          <cell r="A8" t="str">
            <v>Desc. Vale A.</v>
          </cell>
          <cell r="B8">
            <v>0.2</v>
          </cell>
          <cell r="C8">
            <v>0.2</v>
          </cell>
          <cell r="D8">
            <v>0.2</v>
          </cell>
          <cell r="E8">
            <v>0.2</v>
          </cell>
          <cell r="F8">
            <v>0.2</v>
          </cell>
          <cell r="G8">
            <v>0.2</v>
          </cell>
          <cell r="H8">
            <v>0.2</v>
          </cell>
          <cell r="I8">
            <v>0.2</v>
          </cell>
          <cell r="J8">
            <v>0.2</v>
          </cell>
          <cell r="K8">
            <v>0.2</v>
          </cell>
          <cell r="L8">
            <v>0.2</v>
          </cell>
          <cell r="M8">
            <v>0.2</v>
          </cell>
          <cell r="N8">
            <v>0.2</v>
          </cell>
          <cell r="O8">
            <v>0.2</v>
          </cell>
          <cell r="P8">
            <v>0.2</v>
          </cell>
          <cell r="Q8">
            <v>0.2</v>
          </cell>
          <cell r="R8">
            <v>0.2</v>
          </cell>
          <cell r="S8">
            <v>0.2</v>
          </cell>
          <cell r="T8">
            <v>0.2</v>
          </cell>
          <cell r="U8">
            <v>0.2</v>
          </cell>
          <cell r="V8">
            <v>0.2</v>
          </cell>
          <cell r="W8">
            <v>0.2</v>
          </cell>
          <cell r="X8">
            <v>0.2</v>
          </cell>
          <cell r="Y8">
            <v>3.5000000000000003E-2</v>
          </cell>
          <cell r="Z8">
            <v>0.2</v>
          </cell>
          <cell r="AA8">
            <v>0</v>
          </cell>
          <cell r="AD8">
            <v>0.2</v>
          </cell>
          <cell r="AE8">
            <v>0.2</v>
          </cell>
          <cell r="AF8">
            <v>0</v>
          </cell>
          <cell r="AG8">
            <v>0</v>
          </cell>
          <cell r="AI8">
            <v>0.2</v>
          </cell>
          <cell r="AJ8">
            <v>7</v>
          </cell>
        </row>
        <row r="9">
          <cell r="A9" t="str">
            <v>SVG-Seguro de Vida</v>
          </cell>
          <cell r="B9">
            <v>1.23</v>
          </cell>
          <cell r="C9">
            <v>1.23</v>
          </cell>
          <cell r="D9">
            <v>1.23</v>
          </cell>
          <cell r="E9">
            <v>1.23</v>
          </cell>
          <cell r="F9">
            <v>1.23</v>
          </cell>
          <cell r="G9">
            <v>1.23</v>
          </cell>
          <cell r="H9">
            <v>1.23</v>
          </cell>
          <cell r="I9">
            <v>1.23</v>
          </cell>
          <cell r="J9">
            <v>1.23</v>
          </cell>
          <cell r="K9">
            <v>1.23</v>
          </cell>
          <cell r="L9">
            <v>1.23</v>
          </cell>
          <cell r="M9">
            <v>1.23</v>
          </cell>
          <cell r="N9">
            <v>1.23</v>
          </cell>
          <cell r="O9">
            <v>1.23</v>
          </cell>
          <cell r="P9">
            <v>1.23</v>
          </cell>
          <cell r="Q9">
            <v>1.23</v>
          </cell>
          <cell r="R9">
            <v>1.23</v>
          </cell>
          <cell r="S9">
            <v>1.23</v>
          </cell>
          <cell r="T9">
            <v>1.23</v>
          </cell>
          <cell r="U9">
            <v>1.23</v>
          </cell>
          <cell r="V9">
            <v>1.23</v>
          </cell>
          <cell r="W9">
            <v>1.23</v>
          </cell>
          <cell r="X9">
            <v>1.23</v>
          </cell>
          <cell r="Y9">
            <v>4</v>
          </cell>
          <cell r="Z9">
            <v>1.23</v>
          </cell>
          <cell r="AA9">
            <v>1.23</v>
          </cell>
          <cell r="AD9">
            <v>1.23</v>
          </cell>
          <cell r="AE9">
            <v>1.23</v>
          </cell>
          <cell r="AF9">
            <v>1.23</v>
          </cell>
          <cell r="AG9">
            <v>1.23</v>
          </cell>
          <cell r="AI9">
            <v>1.23</v>
          </cell>
          <cell r="AJ9">
            <v>8</v>
          </cell>
        </row>
        <row r="10">
          <cell r="A10" t="str">
            <v>PQM</v>
          </cell>
          <cell r="G10">
            <v>9.5500000000000007</v>
          </cell>
          <cell r="H10">
            <v>9.5500000000000007</v>
          </cell>
          <cell r="O10">
            <v>10.35</v>
          </cell>
          <cell r="W10">
            <v>8.86</v>
          </cell>
          <cell r="X10">
            <v>9.5500000000000007</v>
          </cell>
          <cell r="Z10">
            <v>89.496399999999994</v>
          </cell>
          <cell r="AJ10">
            <v>9</v>
          </cell>
        </row>
        <row r="11">
          <cell r="A11" t="str">
            <v>Patronal</v>
          </cell>
          <cell r="B11">
            <v>8.86</v>
          </cell>
          <cell r="C11">
            <v>9.52</v>
          </cell>
          <cell r="D11">
            <v>8.86</v>
          </cell>
          <cell r="E11">
            <v>8.86</v>
          </cell>
          <cell r="F11">
            <v>8.86</v>
          </cell>
          <cell r="G11">
            <v>9.52</v>
          </cell>
          <cell r="H11">
            <v>9.52</v>
          </cell>
          <cell r="I11">
            <v>8.86</v>
          </cell>
          <cell r="J11">
            <v>8.86</v>
          </cell>
          <cell r="K11">
            <v>8.86</v>
          </cell>
          <cell r="M11">
            <v>8.86</v>
          </cell>
          <cell r="N11">
            <v>8.86</v>
          </cell>
          <cell r="O11">
            <v>70</v>
          </cell>
          <cell r="P11">
            <v>8.86</v>
          </cell>
          <cell r="Q11">
            <v>8.86</v>
          </cell>
          <cell r="R11">
            <v>8.86</v>
          </cell>
          <cell r="S11">
            <v>8.86</v>
          </cell>
          <cell r="T11">
            <v>8.86</v>
          </cell>
          <cell r="U11">
            <v>8.86</v>
          </cell>
          <cell r="V11">
            <v>8.86</v>
          </cell>
          <cell r="W11">
            <v>8.86</v>
          </cell>
          <cell r="X11">
            <v>9.52</v>
          </cell>
          <cell r="Y11">
            <v>2.4</v>
          </cell>
          <cell r="AA11">
            <v>8.86</v>
          </cell>
          <cell r="AD11">
            <v>8.86</v>
          </cell>
          <cell r="AE11">
            <v>8.86</v>
          </cell>
          <cell r="AF11">
            <v>8.86</v>
          </cell>
          <cell r="AG11">
            <v>8.86</v>
          </cell>
          <cell r="AI11">
            <v>9.52</v>
          </cell>
          <cell r="AJ11">
            <v>10</v>
          </cell>
        </row>
        <row r="12">
          <cell r="A12" t="str">
            <v>Aux. Creche</v>
          </cell>
          <cell r="AJ12">
            <v>11</v>
          </cell>
        </row>
        <row r="13">
          <cell r="A13" t="str">
            <v>Cesta Alimentação</v>
          </cell>
          <cell r="Z13">
            <v>100</v>
          </cell>
          <cell r="AF13">
            <v>257.12</v>
          </cell>
          <cell r="AG13">
            <v>238.73</v>
          </cell>
          <cell r="AJ13">
            <v>12</v>
          </cell>
        </row>
        <row r="14">
          <cell r="A14" t="str">
            <v>Benef. Social</v>
          </cell>
          <cell r="Y14">
            <v>6</v>
          </cell>
          <cell r="AJ14">
            <v>13</v>
          </cell>
        </row>
        <row r="15">
          <cell r="A15" t="str">
            <v>PROGRAMA DE CONTROLE MÉDICO DE SAÚDE OCUPACIONAL - PCMSO</v>
          </cell>
          <cell r="Z15">
            <v>16</v>
          </cell>
          <cell r="AJ15">
            <v>14</v>
          </cell>
        </row>
        <row r="16">
          <cell r="A16" t="str">
            <v>PAF</v>
          </cell>
          <cell r="T16">
            <v>10</v>
          </cell>
          <cell r="U16">
            <v>25</v>
          </cell>
          <cell r="X16">
            <v>48.58</v>
          </cell>
          <cell r="AA16">
            <v>20</v>
          </cell>
          <cell r="AF16">
            <v>10</v>
          </cell>
          <cell r="AJ16">
            <v>15</v>
          </cell>
        </row>
        <row r="17">
          <cell r="A17" t="str">
            <v>PAF - TOTALMENTE</v>
          </cell>
          <cell r="T17" t="str">
            <v>S</v>
          </cell>
          <cell r="U17" t="str">
            <v>N</v>
          </cell>
          <cell r="X17" t="str">
            <v>S</v>
          </cell>
          <cell r="AA17" t="str">
            <v>N</v>
          </cell>
          <cell r="AF17" t="str">
            <v>N</v>
          </cell>
          <cell r="AJ17">
            <v>16</v>
          </cell>
        </row>
        <row r="18">
          <cell r="AJ18">
            <v>17</v>
          </cell>
        </row>
        <row r="19">
          <cell r="AJ19">
            <v>18</v>
          </cell>
        </row>
        <row r="20">
          <cell r="A20" t="str">
            <v>Agente de Campo</v>
          </cell>
          <cell r="B20">
            <v>1259.28</v>
          </cell>
          <cell r="C20">
            <v>1011.25</v>
          </cell>
          <cell r="D20">
            <v>941.66</v>
          </cell>
          <cell r="E20">
            <v>1259.28</v>
          </cell>
          <cell r="F20">
            <v>941.66</v>
          </cell>
          <cell r="G20">
            <v>1011.25</v>
          </cell>
          <cell r="H20">
            <v>1044.73</v>
          </cell>
          <cell r="I20">
            <v>1259.28</v>
          </cell>
          <cell r="J20">
            <v>1259.28</v>
          </cell>
          <cell r="K20">
            <v>1259.28</v>
          </cell>
          <cell r="L20">
            <v>941.66</v>
          </cell>
          <cell r="M20">
            <v>1259.28</v>
          </cell>
          <cell r="N20">
            <v>941.66</v>
          </cell>
          <cell r="P20">
            <v>941.66</v>
          </cell>
          <cell r="Q20">
            <v>1259.28</v>
          </cell>
          <cell r="R20">
            <v>941.66</v>
          </cell>
          <cell r="S20">
            <v>941.66</v>
          </cell>
          <cell r="T20">
            <v>1259.28</v>
          </cell>
          <cell r="U20">
            <v>941.66</v>
          </cell>
          <cell r="V20">
            <v>1259.28</v>
          </cell>
          <cell r="W20">
            <v>1259.28</v>
          </cell>
          <cell r="X20">
            <v>1352.34</v>
          </cell>
          <cell r="Z20">
            <v>8</v>
          </cell>
          <cell r="AD20">
            <v>1259.28</v>
          </cell>
          <cell r="AE20">
            <v>941.66</v>
          </cell>
          <cell r="AF20">
            <v>1259.28</v>
          </cell>
          <cell r="AI20">
            <v>1352.34</v>
          </cell>
          <cell r="AJ20">
            <v>19</v>
          </cell>
        </row>
        <row r="21">
          <cell r="A21" t="str">
            <v>Agente de Campo para combate à Dengue e Leishmaniose</v>
          </cell>
          <cell r="B21">
            <v>1453.13</v>
          </cell>
          <cell r="C21">
            <v>1435.34</v>
          </cell>
          <cell r="D21">
            <v>1336.56</v>
          </cell>
          <cell r="E21">
            <v>1453.13</v>
          </cell>
          <cell r="F21">
            <v>1336.56</v>
          </cell>
          <cell r="G21">
            <v>1435.34</v>
          </cell>
          <cell r="H21">
            <v>1560.52</v>
          </cell>
          <cell r="I21">
            <v>1453.13</v>
          </cell>
          <cell r="J21">
            <v>1453.13</v>
          </cell>
          <cell r="K21">
            <v>1453.13</v>
          </cell>
          <cell r="L21">
            <v>1336.56</v>
          </cell>
          <cell r="M21">
            <v>1453.13</v>
          </cell>
          <cell r="N21">
            <v>1336.56</v>
          </cell>
          <cell r="P21">
            <v>1336.56</v>
          </cell>
          <cell r="Q21">
            <v>1453.13</v>
          </cell>
          <cell r="R21">
            <v>1336.56</v>
          </cell>
          <cell r="S21">
            <v>1336.56</v>
          </cell>
          <cell r="T21">
            <v>1453.13</v>
          </cell>
          <cell r="U21">
            <v>1336.56</v>
          </cell>
          <cell r="V21">
            <v>1453.13</v>
          </cell>
          <cell r="W21">
            <v>1453.13</v>
          </cell>
          <cell r="X21">
            <v>1560.52</v>
          </cell>
          <cell r="Z21">
            <v>26</v>
          </cell>
          <cell r="AD21">
            <v>1453.13</v>
          </cell>
          <cell r="AE21">
            <v>1336.56</v>
          </cell>
          <cell r="AF21">
            <v>1453.13</v>
          </cell>
          <cell r="AI21">
            <v>1560.52</v>
          </cell>
          <cell r="AJ21">
            <v>20</v>
          </cell>
        </row>
        <row r="22">
          <cell r="A22" t="str">
            <v>Almoxarife</v>
          </cell>
          <cell r="B22">
            <v>1354.53</v>
          </cell>
          <cell r="C22">
            <v>1337.9</v>
          </cell>
          <cell r="D22">
            <v>1245.83</v>
          </cell>
          <cell r="E22">
            <v>1354.53</v>
          </cell>
          <cell r="F22">
            <v>1245.83</v>
          </cell>
          <cell r="G22">
            <v>1337.9</v>
          </cell>
          <cell r="H22">
            <v>1454.63</v>
          </cell>
          <cell r="I22">
            <v>1354.53</v>
          </cell>
          <cell r="J22">
            <v>1354.53</v>
          </cell>
          <cell r="K22">
            <v>1354.53</v>
          </cell>
          <cell r="L22">
            <v>1245.83</v>
          </cell>
          <cell r="M22">
            <v>1354.53</v>
          </cell>
          <cell r="N22">
            <v>1245.83</v>
          </cell>
          <cell r="O22">
            <v>1454.68</v>
          </cell>
          <cell r="P22">
            <v>1245.83</v>
          </cell>
          <cell r="Q22">
            <v>1354.53</v>
          </cell>
          <cell r="R22">
            <v>1245.83</v>
          </cell>
          <cell r="S22">
            <v>1245.83</v>
          </cell>
          <cell r="T22">
            <v>1354.53</v>
          </cell>
          <cell r="U22">
            <v>1245.83</v>
          </cell>
          <cell r="V22">
            <v>1354.53</v>
          </cell>
          <cell r="W22">
            <v>1354.53</v>
          </cell>
          <cell r="X22">
            <v>1454.63</v>
          </cell>
          <cell r="Z22">
            <v>23</v>
          </cell>
          <cell r="AD22">
            <v>1354.53</v>
          </cell>
          <cell r="AE22">
            <v>1245.83</v>
          </cell>
          <cell r="AF22">
            <v>1354.53</v>
          </cell>
          <cell r="AI22">
            <v>1454.63</v>
          </cell>
          <cell r="AJ22">
            <v>21</v>
          </cell>
        </row>
        <row r="23">
          <cell r="A23" t="str">
            <v>Ascensorista</v>
          </cell>
          <cell r="B23">
            <v>1022.12</v>
          </cell>
          <cell r="C23">
            <v>1061.81</v>
          </cell>
          <cell r="D23">
            <v>988.74</v>
          </cell>
          <cell r="E23">
            <v>1022.12</v>
          </cell>
          <cell r="F23">
            <v>988.74</v>
          </cell>
          <cell r="G23">
            <v>1061.81</v>
          </cell>
          <cell r="H23">
            <v>1097.6600000000001</v>
          </cell>
          <cell r="I23">
            <v>1022.12</v>
          </cell>
          <cell r="J23">
            <v>1022.12</v>
          </cell>
          <cell r="K23">
            <v>1022.12</v>
          </cell>
          <cell r="L23">
            <v>988.74</v>
          </cell>
          <cell r="M23">
            <v>1022.12</v>
          </cell>
          <cell r="N23">
            <v>988.74</v>
          </cell>
          <cell r="O23">
            <v>1185.0899999999999</v>
          </cell>
          <cell r="P23">
            <v>988.74</v>
          </cell>
          <cell r="Q23">
            <v>1022.12</v>
          </cell>
          <cell r="R23">
            <v>988.74</v>
          </cell>
          <cell r="S23">
            <v>988.74</v>
          </cell>
          <cell r="T23">
            <v>1022.12</v>
          </cell>
          <cell r="U23">
            <v>988.74</v>
          </cell>
          <cell r="V23">
            <v>1022.12</v>
          </cell>
          <cell r="W23">
            <v>1022.12</v>
          </cell>
          <cell r="X23">
            <v>1097.6600000000001</v>
          </cell>
          <cell r="Y23">
            <v>1055.04</v>
          </cell>
          <cell r="Z23">
            <v>12</v>
          </cell>
          <cell r="AD23">
            <v>1022.12</v>
          </cell>
          <cell r="AE23">
            <v>988.74</v>
          </cell>
          <cell r="AF23">
            <v>1022.12</v>
          </cell>
          <cell r="AI23">
            <v>1097.6600000000001</v>
          </cell>
          <cell r="AJ23">
            <v>22</v>
          </cell>
        </row>
        <row r="24">
          <cell r="A24" t="str">
            <v>Atendente</v>
          </cell>
          <cell r="B24">
            <v>1670.04</v>
          </cell>
          <cell r="C24">
            <v>1649.65</v>
          </cell>
          <cell r="D24">
            <v>1536.13</v>
          </cell>
          <cell r="E24">
            <v>1670.04</v>
          </cell>
          <cell r="F24">
            <v>1536.13</v>
          </cell>
          <cell r="G24">
            <v>1649.65</v>
          </cell>
          <cell r="H24">
            <v>1793.46</v>
          </cell>
          <cell r="I24">
            <v>1670.04</v>
          </cell>
          <cell r="J24">
            <v>1670.04</v>
          </cell>
          <cell r="K24">
            <v>1670.04</v>
          </cell>
          <cell r="L24">
            <v>1536.13</v>
          </cell>
          <cell r="M24">
            <v>1670.04</v>
          </cell>
          <cell r="N24">
            <v>1536.13</v>
          </cell>
          <cell r="P24">
            <v>1536.13</v>
          </cell>
          <cell r="Q24">
            <v>1670.04</v>
          </cell>
          <cell r="R24">
            <v>1536.13</v>
          </cell>
          <cell r="S24">
            <v>1536.13</v>
          </cell>
          <cell r="T24">
            <v>1670.04</v>
          </cell>
          <cell r="U24">
            <v>1536.13</v>
          </cell>
          <cell r="V24">
            <v>1670.04</v>
          </cell>
          <cell r="W24">
            <v>1670.04</v>
          </cell>
          <cell r="X24">
            <v>1793.46</v>
          </cell>
          <cell r="Z24">
            <v>36</v>
          </cell>
          <cell r="AD24">
            <v>1670.04</v>
          </cell>
          <cell r="AE24">
            <v>1536.13</v>
          </cell>
          <cell r="AF24">
            <v>1670.04</v>
          </cell>
          <cell r="AI24">
            <v>1793.46</v>
          </cell>
          <cell r="AJ24">
            <v>23</v>
          </cell>
        </row>
        <row r="25">
          <cell r="A25" t="str">
            <v>Auxiliar de Cozinha</v>
          </cell>
          <cell r="M25">
            <v>1021.07</v>
          </cell>
          <cell r="Z25">
            <v>40</v>
          </cell>
          <cell r="AJ25">
            <v>24</v>
          </cell>
        </row>
        <row r="26">
          <cell r="A26" t="str">
            <v>Auxiliar de Jardinagem</v>
          </cell>
          <cell r="B26">
            <v>1259.28</v>
          </cell>
          <cell r="C26">
            <v>1243.8399999999999</v>
          </cell>
          <cell r="D26">
            <v>1158.24</v>
          </cell>
          <cell r="E26">
            <v>1259.28</v>
          </cell>
          <cell r="F26">
            <v>1158.24</v>
          </cell>
          <cell r="G26">
            <v>1243.8399999999999</v>
          </cell>
          <cell r="H26">
            <v>1352.34</v>
          </cell>
          <cell r="I26">
            <v>1259.28</v>
          </cell>
          <cell r="J26">
            <v>1259.28</v>
          </cell>
          <cell r="K26">
            <v>1259.28</v>
          </cell>
          <cell r="L26">
            <v>1158.24</v>
          </cell>
          <cell r="M26">
            <v>1259.28</v>
          </cell>
          <cell r="N26">
            <v>1158.24</v>
          </cell>
          <cell r="P26">
            <v>1158.24</v>
          </cell>
          <cell r="Q26">
            <v>1259.28</v>
          </cell>
          <cell r="R26">
            <v>1158.24</v>
          </cell>
          <cell r="S26">
            <v>1158.24</v>
          </cell>
          <cell r="T26">
            <v>1259.28</v>
          </cell>
          <cell r="U26">
            <v>1158.24</v>
          </cell>
          <cell r="V26">
            <v>1259.28</v>
          </cell>
          <cell r="W26">
            <v>1259.28</v>
          </cell>
          <cell r="X26">
            <v>1352.34</v>
          </cell>
          <cell r="Z26">
            <v>20</v>
          </cell>
          <cell r="AD26">
            <v>1259.28</v>
          </cell>
          <cell r="AE26">
            <v>1158.24</v>
          </cell>
          <cell r="AF26">
            <v>1259.28</v>
          </cell>
          <cell r="AI26">
            <v>1352.34</v>
          </cell>
          <cell r="AJ26">
            <v>25</v>
          </cell>
        </row>
        <row r="27">
          <cell r="A27" t="str">
            <v>Auxiliar de movimentação de materiais de laboratório</v>
          </cell>
          <cell r="Q27">
            <v>1053.08</v>
          </cell>
          <cell r="Z27">
            <v>43</v>
          </cell>
          <cell r="AJ27">
            <v>26</v>
          </cell>
        </row>
        <row r="28">
          <cell r="A28" t="str">
            <v>Auxiliar de operador de carga</v>
          </cell>
          <cell r="B28">
            <v>1511.14</v>
          </cell>
          <cell r="C28">
            <v>1492.63</v>
          </cell>
          <cell r="D28">
            <v>1389.91</v>
          </cell>
          <cell r="E28">
            <v>1511.14</v>
          </cell>
          <cell r="F28">
            <v>1389.91</v>
          </cell>
          <cell r="G28">
            <v>1492.63</v>
          </cell>
          <cell r="H28">
            <v>1622.82</v>
          </cell>
          <cell r="I28">
            <v>1511.14</v>
          </cell>
          <cell r="J28">
            <v>1511.14</v>
          </cell>
          <cell r="K28">
            <v>1511.14</v>
          </cell>
          <cell r="L28">
            <v>1389.91</v>
          </cell>
          <cell r="M28">
            <v>1511.14</v>
          </cell>
          <cell r="N28">
            <v>1389.91</v>
          </cell>
          <cell r="O28">
            <v>1578.01</v>
          </cell>
          <cell r="P28">
            <v>1389.91</v>
          </cell>
          <cell r="Q28">
            <v>1511.14</v>
          </cell>
          <cell r="R28">
            <v>1389.91</v>
          </cell>
          <cell r="S28">
            <v>1389.91</v>
          </cell>
          <cell r="T28">
            <v>1511.14</v>
          </cell>
          <cell r="U28">
            <v>1389.91</v>
          </cell>
          <cell r="V28">
            <v>1511.14</v>
          </cell>
          <cell r="W28">
            <v>1511.14</v>
          </cell>
          <cell r="X28">
            <v>1622.82</v>
          </cell>
          <cell r="Z28">
            <v>30</v>
          </cell>
          <cell r="AD28">
            <v>1511.14</v>
          </cell>
          <cell r="AE28">
            <v>1389.91</v>
          </cell>
          <cell r="AF28">
            <v>1511.14</v>
          </cell>
          <cell r="AI28">
            <v>1622.82</v>
          </cell>
          <cell r="AJ28">
            <v>27</v>
          </cell>
        </row>
        <row r="29">
          <cell r="A29" t="str">
            <v>Bilheteiro</v>
          </cell>
          <cell r="G29">
            <v>1581.86</v>
          </cell>
          <cell r="H29">
            <v>1581.86</v>
          </cell>
          <cell r="X29">
            <v>1581.86</v>
          </cell>
          <cell r="Z29">
            <v>35</v>
          </cell>
          <cell r="AJ29">
            <v>28</v>
          </cell>
        </row>
        <row r="30">
          <cell r="A30" t="str">
            <v>Bombeiro Combate a Incêndio</v>
          </cell>
          <cell r="M30">
            <v>1842.33</v>
          </cell>
          <cell r="Z30">
            <v>42</v>
          </cell>
          <cell r="AJ30">
            <v>29</v>
          </cell>
        </row>
        <row r="31">
          <cell r="A31" t="str">
            <v>Camareira/Arrumadeira</v>
          </cell>
          <cell r="B31">
            <v>972.83</v>
          </cell>
          <cell r="C31">
            <v>1011.25</v>
          </cell>
          <cell r="D31">
            <v>941.66</v>
          </cell>
          <cell r="E31">
            <v>972.83</v>
          </cell>
          <cell r="F31">
            <v>941.66</v>
          </cell>
          <cell r="G31">
            <v>1011.25</v>
          </cell>
          <cell r="H31">
            <v>1044.73</v>
          </cell>
          <cell r="I31">
            <v>972.83</v>
          </cell>
          <cell r="J31">
            <v>972.83</v>
          </cell>
          <cell r="K31">
            <v>972.83</v>
          </cell>
          <cell r="L31">
            <v>941.66</v>
          </cell>
          <cell r="M31">
            <v>972.83</v>
          </cell>
          <cell r="N31">
            <v>941.66</v>
          </cell>
          <cell r="O31">
            <v>1068.51</v>
          </cell>
          <cell r="P31">
            <v>941.66</v>
          </cell>
          <cell r="Q31">
            <v>972.83</v>
          </cell>
          <cell r="R31">
            <v>941.66</v>
          </cell>
          <cell r="S31">
            <v>941.66</v>
          </cell>
          <cell r="T31">
            <v>972.83</v>
          </cell>
          <cell r="U31">
            <v>941.66</v>
          </cell>
          <cell r="V31">
            <v>972.83</v>
          </cell>
          <cell r="W31">
            <v>972.83</v>
          </cell>
          <cell r="X31">
            <v>1044.73</v>
          </cell>
          <cell r="Y31">
            <v>973.41</v>
          </cell>
          <cell r="Z31">
            <v>4</v>
          </cell>
          <cell r="AD31">
            <v>972.83</v>
          </cell>
          <cell r="AE31">
            <v>941.66</v>
          </cell>
          <cell r="AF31">
            <v>972.83</v>
          </cell>
          <cell r="AI31">
            <v>1044.73</v>
          </cell>
          <cell r="AJ31">
            <v>30</v>
          </cell>
        </row>
        <row r="32">
          <cell r="A32" t="str">
            <v>Capineiro</v>
          </cell>
          <cell r="B32">
            <v>1022.12</v>
          </cell>
          <cell r="C32">
            <v>1061.81</v>
          </cell>
          <cell r="D32">
            <v>988.74</v>
          </cell>
          <cell r="E32">
            <v>1022.12</v>
          </cell>
          <cell r="F32">
            <v>988.74</v>
          </cell>
          <cell r="G32">
            <v>1061.81</v>
          </cell>
          <cell r="H32">
            <v>1097.6600000000001</v>
          </cell>
          <cell r="I32">
            <v>1022.12</v>
          </cell>
          <cell r="J32">
            <v>1022.12</v>
          </cell>
          <cell r="K32">
            <v>1022.12</v>
          </cell>
          <cell r="L32">
            <v>988.74</v>
          </cell>
          <cell r="M32">
            <v>1022.12</v>
          </cell>
          <cell r="N32">
            <v>988.74</v>
          </cell>
          <cell r="O32">
            <v>1068.51</v>
          </cell>
          <cell r="P32">
            <v>988.74</v>
          </cell>
          <cell r="Q32">
            <v>1022.12</v>
          </cell>
          <cell r="R32">
            <v>988.74</v>
          </cell>
          <cell r="S32">
            <v>988.74</v>
          </cell>
          <cell r="T32">
            <v>1022.12</v>
          </cell>
          <cell r="U32">
            <v>988.74</v>
          </cell>
          <cell r="V32">
            <v>1022.12</v>
          </cell>
          <cell r="W32">
            <v>1022.12</v>
          </cell>
          <cell r="X32">
            <v>1097.6600000000001</v>
          </cell>
          <cell r="Z32">
            <v>13</v>
          </cell>
          <cell r="AD32">
            <v>1022.12</v>
          </cell>
          <cell r="AE32">
            <v>988.74</v>
          </cell>
          <cell r="AF32">
            <v>1022.12</v>
          </cell>
          <cell r="AI32">
            <v>1097.6600000000001</v>
          </cell>
          <cell r="AJ32">
            <v>31</v>
          </cell>
        </row>
        <row r="33">
          <cell r="A33" t="str">
            <v>Contínuo ou office-boy</v>
          </cell>
          <cell r="B33">
            <v>972.83</v>
          </cell>
          <cell r="C33">
            <v>1011.25</v>
          </cell>
          <cell r="D33">
            <v>941.66</v>
          </cell>
          <cell r="E33">
            <v>972.83</v>
          </cell>
          <cell r="F33">
            <v>941.66</v>
          </cell>
          <cell r="G33">
            <v>1011.25</v>
          </cell>
          <cell r="H33">
            <v>1044.73</v>
          </cell>
          <cell r="I33">
            <v>972.83</v>
          </cell>
          <cell r="J33">
            <v>972.83</v>
          </cell>
          <cell r="K33">
            <v>972.83</v>
          </cell>
          <cell r="L33">
            <v>941.66</v>
          </cell>
          <cell r="M33">
            <v>972.83</v>
          </cell>
          <cell r="N33">
            <v>941.66</v>
          </cell>
          <cell r="O33">
            <v>1015.9</v>
          </cell>
          <cell r="P33">
            <v>941.66</v>
          </cell>
          <cell r="Q33">
            <v>972.83</v>
          </cell>
          <cell r="R33">
            <v>941.66</v>
          </cell>
          <cell r="S33">
            <v>941.66</v>
          </cell>
          <cell r="T33">
            <v>972.83</v>
          </cell>
          <cell r="U33">
            <v>941.66</v>
          </cell>
          <cell r="V33">
            <v>972.83</v>
          </cell>
          <cell r="W33">
            <v>972.83</v>
          </cell>
          <cell r="X33">
            <v>1044.73</v>
          </cell>
          <cell r="Y33">
            <v>973.41</v>
          </cell>
          <cell r="Z33">
            <v>9</v>
          </cell>
          <cell r="AD33">
            <v>972.83</v>
          </cell>
          <cell r="AE33">
            <v>941.66</v>
          </cell>
          <cell r="AF33">
            <v>972.83</v>
          </cell>
          <cell r="AI33">
            <v>1044.73</v>
          </cell>
          <cell r="AJ33">
            <v>32</v>
          </cell>
        </row>
        <row r="34">
          <cell r="A34" t="str">
            <v>Controlador de Acesso ou de Piso</v>
          </cell>
          <cell r="B34">
            <v>1259.28</v>
          </cell>
          <cell r="C34">
            <v>1243.8399999999999</v>
          </cell>
          <cell r="D34">
            <v>1158.24</v>
          </cell>
          <cell r="E34">
            <v>1259.28</v>
          </cell>
          <cell r="F34">
            <v>1158.24</v>
          </cell>
          <cell r="G34">
            <v>1243.8399999999999</v>
          </cell>
          <cell r="H34">
            <v>1352.34</v>
          </cell>
          <cell r="I34">
            <v>1259.28</v>
          </cell>
          <cell r="J34">
            <v>1259.28</v>
          </cell>
          <cell r="K34">
            <v>1259.28</v>
          </cell>
          <cell r="L34">
            <v>1158.24</v>
          </cell>
          <cell r="M34">
            <v>1259.28</v>
          </cell>
          <cell r="N34">
            <v>1158.24</v>
          </cell>
          <cell r="P34">
            <v>1158.24</v>
          </cell>
          <cell r="Q34">
            <v>1259.28</v>
          </cell>
          <cell r="R34">
            <v>1158.24</v>
          </cell>
          <cell r="S34">
            <v>1158.24</v>
          </cell>
          <cell r="T34">
            <v>1259.28</v>
          </cell>
          <cell r="U34">
            <v>1158.24</v>
          </cell>
          <cell r="V34">
            <v>1259.28</v>
          </cell>
          <cell r="W34">
            <v>1259.28</v>
          </cell>
          <cell r="X34">
            <v>1352.34</v>
          </cell>
          <cell r="Z34">
            <v>18</v>
          </cell>
          <cell r="AD34">
            <v>1259.28</v>
          </cell>
          <cell r="AE34">
            <v>1158.24</v>
          </cell>
          <cell r="AF34">
            <v>1259.28</v>
          </cell>
          <cell r="AI34">
            <v>1352.34</v>
          </cell>
          <cell r="AJ34">
            <v>33</v>
          </cell>
        </row>
        <row r="35">
          <cell r="A35" t="str">
            <v>Copeira</v>
          </cell>
          <cell r="B35">
            <v>972.83</v>
          </cell>
          <cell r="C35">
            <v>1011.25</v>
          </cell>
          <cell r="D35">
            <v>941.66</v>
          </cell>
          <cell r="E35">
            <v>972.83</v>
          </cell>
          <cell r="F35">
            <v>941.66</v>
          </cell>
          <cell r="G35">
            <v>1011.25</v>
          </cell>
          <cell r="H35">
            <v>1044.73</v>
          </cell>
          <cell r="I35">
            <v>972.83</v>
          </cell>
          <cell r="J35">
            <v>972.83</v>
          </cell>
          <cell r="K35">
            <v>972.83</v>
          </cell>
          <cell r="L35">
            <v>941.66</v>
          </cell>
          <cell r="M35">
            <v>972.83</v>
          </cell>
          <cell r="N35">
            <v>941.66</v>
          </cell>
          <cell r="O35">
            <v>1015.9</v>
          </cell>
          <cell r="P35">
            <v>941.66</v>
          </cell>
          <cell r="Q35">
            <v>972.83</v>
          </cell>
          <cell r="R35">
            <v>941.66</v>
          </cell>
          <cell r="S35">
            <v>941.66</v>
          </cell>
          <cell r="T35">
            <v>972.83</v>
          </cell>
          <cell r="U35">
            <v>941.66</v>
          </cell>
          <cell r="V35">
            <v>972.83</v>
          </cell>
          <cell r="W35">
            <v>972.83</v>
          </cell>
          <cell r="X35">
            <v>1044.73</v>
          </cell>
          <cell r="Y35">
            <v>973.41</v>
          </cell>
          <cell r="Z35">
            <v>5</v>
          </cell>
          <cell r="AD35">
            <v>972.83</v>
          </cell>
          <cell r="AE35">
            <v>941.66</v>
          </cell>
          <cell r="AF35">
            <v>972.83</v>
          </cell>
          <cell r="AI35">
            <v>1044.73</v>
          </cell>
          <cell r="AJ35">
            <v>34</v>
          </cell>
        </row>
        <row r="36">
          <cell r="A36" t="str">
            <v>Cozinheira</v>
          </cell>
          <cell r="M36">
            <v>1674.99</v>
          </cell>
          <cell r="O36">
            <v>1100.03</v>
          </cell>
          <cell r="Z36">
            <v>39</v>
          </cell>
          <cell r="AJ36">
            <v>35</v>
          </cell>
        </row>
        <row r="37">
          <cell r="A37" t="str">
            <v>Dedetizador</v>
          </cell>
          <cell r="B37">
            <v>1453.13</v>
          </cell>
          <cell r="C37">
            <v>1435.34</v>
          </cell>
          <cell r="D37">
            <v>1336.56</v>
          </cell>
          <cell r="E37">
            <v>1453.13</v>
          </cell>
          <cell r="F37">
            <v>1336.56</v>
          </cell>
          <cell r="G37">
            <v>1435.34</v>
          </cell>
          <cell r="H37">
            <v>1560.52</v>
          </cell>
          <cell r="I37">
            <v>1453.13</v>
          </cell>
          <cell r="J37">
            <v>1453.13</v>
          </cell>
          <cell r="K37">
            <v>1453.13</v>
          </cell>
          <cell r="L37">
            <v>1336.56</v>
          </cell>
          <cell r="M37">
            <v>1453.13</v>
          </cell>
          <cell r="N37">
            <v>1336.56</v>
          </cell>
          <cell r="O37">
            <v>1517.4</v>
          </cell>
          <cell r="P37">
            <v>1336.56</v>
          </cell>
          <cell r="Q37">
            <v>1453.13</v>
          </cell>
          <cell r="R37">
            <v>1336.56</v>
          </cell>
          <cell r="S37">
            <v>1336.56</v>
          </cell>
          <cell r="T37">
            <v>1453.13</v>
          </cell>
          <cell r="U37">
            <v>1336.56</v>
          </cell>
          <cell r="V37">
            <v>1453.13</v>
          </cell>
          <cell r="W37">
            <v>1453.13</v>
          </cell>
          <cell r="X37">
            <v>1560.52</v>
          </cell>
          <cell r="Z37">
            <v>25</v>
          </cell>
          <cell r="AD37">
            <v>1453.13</v>
          </cell>
          <cell r="AE37">
            <v>1336.56</v>
          </cell>
          <cell r="AF37">
            <v>1453.13</v>
          </cell>
          <cell r="AI37">
            <v>1560.52</v>
          </cell>
          <cell r="AJ37">
            <v>36</v>
          </cell>
        </row>
        <row r="38">
          <cell r="A38" t="str">
            <v>Encarregado</v>
          </cell>
          <cell r="B38">
            <v>1453.13</v>
          </cell>
          <cell r="C38">
            <v>1435.34</v>
          </cell>
          <cell r="D38">
            <v>1336.56</v>
          </cell>
          <cell r="E38">
            <v>1453.13</v>
          </cell>
          <cell r="F38">
            <v>1336.56</v>
          </cell>
          <cell r="G38">
            <v>1435.34</v>
          </cell>
          <cell r="H38">
            <v>1560.52</v>
          </cell>
          <cell r="I38">
            <v>1453.13</v>
          </cell>
          <cell r="J38">
            <v>1453.13</v>
          </cell>
          <cell r="K38">
            <v>1453.13</v>
          </cell>
          <cell r="L38">
            <v>1336.56</v>
          </cell>
          <cell r="M38">
            <v>1453.13</v>
          </cell>
          <cell r="N38">
            <v>1336.56</v>
          </cell>
          <cell r="O38">
            <v>1677.92</v>
          </cell>
          <cell r="P38">
            <v>1336.56</v>
          </cell>
          <cell r="Q38">
            <v>1453.13</v>
          </cell>
          <cell r="R38">
            <v>1336.56</v>
          </cell>
          <cell r="S38">
            <v>1336.56</v>
          </cell>
          <cell r="T38">
            <v>1453.13</v>
          </cell>
          <cell r="U38">
            <v>1336.56</v>
          </cell>
          <cell r="V38">
            <v>1453.13</v>
          </cell>
          <cell r="W38">
            <v>1453.13</v>
          </cell>
          <cell r="X38">
            <v>1560.52</v>
          </cell>
          <cell r="Z38">
            <v>27</v>
          </cell>
          <cell r="AD38">
            <v>1453.13</v>
          </cell>
          <cell r="AE38">
            <v>1336.56</v>
          </cell>
          <cell r="AF38">
            <v>1453.13</v>
          </cell>
          <cell r="AI38">
            <v>1560.52</v>
          </cell>
          <cell r="AJ38">
            <v>37</v>
          </cell>
        </row>
        <row r="39">
          <cell r="A39" t="str">
            <v>Faxineiro</v>
          </cell>
          <cell r="B39">
            <v>972.83</v>
          </cell>
          <cell r="C39">
            <v>1011.25</v>
          </cell>
          <cell r="D39">
            <v>941.66</v>
          </cell>
          <cell r="E39">
            <v>972.83</v>
          </cell>
          <cell r="F39">
            <v>941.66</v>
          </cell>
          <cell r="G39">
            <v>1011.25</v>
          </cell>
          <cell r="H39">
            <v>1044.73</v>
          </cell>
          <cell r="I39">
            <v>972.83</v>
          </cell>
          <cell r="J39">
            <v>972.83</v>
          </cell>
          <cell r="K39">
            <v>972.83</v>
          </cell>
          <cell r="L39">
            <v>941.66</v>
          </cell>
          <cell r="M39">
            <v>972.83</v>
          </cell>
          <cell r="N39">
            <v>941.66</v>
          </cell>
          <cell r="O39">
            <v>1015.9</v>
          </cell>
          <cell r="P39">
            <v>941.66</v>
          </cell>
          <cell r="Q39">
            <v>972.83</v>
          </cell>
          <cell r="R39">
            <v>941.66</v>
          </cell>
          <cell r="S39">
            <v>941.66</v>
          </cell>
          <cell r="T39">
            <v>972.83</v>
          </cell>
          <cell r="U39">
            <v>941.66</v>
          </cell>
          <cell r="V39">
            <v>972.83</v>
          </cell>
          <cell r="W39">
            <v>972.83</v>
          </cell>
          <cell r="X39">
            <v>1044.73</v>
          </cell>
          <cell r="Y39">
            <v>973.41</v>
          </cell>
          <cell r="Z39">
            <v>1</v>
          </cell>
          <cell r="AD39">
            <v>972.83</v>
          </cell>
          <cell r="AE39">
            <v>941.66</v>
          </cell>
          <cell r="AF39">
            <v>972.83</v>
          </cell>
          <cell r="AI39">
            <v>1044.73</v>
          </cell>
          <cell r="AJ39">
            <v>38</v>
          </cell>
        </row>
        <row r="40">
          <cell r="A40" t="str">
            <v>Faxineiro limpeza técnica industrial na indústria automobilística</v>
          </cell>
          <cell r="B40">
            <v>1514.69</v>
          </cell>
          <cell r="C40">
            <v>1335.83</v>
          </cell>
          <cell r="D40">
            <v>1243.9000000000001</v>
          </cell>
          <cell r="E40">
            <v>1514.69</v>
          </cell>
          <cell r="F40">
            <v>1243.9000000000001</v>
          </cell>
          <cell r="G40">
            <v>1335.83</v>
          </cell>
          <cell r="H40">
            <v>1626.63</v>
          </cell>
          <cell r="I40">
            <v>1514.69</v>
          </cell>
          <cell r="J40">
            <v>1514.69</v>
          </cell>
          <cell r="K40">
            <v>1514.69</v>
          </cell>
          <cell r="L40">
            <v>1243.9000000000001</v>
          </cell>
          <cell r="M40">
            <v>1514.69</v>
          </cell>
          <cell r="N40">
            <v>1243.9000000000001</v>
          </cell>
          <cell r="O40">
            <v>1412.19</v>
          </cell>
          <cell r="P40">
            <v>1243.9000000000001</v>
          </cell>
          <cell r="Q40">
            <v>1514.69</v>
          </cell>
          <cell r="R40">
            <v>1243.9000000000001</v>
          </cell>
          <cell r="S40">
            <v>1243.9000000000001</v>
          </cell>
          <cell r="T40">
            <v>1514.69</v>
          </cell>
          <cell r="U40">
            <v>1243.9000000000001</v>
          </cell>
          <cell r="V40">
            <v>1514.69</v>
          </cell>
          <cell r="W40">
            <v>1514.69</v>
          </cell>
          <cell r="X40">
            <v>1626.63</v>
          </cell>
          <cell r="Z40">
            <v>21</v>
          </cell>
          <cell r="AD40">
            <v>1514.69</v>
          </cell>
          <cell r="AE40">
            <v>1243.9000000000001</v>
          </cell>
          <cell r="AF40">
            <v>1514.69</v>
          </cell>
          <cell r="AI40">
            <v>1626.63</v>
          </cell>
          <cell r="AJ40">
            <v>39</v>
          </cell>
        </row>
        <row r="41">
          <cell r="A41" t="str">
            <v>Garagista</v>
          </cell>
          <cell r="B41">
            <v>1453.13</v>
          </cell>
          <cell r="C41">
            <v>1435.34</v>
          </cell>
          <cell r="D41">
            <v>1336.56</v>
          </cell>
          <cell r="E41">
            <v>1453.13</v>
          </cell>
          <cell r="F41">
            <v>1336.56</v>
          </cell>
          <cell r="G41">
            <v>1635.34</v>
          </cell>
          <cell r="H41">
            <v>1560.52</v>
          </cell>
          <cell r="I41">
            <v>1453.13</v>
          </cell>
          <cell r="J41">
            <v>1453.13</v>
          </cell>
          <cell r="K41">
            <v>1453.13</v>
          </cell>
          <cell r="L41">
            <v>1336.56</v>
          </cell>
          <cell r="M41">
            <v>1453.13</v>
          </cell>
          <cell r="N41">
            <v>1336.56</v>
          </cell>
          <cell r="O41">
            <v>1516.16</v>
          </cell>
          <cell r="P41">
            <v>1336.56</v>
          </cell>
          <cell r="Q41">
            <v>1453.13</v>
          </cell>
          <cell r="R41">
            <v>1336.56</v>
          </cell>
          <cell r="S41">
            <v>1336.56</v>
          </cell>
          <cell r="T41">
            <v>1453.13</v>
          </cell>
          <cell r="U41">
            <v>1336.56</v>
          </cell>
          <cell r="V41">
            <v>1453.13</v>
          </cell>
          <cell r="W41">
            <v>1453.13</v>
          </cell>
          <cell r="X41">
            <v>1560.52</v>
          </cell>
          <cell r="Y41">
            <v>973.41</v>
          </cell>
          <cell r="Z41">
            <v>14</v>
          </cell>
          <cell r="AD41">
            <v>1453.13</v>
          </cell>
          <cell r="AE41">
            <v>1336.56</v>
          </cell>
          <cell r="AF41">
            <v>1453.13</v>
          </cell>
          <cell r="AI41">
            <v>1560.52</v>
          </cell>
          <cell r="AJ41">
            <v>40</v>
          </cell>
        </row>
        <row r="42">
          <cell r="A42" t="str">
            <v>Garçom</v>
          </cell>
          <cell r="B42">
            <v>972.83</v>
          </cell>
          <cell r="C42">
            <v>1011.25</v>
          </cell>
          <cell r="D42">
            <v>941.66</v>
          </cell>
          <cell r="E42">
            <v>972.83</v>
          </cell>
          <cell r="F42">
            <v>941.66</v>
          </cell>
          <cell r="G42">
            <v>1011.25</v>
          </cell>
          <cell r="H42">
            <v>1044.73</v>
          </cell>
          <cell r="I42">
            <v>972.83</v>
          </cell>
          <cell r="J42">
            <v>972.83</v>
          </cell>
          <cell r="K42">
            <v>972.83</v>
          </cell>
          <cell r="L42">
            <v>941.66</v>
          </cell>
          <cell r="M42">
            <v>972.83</v>
          </cell>
          <cell r="N42">
            <v>941.66</v>
          </cell>
          <cell r="O42">
            <v>1015.9</v>
          </cell>
          <cell r="P42">
            <v>941.66</v>
          </cell>
          <cell r="Q42">
            <v>972.83</v>
          </cell>
          <cell r="R42">
            <v>941.66</v>
          </cell>
          <cell r="S42">
            <v>941.66</v>
          </cell>
          <cell r="T42">
            <v>972.83</v>
          </cell>
          <cell r="U42">
            <v>941.66</v>
          </cell>
          <cell r="V42">
            <v>972.83</v>
          </cell>
          <cell r="W42">
            <v>972.83</v>
          </cell>
          <cell r="X42">
            <v>1044.73</v>
          </cell>
          <cell r="Y42">
            <v>973.41</v>
          </cell>
          <cell r="Z42">
            <v>3</v>
          </cell>
          <cell r="AD42">
            <v>972.83</v>
          </cell>
          <cell r="AE42">
            <v>941.66</v>
          </cell>
          <cell r="AF42">
            <v>972.83</v>
          </cell>
          <cell r="AI42">
            <v>1044.73</v>
          </cell>
          <cell r="AJ42">
            <v>41</v>
          </cell>
        </row>
        <row r="43">
          <cell r="A43" t="str">
            <v>Jardineiro</v>
          </cell>
          <cell r="B43">
            <v>1354.53</v>
          </cell>
          <cell r="C43">
            <v>1337.9</v>
          </cell>
          <cell r="D43">
            <v>1245.83</v>
          </cell>
          <cell r="E43">
            <v>1354.53</v>
          </cell>
          <cell r="F43">
            <v>1245.83</v>
          </cell>
          <cell r="G43">
            <v>1337.9</v>
          </cell>
          <cell r="H43">
            <v>1454.63</v>
          </cell>
          <cell r="I43">
            <v>1354.53</v>
          </cell>
          <cell r="J43">
            <v>1354.53</v>
          </cell>
          <cell r="K43">
            <v>1354.53</v>
          </cell>
          <cell r="L43">
            <v>1245.83</v>
          </cell>
          <cell r="M43">
            <v>1354.53</v>
          </cell>
          <cell r="N43">
            <v>1245.83</v>
          </cell>
          <cell r="O43">
            <v>1455.48</v>
          </cell>
          <cell r="P43">
            <v>1245.83</v>
          </cell>
          <cell r="Q43">
            <v>1354.53</v>
          </cell>
          <cell r="R43">
            <v>1245.83</v>
          </cell>
          <cell r="S43">
            <v>1245.83</v>
          </cell>
          <cell r="T43">
            <v>1354.53</v>
          </cell>
          <cell r="U43">
            <v>1245.83</v>
          </cell>
          <cell r="V43">
            <v>1354.53</v>
          </cell>
          <cell r="W43">
            <v>1354.53</v>
          </cell>
          <cell r="X43">
            <v>1454.63</v>
          </cell>
          <cell r="Y43">
            <v>1055.04</v>
          </cell>
          <cell r="Z43">
            <v>22</v>
          </cell>
          <cell r="AD43">
            <v>1354.53</v>
          </cell>
          <cell r="AE43">
            <v>1245.83</v>
          </cell>
          <cell r="AF43">
            <v>1354.53</v>
          </cell>
          <cell r="AI43">
            <v>1454.63</v>
          </cell>
          <cell r="AJ43">
            <v>42</v>
          </cell>
        </row>
        <row r="44">
          <cell r="A44" t="str">
            <v>Líder de limpeza técnica industrial na indústria automobilística</v>
          </cell>
          <cell r="B44">
            <v>2149.61</v>
          </cell>
          <cell r="C44">
            <v>2123.27</v>
          </cell>
          <cell r="D44">
            <v>1977.15</v>
          </cell>
          <cell r="E44">
            <v>2149.61</v>
          </cell>
          <cell r="F44">
            <v>1977.15</v>
          </cell>
          <cell r="G44">
            <v>2123.27</v>
          </cell>
          <cell r="H44">
            <v>2308.4699999999998</v>
          </cell>
          <cell r="I44">
            <v>2149.61</v>
          </cell>
          <cell r="J44">
            <v>2149.61</v>
          </cell>
          <cell r="K44">
            <v>2149.61</v>
          </cell>
          <cell r="L44">
            <v>1977.15</v>
          </cell>
          <cell r="M44">
            <v>2149.61</v>
          </cell>
          <cell r="N44">
            <v>1977.15</v>
          </cell>
          <cell r="O44">
            <v>2004.24</v>
          </cell>
          <cell r="P44">
            <v>1977.15</v>
          </cell>
          <cell r="Q44">
            <v>2149.61</v>
          </cell>
          <cell r="R44">
            <v>1977.15</v>
          </cell>
          <cell r="S44">
            <v>1977.15</v>
          </cell>
          <cell r="T44">
            <v>2149.61</v>
          </cell>
          <cell r="U44">
            <v>1977.15</v>
          </cell>
          <cell r="V44">
            <v>2149.61</v>
          </cell>
          <cell r="W44">
            <v>2149.61</v>
          </cell>
          <cell r="X44">
            <v>2308.4699999999998</v>
          </cell>
          <cell r="Z44">
            <v>33</v>
          </cell>
          <cell r="AD44">
            <v>2149.61</v>
          </cell>
          <cell r="AE44">
            <v>1977.15</v>
          </cell>
          <cell r="AF44">
            <v>2149.61</v>
          </cell>
          <cell r="AI44">
            <v>2308.4699999999998</v>
          </cell>
          <cell r="AJ44">
            <v>43</v>
          </cell>
        </row>
        <row r="45">
          <cell r="A45" t="str">
            <v>Limpador de caixas d’água</v>
          </cell>
          <cell r="B45">
            <v>972.83</v>
          </cell>
          <cell r="C45">
            <v>1011.25</v>
          </cell>
          <cell r="D45">
            <v>941.66</v>
          </cell>
          <cell r="E45">
            <v>972.83</v>
          </cell>
          <cell r="F45">
            <v>941.66</v>
          </cell>
          <cell r="G45">
            <v>1011.25</v>
          </cell>
          <cell r="H45">
            <v>1044.73</v>
          </cell>
          <cell r="I45">
            <v>972.83</v>
          </cell>
          <cell r="J45">
            <v>972.83</v>
          </cell>
          <cell r="K45">
            <v>972.83</v>
          </cell>
          <cell r="L45">
            <v>941.66</v>
          </cell>
          <cell r="M45">
            <v>972.83</v>
          </cell>
          <cell r="N45">
            <v>941.66</v>
          </cell>
          <cell r="O45">
            <v>1015.9</v>
          </cell>
          <cell r="P45">
            <v>941.66</v>
          </cell>
          <cell r="Q45">
            <v>972.83</v>
          </cell>
          <cell r="R45">
            <v>941.66</v>
          </cell>
          <cell r="S45">
            <v>941.66</v>
          </cell>
          <cell r="T45">
            <v>972.83</v>
          </cell>
          <cell r="U45">
            <v>941.66</v>
          </cell>
          <cell r="V45">
            <v>972.83</v>
          </cell>
          <cell r="W45">
            <v>972.83</v>
          </cell>
          <cell r="X45">
            <v>1044.73</v>
          </cell>
          <cell r="Z45">
            <v>6</v>
          </cell>
          <cell r="AD45">
            <v>972.83</v>
          </cell>
          <cell r="AE45">
            <v>941.66</v>
          </cell>
          <cell r="AF45">
            <v>972.83</v>
          </cell>
          <cell r="AI45">
            <v>1044.73</v>
          </cell>
          <cell r="AJ45">
            <v>44</v>
          </cell>
        </row>
        <row r="46">
          <cell r="A46" t="str">
            <v>Limpador de Vidros</v>
          </cell>
          <cell r="B46">
            <v>1065.3499999999999</v>
          </cell>
          <cell r="C46">
            <v>1052.3</v>
          </cell>
          <cell r="D46">
            <v>979.88</v>
          </cell>
          <cell r="E46">
            <v>1065.3499999999999</v>
          </cell>
          <cell r="F46">
            <v>979.88</v>
          </cell>
          <cell r="G46">
            <v>1052.3</v>
          </cell>
          <cell r="H46">
            <v>1144.08</v>
          </cell>
          <cell r="I46">
            <v>1065.3499999999999</v>
          </cell>
          <cell r="J46">
            <v>1065.3499999999999</v>
          </cell>
          <cell r="K46">
            <v>1065.3499999999999</v>
          </cell>
          <cell r="L46">
            <v>979.88</v>
          </cell>
          <cell r="M46">
            <v>1065.3499999999999</v>
          </cell>
          <cell r="N46">
            <v>979.88</v>
          </cell>
          <cell r="O46">
            <v>1112.42</v>
          </cell>
          <cell r="P46">
            <v>979.88</v>
          </cell>
          <cell r="Q46">
            <v>1065.3499999999999</v>
          </cell>
          <cell r="R46">
            <v>979.88</v>
          </cell>
          <cell r="S46">
            <v>979.88</v>
          </cell>
          <cell r="T46">
            <v>1065.3499999999999</v>
          </cell>
          <cell r="U46">
            <v>979.88</v>
          </cell>
          <cell r="V46">
            <v>1065.3499999999999</v>
          </cell>
          <cell r="W46">
            <v>1065.3499999999999</v>
          </cell>
          <cell r="X46">
            <v>1144.08</v>
          </cell>
          <cell r="Z46">
            <v>10</v>
          </cell>
          <cell r="AD46">
            <v>1065.3499999999999</v>
          </cell>
          <cell r="AE46">
            <v>979.88</v>
          </cell>
          <cell r="AF46">
            <v>1065.3499999999999</v>
          </cell>
          <cell r="AI46">
            <v>1144.08</v>
          </cell>
          <cell r="AJ46">
            <v>45</v>
          </cell>
        </row>
        <row r="47">
          <cell r="A47" t="str">
            <v>Manobrista</v>
          </cell>
          <cell r="B47">
            <v>1453.13</v>
          </cell>
          <cell r="C47">
            <v>1435.34</v>
          </cell>
          <cell r="D47">
            <v>1336.56</v>
          </cell>
          <cell r="E47">
            <v>1453.13</v>
          </cell>
          <cell r="F47">
            <v>1336.56</v>
          </cell>
          <cell r="G47">
            <v>1435.34</v>
          </cell>
          <cell r="H47">
            <v>1560.52</v>
          </cell>
          <cell r="I47">
            <v>1453.13</v>
          </cell>
          <cell r="J47">
            <v>1453.13</v>
          </cell>
          <cell r="K47">
            <v>1453.13</v>
          </cell>
          <cell r="L47">
            <v>1336.56</v>
          </cell>
          <cell r="M47">
            <v>1453.13</v>
          </cell>
          <cell r="N47">
            <v>1336.56</v>
          </cell>
          <cell r="O47">
            <v>1516.16</v>
          </cell>
          <cell r="P47">
            <v>1336.56</v>
          </cell>
          <cell r="Q47">
            <v>1453.13</v>
          </cell>
          <cell r="R47">
            <v>1336.56</v>
          </cell>
          <cell r="S47">
            <v>1336.56</v>
          </cell>
          <cell r="T47">
            <v>1453.13</v>
          </cell>
          <cell r="U47">
            <v>1336.56</v>
          </cell>
          <cell r="V47">
            <v>1453.13</v>
          </cell>
          <cell r="W47">
            <v>1453.13</v>
          </cell>
          <cell r="X47">
            <v>1560.52</v>
          </cell>
          <cell r="Z47">
            <v>29</v>
          </cell>
          <cell r="AD47">
            <v>1453.13</v>
          </cell>
          <cell r="AE47">
            <v>1336.56</v>
          </cell>
          <cell r="AF47">
            <v>1453.13</v>
          </cell>
          <cell r="AI47">
            <v>1560.52</v>
          </cell>
          <cell r="AJ47">
            <v>46</v>
          </cell>
        </row>
        <row r="48">
          <cell r="A48" t="str">
            <v>Monitor Externo</v>
          </cell>
          <cell r="B48">
            <v>1259.28</v>
          </cell>
          <cell r="C48">
            <v>1243.8399999999999</v>
          </cell>
          <cell r="D48">
            <v>1158.24</v>
          </cell>
          <cell r="E48">
            <v>1259.28</v>
          </cell>
          <cell r="F48">
            <v>1158.24</v>
          </cell>
          <cell r="G48">
            <v>1243.8399999999999</v>
          </cell>
          <cell r="H48">
            <v>1352.34</v>
          </cell>
          <cell r="I48">
            <v>1259.28</v>
          </cell>
          <cell r="J48">
            <v>1259.28</v>
          </cell>
          <cell r="K48">
            <v>1259.28</v>
          </cell>
          <cell r="L48">
            <v>1158.24</v>
          </cell>
          <cell r="M48">
            <v>1259.28</v>
          </cell>
          <cell r="N48">
            <v>1158.24</v>
          </cell>
          <cell r="P48">
            <v>1158.24</v>
          </cell>
          <cell r="Q48">
            <v>1259.28</v>
          </cell>
          <cell r="R48">
            <v>1158.24</v>
          </cell>
          <cell r="S48">
            <v>1158.24</v>
          </cell>
          <cell r="T48">
            <v>1259.28</v>
          </cell>
          <cell r="U48">
            <v>1158.24</v>
          </cell>
          <cell r="V48">
            <v>1259.28</v>
          </cell>
          <cell r="W48">
            <v>1259.28</v>
          </cell>
          <cell r="X48">
            <v>1352.34</v>
          </cell>
          <cell r="Z48">
            <v>16</v>
          </cell>
          <cell r="AD48">
            <v>1259.28</v>
          </cell>
          <cell r="AE48">
            <v>1158.24</v>
          </cell>
          <cell r="AF48">
            <v>1259.28</v>
          </cell>
          <cell r="AI48">
            <v>1352.34</v>
          </cell>
          <cell r="AJ48">
            <v>47</v>
          </cell>
        </row>
        <row r="49">
          <cell r="A49" t="str">
            <v>Operador de equipamento</v>
          </cell>
          <cell r="M49">
            <v>972.83</v>
          </cell>
          <cell r="Z49">
            <v>41</v>
          </cell>
          <cell r="AJ49">
            <v>48</v>
          </cell>
        </row>
        <row r="50">
          <cell r="A50" t="str">
            <v>Operador de Telemarketing</v>
          </cell>
          <cell r="Z50">
            <v>44</v>
          </cell>
          <cell r="AA50">
            <v>1544.96</v>
          </cell>
          <cell r="AJ50">
            <v>49</v>
          </cell>
        </row>
        <row r="51">
          <cell r="A51" t="str">
            <v>Operador de Varredeira Veicular Industrial</v>
          </cell>
          <cell r="C51">
            <v>1584.14</v>
          </cell>
          <cell r="D51">
            <v>1475.12</v>
          </cell>
          <cell r="F51">
            <v>1475.12</v>
          </cell>
          <cell r="G51">
            <v>1584.14</v>
          </cell>
          <cell r="L51">
            <v>1475.12</v>
          </cell>
          <cell r="N51">
            <v>1475.12</v>
          </cell>
          <cell r="P51">
            <v>1475.12</v>
          </cell>
          <cell r="R51">
            <v>1475.12</v>
          </cell>
          <cell r="S51">
            <v>1475.12</v>
          </cell>
          <cell r="U51">
            <v>1475.12</v>
          </cell>
          <cell r="Z51">
            <v>37</v>
          </cell>
          <cell r="AE51">
            <v>1475.12</v>
          </cell>
          <cell r="AJ51">
            <v>50</v>
          </cell>
        </row>
        <row r="52">
          <cell r="A52" t="str">
            <v>Pessoal da administração</v>
          </cell>
          <cell r="B52">
            <v>1374.37</v>
          </cell>
          <cell r="C52">
            <v>1413.83</v>
          </cell>
          <cell r="D52">
            <v>1316.53</v>
          </cell>
          <cell r="E52">
            <v>1374.37</v>
          </cell>
          <cell r="F52">
            <v>1316.53</v>
          </cell>
          <cell r="G52">
            <v>1413.83</v>
          </cell>
          <cell r="H52">
            <v>1537.27</v>
          </cell>
          <cell r="I52">
            <v>1374.37</v>
          </cell>
          <cell r="J52">
            <v>1374.37</v>
          </cell>
          <cell r="K52">
            <v>1374.37</v>
          </cell>
          <cell r="L52">
            <v>1316.53</v>
          </cell>
          <cell r="M52">
            <v>1374.37</v>
          </cell>
          <cell r="N52">
            <v>1316.53</v>
          </cell>
          <cell r="P52">
            <v>1316.53</v>
          </cell>
          <cell r="Q52">
            <v>1374.37</v>
          </cell>
          <cell r="R52">
            <v>1316.53</v>
          </cell>
          <cell r="S52">
            <v>1316.53</v>
          </cell>
          <cell r="T52">
            <v>1374.37</v>
          </cell>
          <cell r="U52">
            <v>1316.53</v>
          </cell>
          <cell r="V52">
            <v>1374.37</v>
          </cell>
          <cell r="W52">
            <v>1374.37</v>
          </cell>
          <cell r="X52">
            <v>1537.27</v>
          </cell>
          <cell r="Z52">
            <v>24</v>
          </cell>
          <cell r="AD52">
            <v>1374.37</v>
          </cell>
          <cell r="AE52">
            <v>1316.53</v>
          </cell>
          <cell r="AF52">
            <v>1374.37</v>
          </cell>
          <cell r="AI52">
            <v>1537.27</v>
          </cell>
          <cell r="AJ52">
            <v>51</v>
          </cell>
        </row>
        <row r="53">
          <cell r="A53" t="str">
            <v>Porteiro</v>
          </cell>
          <cell r="B53">
            <v>1259.28</v>
          </cell>
          <cell r="C53">
            <v>1243.8399999999999</v>
          </cell>
          <cell r="D53">
            <v>1158.24</v>
          </cell>
          <cell r="E53">
            <v>1259.28</v>
          </cell>
          <cell r="F53">
            <v>1158.24</v>
          </cell>
          <cell r="G53">
            <v>1243.8399999999999</v>
          </cell>
          <cell r="H53">
            <v>1352.34</v>
          </cell>
          <cell r="I53">
            <v>1259.28</v>
          </cell>
          <cell r="J53">
            <v>1259.28</v>
          </cell>
          <cell r="K53">
            <v>1259.28</v>
          </cell>
          <cell r="L53">
            <v>1158.24</v>
          </cell>
          <cell r="M53">
            <v>1259.28</v>
          </cell>
          <cell r="N53">
            <v>1158.24</v>
          </cell>
          <cell r="O53">
            <v>1315</v>
          </cell>
          <cell r="P53">
            <v>1158.24</v>
          </cell>
          <cell r="Q53">
            <v>1259.28</v>
          </cell>
          <cell r="R53">
            <v>1158.24</v>
          </cell>
          <cell r="S53">
            <v>1158.24</v>
          </cell>
          <cell r="T53">
            <v>1259.28</v>
          </cell>
          <cell r="U53">
            <v>1158.24</v>
          </cell>
          <cell r="V53">
            <v>1259.28</v>
          </cell>
          <cell r="W53">
            <v>1259.28</v>
          </cell>
          <cell r="X53">
            <v>1352.34</v>
          </cell>
          <cell r="Y53">
            <v>1055.04</v>
          </cell>
          <cell r="Z53">
            <v>15</v>
          </cell>
          <cell r="AD53">
            <v>1259.28</v>
          </cell>
          <cell r="AE53">
            <v>1158.24</v>
          </cell>
          <cell r="AF53">
            <v>1259.28</v>
          </cell>
          <cell r="AI53">
            <v>1352.34</v>
          </cell>
          <cell r="AJ53">
            <v>52</v>
          </cell>
        </row>
        <row r="54">
          <cell r="A54" t="str">
            <v>Recepcionista</v>
          </cell>
          <cell r="B54">
            <v>1670.04</v>
          </cell>
          <cell r="C54">
            <v>1649.65</v>
          </cell>
          <cell r="D54">
            <v>1536.13</v>
          </cell>
          <cell r="E54">
            <v>1670.04</v>
          </cell>
          <cell r="F54">
            <v>1536.13</v>
          </cell>
          <cell r="G54">
            <v>1649.65</v>
          </cell>
          <cell r="H54">
            <v>1793.46</v>
          </cell>
          <cell r="I54">
            <v>1670.04</v>
          </cell>
          <cell r="J54">
            <v>1670.04</v>
          </cell>
          <cell r="K54">
            <v>1670.04</v>
          </cell>
          <cell r="L54">
            <v>1536.13</v>
          </cell>
          <cell r="M54">
            <v>1670.04</v>
          </cell>
          <cell r="N54">
            <v>1536.13</v>
          </cell>
          <cell r="O54">
            <v>1743.95</v>
          </cell>
          <cell r="P54">
            <v>1536.13</v>
          </cell>
          <cell r="Q54">
            <v>1670.04</v>
          </cell>
          <cell r="R54">
            <v>1536.13</v>
          </cell>
          <cell r="S54">
            <v>1536.13</v>
          </cell>
          <cell r="T54">
            <v>1670.04</v>
          </cell>
          <cell r="U54">
            <v>1536.13</v>
          </cell>
          <cell r="V54">
            <v>1670.04</v>
          </cell>
          <cell r="W54">
            <v>1670.04</v>
          </cell>
          <cell r="X54">
            <v>1793.46</v>
          </cell>
          <cell r="Z54">
            <v>31</v>
          </cell>
          <cell r="AD54">
            <v>1670.04</v>
          </cell>
          <cell r="AE54">
            <v>1536.13</v>
          </cell>
          <cell r="AF54">
            <v>1670.04</v>
          </cell>
          <cell r="AI54">
            <v>1793.46</v>
          </cell>
          <cell r="AJ54">
            <v>53</v>
          </cell>
        </row>
        <row r="55">
          <cell r="A55" t="str">
            <v>Servente</v>
          </cell>
          <cell r="B55">
            <v>972.83</v>
          </cell>
          <cell r="C55">
            <v>1011.25</v>
          </cell>
          <cell r="D55">
            <v>941.66</v>
          </cell>
          <cell r="E55">
            <v>972.83</v>
          </cell>
          <cell r="F55">
            <v>941.66</v>
          </cell>
          <cell r="G55">
            <v>1011.25</v>
          </cell>
          <cell r="H55">
            <v>1044.73</v>
          </cell>
          <cell r="I55">
            <v>972.83</v>
          </cell>
          <cell r="J55">
            <v>972.83</v>
          </cell>
          <cell r="K55">
            <v>972.83</v>
          </cell>
          <cell r="L55">
            <v>941.66</v>
          </cell>
          <cell r="M55">
            <v>972.83</v>
          </cell>
          <cell r="N55">
            <v>941.66</v>
          </cell>
          <cell r="O55">
            <v>1015.9</v>
          </cell>
          <cell r="P55">
            <v>941.66</v>
          </cell>
          <cell r="Q55">
            <v>972.83</v>
          </cell>
          <cell r="R55">
            <v>941.66</v>
          </cell>
          <cell r="S55">
            <v>941.66</v>
          </cell>
          <cell r="T55">
            <v>972.83</v>
          </cell>
          <cell r="U55">
            <v>941.66</v>
          </cell>
          <cell r="V55">
            <v>972.83</v>
          </cell>
          <cell r="W55">
            <v>972.83</v>
          </cell>
          <cell r="X55">
            <v>1044.73</v>
          </cell>
          <cell r="Y55">
            <v>973.41</v>
          </cell>
          <cell r="Z55">
            <v>2</v>
          </cell>
          <cell r="AD55">
            <v>972.83</v>
          </cell>
          <cell r="AE55">
            <v>941.66</v>
          </cell>
          <cell r="AF55">
            <v>972.83</v>
          </cell>
          <cell r="AI55">
            <v>1044.73</v>
          </cell>
          <cell r="AJ55">
            <v>54</v>
          </cell>
        </row>
        <row r="56">
          <cell r="A56" t="str">
            <v>Supervisor</v>
          </cell>
          <cell r="B56">
            <v>1886.99</v>
          </cell>
          <cell r="C56">
            <v>1863.96</v>
          </cell>
          <cell r="D56">
            <v>1735.69</v>
          </cell>
          <cell r="E56">
            <v>1886.99</v>
          </cell>
          <cell r="F56">
            <v>1735.69</v>
          </cell>
          <cell r="G56">
            <v>1863.96</v>
          </cell>
          <cell r="H56">
            <v>2026.44</v>
          </cell>
          <cell r="I56">
            <v>1886.99</v>
          </cell>
          <cell r="J56">
            <v>1886.99</v>
          </cell>
          <cell r="K56">
            <v>1886.99</v>
          </cell>
          <cell r="L56">
            <v>1735.69</v>
          </cell>
          <cell r="M56">
            <v>1886.99</v>
          </cell>
          <cell r="N56">
            <v>1735.69</v>
          </cell>
          <cell r="O56">
            <v>1970.47</v>
          </cell>
          <cell r="P56">
            <v>1735.69</v>
          </cell>
          <cell r="Q56">
            <v>1886.99</v>
          </cell>
          <cell r="R56">
            <v>1735.69</v>
          </cell>
          <cell r="S56">
            <v>1735.69</v>
          </cell>
          <cell r="T56">
            <v>1886.99</v>
          </cell>
          <cell r="U56">
            <v>1735.69</v>
          </cell>
          <cell r="V56">
            <v>1886.99</v>
          </cell>
          <cell r="W56">
            <v>1886.99</v>
          </cell>
          <cell r="X56">
            <v>2026.44</v>
          </cell>
          <cell r="Z56">
            <v>32</v>
          </cell>
          <cell r="AD56">
            <v>1886.99</v>
          </cell>
          <cell r="AE56">
            <v>1735.69</v>
          </cell>
          <cell r="AF56">
            <v>1886.99</v>
          </cell>
          <cell r="AI56">
            <v>2026.44</v>
          </cell>
          <cell r="AJ56">
            <v>55</v>
          </cell>
        </row>
        <row r="57">
          <cell r="A57" t="str">
            <v>Técnico em Comunicações</v>
          </cell>
          <cell r="Z57">
            <v>46</v>
          </cell>
          <cell r="AA57">
            <v>3420.7</v>
          </cell>
          <cell r="AJ57">
            <v>56</v>
          </cell>
        </row>
        <row r="58">
          <cell r="A58" t="str">
            <v>Teledigifonista</v>
          </cell>
          <cell r="Z58">
            <v>45</v>
          </cell>
          <cell r="AA58">
            <v>1653.33</v>
          </cell>
          <cell r="AJ58">
            <v>57</v>
          </cell>
        </row>
        <row r="59">
          <cell r="A59" t="str">
            <v>Telefonista</v>
          </cell>
          <cell r="Z59">
            <v>38</v>
          </cell>
          <cell r="AA59">
            <v>1544.96</v>
          </cell>
          <cell r="AJ59">
            <v>58</v>
          </cell>
        </row>
        <row r="60">
          <cell r="A60" t="str">
            <v>Telemarketing</v>
          </cell>
          <cell r="Z60">
            <v>47</v>
          </cell>
          <cell r="AA60">
            <v>1967.7</v>
          </cell>
          <cell r="AJ60">
            <v>59</v>
          </cell>
        </row>
        <row r="61">
          <cell r="A61" t="str">
            <v>Trabalhador Braçal</v>
          </cell>
          <cell r="B61">
            <v>972.83</v>
          </cell>
          <cell r="C61">
            <v>1011.25</v>
          </cell>
          <cell r="D61">
            <v>941.66</v>
          </cell>
          <cell r="E61">
            <v>972.83</v>
          </cell>
          <cell r="F61">
            <v>941.66</v>
          </cell>
          <cell r="G61">
            <v>1011.25</v>
          </cell>
          <cell r="H61">
            <v>1044.73</v>
          </cell>
          <cell r="I61">
            <v>972.83</v>
          </cell>
          <cell r="J61">
            <v>972.83</v>
          </cell>
          <cell r="K61">
            <v>972.83</v>
          </cell>
          <cell r="L61">
            <v>941.66</v>
          </cell>
          <cell r="M61">
            <v>972.83</v>
          </cell>
          <cell r="N61">
            <v>941.66</v>
          </cell>
          <cell r="P61">
            <v>941.66</v>
          </cell>
          <cell r="Q61">
            <v>972.83</v>
          </cell>
          <cell r="R61">
            <v>941.66</v>
          </cell>
          <cell r="S61">
            <v>941.66</v>
          </cell>
          <cell r="T61">
            <v>972.83</v>
          </cell>
          <cell r="U61">
            <v>941.66</v>
          </cell>
          <cell r="V61">
            <v>972.83</v>
          </cell>
          <cell r="W61">
            <v>972.83</v>
          </cell>
          <cell r="X61">
            <v>1044.73</v>
          </cell>
          <cell r="Z61">
            <v>7</v>
          </cell>
          <cell r="AD61">
            <v>972.83</v>
          </cell>
          <cell r="AE61">
            <v>941.66</v>
          </cell>
          <cell r="AF61">
            <v>972.83</v>
          </cell>
          <cell r="AI61">
            <v>1044.73</v>
          </cell>
          <cell r="AJ61">
            <v>60</v>
          </cell>
        </row>
        <row r="62">
          <cell r="A62" t="str">
            <v>Trabalhador em Cemitério</v>
          </cell>
          <cell r="B62">
            <v>1022.12</v>
          </cell>
          <cell r="C62">
            <v>1061.81</v>
          </cell>
          <cell r="D62">
            <v>988.74</v>
          </cell>
          <cell r="E62">
            <v>1022.12</v>
          </cell>
          <cell r="F62">
            <v>988.74</v>
          </cell>
          <cell r="G62">
            <v>1061.81</v>
          </cell>
          <cell r="H62">
            <v>1097.6600000000001</v>
          </cell>
          <cell r="I62">
            <v>1022.12</v>
          </cell>
          <cell r="J62">
            <v>1022.12</v>
          </cell>
          <cell r="K62">
            <v>1022.12</v>
          </cell>
          <cell r="L62">
            <v>988.74</v>
          </cell>
          <cell r="M62">
            <v>1022.12</v>
          </cell>
          <cell r="N62">
            <v>988.74</v>
          </cell>
          <cell r="P62">
            <v>988.74</v>
          </cell>
          <cell r="Q62">
            <v>1022.12</v>
          </cell>
          <cell r="R62">
            <v>988.74</v>
          </cell>
          <cell r="S62">
            <v>988.74</v>
          </cell>
          <cell r="T62">
            <v>1022.12</v>
          </cell>
          <cell r="U62">
            <v>988.74</v>
          </cell>
          <cell r="V62">
            <v>1022.12</v>
          </cell>
          <cell r="W62">
            <v>1022.12</v>
          </cell>
          <cell r="X62">
            <v>1097.6600000000001</v>
          </cell>
          <cell r="Z62">
            <v>11</v>
          </cell>
          <cell r="AD62">
            <v>1022.12</v>
          </cell>
          <cell r="AE62">
            <v>988.74</v>
          </cell>
          <cell r="AF62">
            <v>1022.12</v>
          </cell>
          <cell r="AI62">
            <v>1097.6600000000001</v>
          </cell>
          <cell r="AJ62">
            <v>61</v>
          </cell>
        </row>
        <row r="63">
          <cell r="A63" t="str">
            <v>Trabalhador em Postos de Pedágio ou Similar</v>
          </cell>
          <cell r="B63">
            <v>1259.28</v>
          </cell>
          <cell r="C63">
            <v>12433.84</v>
          </cell>
          <cell r="D63">
            <v>1158.24</v>
          </cell>
          <cell r="E63">
            <v>1259.28</v>
          </cell>
          <cell r="F63">
            <v>1158.24</v>
          </cell>
          <cell r="G63">
            <v>1243.8399999999999</v>
          </cell>
          <cell r="H63">
            <v>1352.34</v>
          </cell>
          <cell r="I63">
            <v>1259.28</v>
          </cell>
          <cell r="J63">
            <v>1259.28</v>
          </cell>
          <cell r="K63">
            <v>1259.28</v>
          </cell>
          <cell r="L63">
            <v>1158.24</v>
          </cell>
          <cell r="M63">
            <v>1259.28</v>
          </cell>
          <cell r="N63">
            <v>1158.24</v>
          </cell>
          <cell r="P63">
            <v>1158.24</v>
          </cell>
          <cell r="Q63">
            <v>1259.28</v>
          </cell>
          <cell r="R63">
            <v>1158.24</v>
          </cell>
          <cell r="S63">
            <v>1158.24</v>
          </cell>
          <cell r="T63">
            <v>1259.28</v>
          </cell>
          <cell r="U63">
            <v>1158.24</v>
          </cell>
          <cell r="V63">
            <v>1259.28</v>
          </cell>
          <cell r="W63">
            <v>1259.28</v>
          </cell>
          <cell r="X63">
            <v>1352.34</v>
          </cell>
          <cell r="Z63">
            <v>19</v>
          </cell>
          <cell r="AD63">
            <v>1259.28</v>
          </cell>
          <cell r="AE63">
            <v>1158.24</v>
          </cell>
          <cell r="AF63">
            <v>1259.28</v>
          </cell>
          <cell r="AI63">
            <v>1352.34</v>
          </cell>
          <cell r="AJ63">
            <v>62</v>
          </cell>
        </row>
        <row r="64">
          <cell r="A64" t="str">
            <v>Vigia</v>
          </cell>
          <cell r="B64">
            <v>1259.28</v>
          </cell>
          <cell r="C64">
            <v>1243.8399999999999</v>
          </cell>
          <cell r="D64">
            <v>1158.24</v>
          </cell>
          <cell r="E64">
            <v>1259.28</v>
          </cell>
          <cell r="F64">
            <v>1158.24</v>
          </cell>
          <cell r="G64">
            <v>1243.8399999999999</v>
          </cell>
          <cell r="H64">
            <v>1352.34</v>
          </cell>
          <cell r="I64">
            <v>1259.28</v>
          </cell>
          <cell r="J64">
            <v>1259.28</v>
          </cell>
          <cell r="K64">
            <v>1259.28</v>
          </cell>
          <cell r="L64">
            <v>1158.24</v>
          </cell>
          <cell r="M64">
            <v>1259.28</v>
          </cell>
          <cell r="N64">
            <v>1158.24</v>
          </cell>
          <cell r="P64">
            <v>1158.24</v>
          </cell>
          <cell r="Q64">
            <v>1259.28</v>
          </cell>
          <cell r="R64">
            <v>1158.24</v>
          </cell>
          <cell r="S64">
            <v>1158.24</v>
          </cell>
          <cell r="T64">
            <v>1259.28</v>
          </cell>
          <cell r="U64">
            <v>1158.24</v>
          </cell>
          <cell r="V64">
            <v>1259.28</v>
          </cell>
          <cell r="W64">
            <v>1259.28</v>
          </cell>
          <cell r="X64">
            <v>1352.34</v>
          </cell>
          <cell r="Z64">
            <v>17</v>
          </cell>
          <cell r="AD64">
            <v>1259.28</v>
          </cell>
          <cell r="AE64">
            <v>1158.24</v>
          </cell>
          <cell r="AF64">
            <v>1259.28</v>
          </cell>
          <cell r="AI64">
            <v>1352.34</v>
          </cell>
          <cell r="AJ64">
            <v>63</v>
          </cell>
        </row>
        <row r="65">
          <cell r="A65" t="str">
            <v>Vigia Orgânico</v>
          </cell>
          <cell r="B65">
            <v>1238.5</v>
          </cell>
          <cell r="C65">
            <v>1475.94</v>
          </cell>
          <cell r="D65">
            <v>1374.37</v>
          </cell>
          <cell r="E65">
            <v>1238.5</v>
          </cell>
          <cell r="F65">
            <v>1374.37</v>
          </cell>
          <cell r="G65">
            <v>1475.94</v>
          </cell>
          <cell r="H65">
            <v>1475.94</v>
          </cell>
          <cell r="I65">
            <v>1238.5</v>
          </cell>
          <cell r="J65">
            <v>1238.5</v>
          </cell>
          <cell r="K65">
            <v>1238.5</v>
          </cell>
          <cell r="L65">
            <v>1374.37</v>
          </cell>
          <cell r="M65">
            <v>1238.5</v>
          </cell>
          <cell r="N65">
            <v>1374.37</v>
          </cell>
          <cell r="P65">
            <v>1374.37</v>
          </cell>
          <cell r="Q65">
            <v>1238.5</v>
          </cell>
          <cell r="R65">
            <v>1374.37</v>
          </cell>
          <cell r="S65">
            <v>1374.37</v>
          </cell>
          <cell r="T65">
            <v>1238.5</v>
          </cell>
          <cell r="U65">
            <v>1374.37</v>
          </cell>
          <cell r="V65">
            <v>1238.5</v>
          </cell>
          <cell r="W65">
            <v>1238.5</v>
          </cell>
          <cell r="X65">
            <v>1352.34</v>
          </cell>
          <cell r="Z65">
            <v>34</v>
          </cell>
          <cell r="AD65">
            <v>1238.5</v>
          </cell>
          <cell r="AE65">
            <v>1374.37</v>
          </cell>
          <cell r="AF65">
            <v>1238.5</v>
          </cell>
          <cell r="AI65">
            <v>1352.34</v>
          </cell>
          <cell r="AJ65">
            <v>64</v>
          </cell>
        </row>
        <row r="66">
          <cell r="A66" t="str">
            <v>Zelador</v>
          </cell>
          <cell r="B66">
            <v>1453.13</v>
          </cell>
          <cell r="C66">
            <v>1435.34</v>
          </cell>
          <cell r="D66">
            <v>1336.56</v>
          </cell>
          <cell r="E66">
            <v>1453.13</v>
          </cell>
          <cell r="F66">
            <v>1336.56</v>
          </cell>
          <cell r="G66">
            <v>1435.34</v>
          </cell>
          <cell r="H66">
            <v>1560.52</v>
          </cell>
          <cell r="I66">
            <v>1453.13</v>
          </cell>
          <cell r="J66">
            <v>1453.13</v>
          </cell>
          <cell r="K66">
            <v>1453.13</v>
          </cell>
          <cell r="L66">
            <v>1336.56</v>
          </cell>
          <cell r="M66">
            <v>1453.13</v>
          </cell>
          <cell r="N66">
            <v>1336.56</v>
          </cell>
          <cell r="O66">
            <v>1196.28</v>
          </cell>
          <cell r="P66">
            <v>1336.56</v>
          </cell>
          <cell r="Q66">
            <v>1453.13</v>
          </cell>
          <cell r="R66">
            <v>1336.56</v>
          </cell>
          <cell r="S66">
            <v>1336.56</v>
          </cell>
          <cell r="T66">
            <v>1453.13</v>
          </cell>
          <cell r="U66">
            <v>1336.56</v>
          </cell>
          <cell r="V66">
            <v>1453.13</v>
          </cell>
          <cell r="W66">
            <v>1453.13</v>
          </cell>
          <cell r="X66">
            <v>1560.52</v>
          </cell>
          <cell r="Z66">
            <v>28</v>
          </cell>
          <cell r="AD66">
            <v>1453.13</v>
          </cell>
          <cell r="AE66">
            <v>1336.56</v>
          </cell>
          <cell r="AF66">
            <v>1453.13</v>
          </cell>
          <cell r="AI66">
            <v>1560.52</v>
          </cell>
          <cell r="AJ66">
            <v>65</v>
          </cell>
        </row>
        <row r="67">
          <cell r="AJ67">
            <v>66</v>
          </cell>
        </row>
        <row r="68">
          <cell r="AJ68">
            <v>67</v>
          </cell>
        </row>
        <row r="69">
          <cell r="AJ69">
            <v>68</v>
          </cell>
        </row>
        <row r="70">
          <cell r="AJ70">
            <v>69</v>
          </cell>
        </row>
        <row r="71">
          <cell r="AJ71">
            <v>70</v>
          </cell>
        </row>
        <row r="72">
          <cell r="AJ72">
            <v>71</v>
          </cell>
        </row>
        <row r="80">
          <cell r="D80" t="str">
            <v>SIM</v>
          </cell>
          <cell r="E80">
            <v>0.6</v>
          </cell>
          <cell r="F80">
            <v>0.1</v>
          </cell>
          <cell r="G80" t="str">
            <v>S.Base</v>
          </cell>
        </row>
        <row r="81">
          <cell r="A81" t="str">
            <v>Serv. Apoio Adm</v>
          </cell>
          <cell r="B81" t="str">
            <v>12x36</v>
          </cell>
          <cell r="C81" t="str">
            <v>Noturno</v>
          </cell>
          <cell r="D81" t="str">
            <v>NÃO</v>
          </cell>
          <cell r="E81">
            <v>0.5</v>
          </cell>
          <cell r="F81">
            <v>0.2</v>
          </cell>
          <cell r="G81" t="str">
            <v>S.Min</v>
          </cell>
        </row>
        <row r="82">
          <cell r="A82" t="str">
            <v>Conservação e Limpeza</v>
          </cell>
          <cell r="B82">
            <v>44</v>
          </cell>
          <cell r="C82" t="str">
            <v>Diurno</v>
          </cell>
          <cell r="E82" t="str">
            <v>NÃO</v>
          </cell>
          <cell r="F82">
            <v>0.4</v>
          </cell>
        </row>
        <row r="83">
          <cell r="A83" t="str">
            <v>Portaria</v>
          </cell>
          <cell r="B83">
            <v>40</v>
          </cell>
          <cell r="F83" t="str">
            <v>NÃO</v>
          </cell>
        </row>
        <row r="84">
          <cell r="A84" t="str">
            <v>Informática</v>
          </cell>
          <cell r="B84">
            <v>30</v>
          </cell>
        </row>
        <row r="85">
          <cell r="A85" t="str">
            <v>Secretariado</v>
          </cell>
          <cell r="B85">
            <v>36</v>
          </cell>
        </row>
        <row r="86">
          <cell r="A86" t="str">
            <v>Telefonia</v>
          </cell>
          <cell r="B86">
            <v>20</v>
          </cell>
        </row>
        <row r="87">
          <cell r="A87" t="str">
            <v>Condutor de Veículos</v>
          </cell>
        </row>
      </sheetData>
      <sheetData sheetId="6">
        <row r="4">
          <cell r="A4" t="str">
            <v>Abadia dos Dourados</v>
          </cell>
          <cell r="B4" t="str">
            <v>MG</v>
          </cell>
          <cell r="C4" t="str">
            <v>UBERLÂNDIA RG</v>
          </cell>
          <cell r="D4" t="str">
            <v>SINTTEL-MG</v>
          </cell>
          <cell r="J4" t="e">
            <v>#N/A</v>
          </cell>
          <cell r="K4" t="e">
            <v>#N/A</v>
          </cell>
        </row>
        <row r="5">
          <cell r="A5" t="str">
            <v>Abaeté</v>
          </cell>
          <cell r="B5" t="str">
            <v>MG</v>
          </cell>
          <cell r="C5" t="str">
            <v>CURVELO</v>
          </cell>
          <cell r="D5" t="str">
            <v>SINTTEL-MG</v>
          </cell>
          <cell r="I5">
            <v>0</v>
          </cell>
          <cell r="J5">
            <v>2.5000000000000001E-2</v>
          </cell>
          <cell r="K5">
            <v>2.5000000000000001E-2</v>
          </cell>
        </row>
        <row r="6">
          <cell r="A6" t="str">
            <v>Abre campo</v>
          </cell>
          <cell r="B6" t="str">
            <v>MG</v>
          </cell>
          <cell r="C6" t="str">
            <v>FETHEMG</v>
          </cell>
          <cell r="D6" t="str">
            <v>SINTTEL-MG</v>
          </cell>
          <cell r="I6">
            <v>0</v>
          </cell>
          <cell r="J6">
            <v>0.02</v>
          </cell>
          <cell r="K6">
            <v>0.03</v>
          </cell>
        </row>
        <row r="7">
          <cell r="A7" t="str">
            <v>Acaiaca</v>
          </cell>
          <cell r="B7" t="str">
            <v>MG</v>
          </cell>
          <cell r="C7" t="str">
            <v>OURO PRETO</v>
          </cell>
          <cell r="D7" t="str">
            <v>SINTTEL-MG</v>
          </cell>
          <cell r="I7">
            <v>0</v>
          </cell>
          <cell r="J7" t="e">
            <v>#N/A</v>
          </cell>
          <cell r="K7" t="e">
            <v>#N/A</v>
          </cell>
        </row>
        <row r="8">
          <cell r="A8" t="str">
            <v>Açucena</v>
          </cell>
          <cell r="B8" t="str">
            <v>MG</v>
          </cell>
          <cell r="C8" t="str">
            <v>FETHEMG</v>
          </cell>
          <cell r="D8" t="str">
            <v>SINTTEL-MG</v>
          </cell>
          <cell r="I8">
            <v>0</v>
          </cell>
          <cell r="J8">
            <v>2.5000000000000001E-2</v>
          </cell>
          <cell r="K8">
            <v>2.5000000000000001E-2</v>
          </cell>
        </row>
        <row r="9">
          <cell r="A9" t="str">
            <v>Água Boa</v>
          </cell>
          <cell r="B9" t="str">
            <v>MG</v>
          </cell>
          <cell r="C9" t="str">
            <v>FETHEMG</v>
          </cell>
          <cell r="D9" t="str">
            <v>SINTTEL-MG</v>
          </cell>
          <cell r="I9">
            <v>0</v>
          </cell>
          <cell r="J9" t="e">
            <v>#N/A</v>
          </cell>
          <cell r="K9" t="e">
            <v>#N/A</v>
          </cell>
        </row>
        <row r="10">
          <cell r="A10" t="str">
            <v>Água Comprida</v>
          </cell>
          <cell r="B10" t="str">
            <v>MG</v>
          </cell>
          <cell r="C10" t="str">
            <v>UBERLÂNDIA RG</v>
          </cell>
          <cell r="D10" t="str">
            <v>SINTTEL-MG</v>
          </cell>
          <cell r="I10">
            <v>0</v>
          </cell>
          <cell r="J10" t="e">
            <v>#N/A</v>
          </cell>
          <cell r="K10" t="e">
            <v>#N/A</v>
          </cell>
        </row>
        <row r="11">
          <cell r="A11" t="str">
            <v>Aguanil</v>
          </cell>
          <cell r="B11" t="str">
            <v>MG</v>
          </cell>
          <cell r="C11" t="str">
            <v>SÃO LOURENÇO RG</v>
          </cell>
          <cell r="D11" t="str">
            <v>SINTTEL-MG</v>
          </cell>
          <cell r="I11">
            <v>0</v>
          </cell>
          <cell r="J11" t="e">
            <v>#N/A</v>
          </cell>
          <cell r="K11" t="e">
            <v>#N/A</v>
          </cell>
        </row>
        <row r="12">
          <cell r="A12" t="str">
            <v>Águas Formosas</v>
          </cell>
          <cell r="B12" t="str">
            <v>MG</v>
          </cell>
          <cell r="C12" t="str">
            <v>TEÓFILO OTONI RG</v>
          </cell>
          <cell r="D12" t="str">
            <v>SINTTEL-MG</v>
          </cell>
          <cell r="I12">
            <v>0</v>
          </cell>
          <cell r="J12">
            <v>0.05</v>
          </cell>
          <cell r="K12">
            <v>0.03</v>
          </cell>
        </row>
        <row r="13">
          <cell r="A13" t="str">
            <v>Águas Vermelhas</v>
          </cell>
          <cell r="B13" t="str">
            <v>MG</v>
          </cell>
          <cell r="C13" t="str">
            <v>FETHEMG</v>
          </cell>
          <cell r="D13" t="str">
            <v>SINTTEL-MG</v>
          </cell>
          <cell r="I13">
            <v>0</v>
          </cell>
          <cell r="J13" t="e">
            <v>#N/A</v>
          </cell>
          <cell r="K13" t="e">
            <v>#N/A</v>
          </cell>
        </row>
        <row r="14">
          <cell r="A14" t="str">
            <v>Aimorés</v>
          </cell>
          <cell r="B14" t="str">
            <v>MG</v>
          </cell>
          <cell r="C14" t="str">
            <v>FETHEMG</v>
          </cell>
          <cell r="D14" t="str">
            <v>SINTTEL-MG</v>
          </cell>
          <cell r="I14">
            <v>0</v>
          </cell>
          <cell r="J14">
            <v>0.05</v>
          </cell>
          <cell r="K14">
            <v>0.05</v>
          </cell>
        </row>
        <row r="15">
          <cell r="A15" t="str">
            <v>Aiuruoca</v>
          </cell>
          <cell r="B15" t="str">
            <v>MG</v>
          </cell>
          <cell r="C15" t="str">
            <v>SÃO LOURENÇO RG</v>
          </cell>
          <cell r="D15" t="str">
            <v>SINTTEL-MG</v>
          </cell>
          <cell r="I15">
            <v>0</v>
          </cell>
          <cell r="J15">
            <v>0.02</v>
          </cell>
          <cell r="K15">
            <v>0.02</v>
          </cell>
        </row>
        <row r="16">
          <cell r="A16" t="str">
            <v>Alagoa</v>
          </cell>
          <cell r="B16" t="str">
            <v>MG</v>
          </cell>
          <cell r="C16" t="str">
            <v>SÃO LOURENÇO RG</v>
          </cell>
          <cell r="D16" t="str">
            <v>SINTTEL-MG</v>
          </cell>
          <cell r="I16">
            <v>0</v>
          </cell>
          <cell r="J16" t="e">
            <v>#N/A</v>
          </cell>
          <cell r="K16" t="e">
            <v>#N/A</v>
          </cell>
        </row>
        <row r="17">
          <cell r="A17" t="str">
            <v>Albertina</v>
          </cell>
          <cell r="B17" t="str">
            <v>MG</v>
          </cell>
          <cell r="C17" t="str">
            <v>SÃO LOURENÇO RG</v>
          </cell>
          <cell r="D17" t="str">
            <v>SINTTEL-MG</v>
          </cell>
          <cell r="I17">
            <v>0</v>
          </cell>
          <cell r="J17" t="e">
            <v>#N/A</v>
          </cell>
          <cell r="K17" t="e">
            <v>#N/A</v>
          </cell>
        </row>
        <row r="18">
          <cell r="A18" t="str">
            <v>Além do Paraíba</v>
          </cell>
          <cell r="B18" t="str">
            <v>MG</v>
          </cell>
          <cell r="C18" t="str">
            <v>CATAGUASES</v>
          </cell>
          <cell r="D18" t="str">
            <v>SINTTEL-MG</v>
          </cell>
          <cell r="I18">
            <v>0</v>
          </cell>
          <cell r="J18" t="e">
            <v>#N/A</v>
          </cell>
          <cell r="K18" t="e">
            <v>#N/A</v>
          </cell>
        </row>
        <row r="19">
          <cell r="A19" t="str">
            <v>Alfenas</v>
          </cell>
          <cell r="B19" t="str">
            <v>MG</v>
          </cell>
          <cell r="C19" t="str">
            <v>SÃO LOURENÇO RG</v>
          </cell>
          <cell r="D19" t="str">
            <v>SINTTEL-MG</v>
          </cell>
          <cell r="I19">
            <v>0</v>
          </cell>
          <cell r="J19">
            <v>0.05</v>
          </cell>
          <cell r="K19">
            <v>0.02</v>
          </cell>
        </row>
        <row r="20">
          <cell r="A20" t="str">
            <v>Alfredo Vasconcelos</v>
          </cell>
          <cell r="B20" t="str">
            <v>MG</v>
          </cell>
          <cell r="C20" t="str">
            <v>FETHEMG</v>
          </cell>
          <cell r="D20" t="str">
            <v>SINTTEL-MG</v>
          </cell>
          <cell r="I20">
            <v>0</v>
          </cell>
          <cell r="J20" t="e">
            <v>#N/A</v>
          </cell>
          <cell r="K20" t="e">
            <v>#N/A</v>
          </cell>
        </row>
        <row r="21">
          <cell r="A21" t="str">
            <v>Almenara</v>
          </cell>
          <cell r="B21" t="str">
            <v>MG</v>
          </cell>
          <cell r="C21" t="str">
            <v>TEÓFILO OTONI RG</v>
          </cell>
          <cell r="D21" t="str">
            <v>SINTTEL-MG</v>
          </cell>
          <cell r="I21">
            <v>0</v>
          </cell>
          <cell r="J21">
            <v>0.05</v>
          </cell>
          <cell r="K21">
            <v>0.05</v>
          </cell>
        </row>
        <row r="22">
          <cell r="A22" t="str">
            <v>Alpercata</v>
          </cell>
          <cell r="B22" t="str">
            <v>MG</v>
          </cell>
          <cell r="C22" t="str">
            <v>FETHEMG</v>
          </cell>
          <cell r="D22" t="str">
            <v>SINTTEL-MG</v>
          </cell>
          <cell r="I22">
            <v>0</v>
          </cell>
          <cell r="J22" t="e">
            <v>#N/A</v>
          </cell>
          <cell r="K22" t="e">
            <v>#N/A</v>
          </cell>
        </row>
        <row r="23">
          <cell r="A23" t="str">
            <v>Alpinópolis</v>
          </cell>
          <cell r="B23" t="str">
            <v>MG</v>
          </cell>
          <cell r="C23" t="str">
            <v>SÃO LOURENÇO RG</v>
          </cell>
          <cell r="D23" t="str">
            <v>SINTTEL-MG</v>
          </cell>
          <cell r="I23">
            <v>0</v>
          </cell>
          <cell r="J23">
            <v>0.02</v>
          </cell>
          <cell r="K23">
            <v>0.02</v>
          </cell>
        </row>
        <row r="24">
          <cell r="A24" t="str">
            <v>Alterosa</v>
          </cell>
          <cell r="B24" t="str">
            <v>MG</v>
          </cell>
          <cell r="C24" t="str">
            <v>SÃO LOURENÇO RG</v>
          </cell>
          <cell r="D24" t="str">
            <v>SINTTEL-MG</v>
          </cell>
          <cell r="I24">
            <v>0</v>
          </cell>
          <cell r="J24" t="e">
            <v>#N/A</v>
          </cell>
          <cell r="K24" t="e">
            <v>#N/A</v>
          </cell>
        </row>
        <row r="25">
          <cell r="A25" t="str">
            <v>Alto Caparaó</v>
          </cell>
          <cell r="B25" t="str">
            <v>MG</v>
          </cell>
          <cell r="C25" t="str">
            <v>FETHEMG</v>
          </cell>
          <cell r="D25" t="str">
            <v>SINTTEL-MG</v>
          </cell>
          <cell r="I25">
            <v>0</v>
          </cell>
          <cell r="J25" t="e">
            <v>#N/A</v>
          </cell>
          <cell r="K25" t="e">
            <v>#N/A</v>
          </cell>
        </row>
        <row r="26">
          <cell r="A26" t="str">
            <v>Alto Jequitibá</v>
          </cell>
          <cell r="B26" t="str">
            <v>MG</v>
          </cell>
          <cell r="C26" t="str">
            <v>FETHEMG</v>
          </cell>
          <cell r="D26" t="str">
            <v>SINTTEL-MG</v>
          </cell>
          <cell r="I26">
            <v>0</v>
          </cell>
          <cell r="J26" t="e">
            <v>#N/A</v>
          </cell>
          <cell r="K26" t="e">
            <v>#N/A</v>
          </cell>
        </row>
        <row r="27">
          <cell r="A27" t="str">
            <v>Alto Rio Doce</v>
          </cell>
          <cell r="B27" t="str">
            <v>MG</v>
          </cell>
          <cell r="C27" t="str">
            <v>JUIZ DE FORA RG</v>
          </cell>
          <cell r="D27" t="str">
            <v>SINTTEL-MG</v>
          </cell>
          <cell r="I27">
            <v>0</v>
          </cell>
          <cell r="J27">
            <v>0.04</v>
          </cell>
          <cell r="K27">
            <v>0.02</v>
          </cell>
        </row>
        <row r="28">
          <cell r="A28" t="str">
            <v>Alvarenga</v>
          </cell>
          <cell r="B28" t="str">
            <v>MG</v>
          </cell>
          <cell r="C28" t="str">
            <v>FETHEMG</v>
          </cell>
          <cell r="D28" t="str">
            <v>SINTTEL-MG</v>
          </cell>
          <cell r="I28">
            <v>0</v>
          </cell>
          <cell r="J28" t="e">
            <v>#N/A</v>
          </cell>
          <cell r="K28" t="e">
            <v>#N/A</v>
          </cell>
        </row>
        <row r="29">
          <cell r="A29" t="str">
            <v>Alvinópolis</v>
          </cell>
          <cell r="B29" t="str">
            <v>MG</v>
          </cell>
          <cell r="C29" t="str">
            <v>JOÃO MONLEVADE RG</v>
          </cell>
          <cell r="D29" t="str">
            <v>SINTTEL-MG</v>
          </cell>
          <cell r="I29">
            <v>0</v>
          </cell>
          <cell r="J29">
            <v>2.5000000000000001E-2</v>
          </cell>
          <cell r="K29">
            <v>2.5000000000000001E-2</v>
          </cell>
        </row>
        <row r="30">
          <cell r="A30" t="str">
            <v>Alvorada de Minas</v>
          </cell>
          <cell r="B30" t="str">
            <v>MG</v>
          </cell>
          <cell r="C30" t="str">
            <v>CURVELO</v>
          </cell>
          <cell r="D30" t="str">
            <v>SINTTEL-MG</v>
          </cell>
          <cell r="I30">
            <v>0</v>
          </cell>
          <cell r="J30" t="e">
            <v>#N/A</v>
          </cell>
          <cell r="K30" t="e">
            <v>#N/A</v>
          </cell>
        </row>
        <row r="31">
          <cell r="A31" t="str">
            <v>Amparo do Serra</v>
          </cell>
          <cell r="B31" t="str">
            <v>MG</v>
          </cell>
          <cell r="C31" t="str">
            <v>FETHEMG</v>
          </cell>
          <cell r="D31" t="str">
            <v>SINTTEL-MG</v>
          </cell>
          <cell r="I31">
            <v>0</v>
          </cell>
          <cell r="J31" t="e">
            <v>#N/A</v>
          </cell>
          <cell r="K31" t="e">
            <v>#N/A</v>
          </cell>
        </row>
        <row r="32">
          <cell r="A32" t="str">
            <v>Andradas</v>
          </cell>
          <cell r="B32" t="str">
            <v>MG</v>
          </cell>
          <cell r="C32" t="str">
            <v>SÃO LOURENÇO RG</v>
          </cell>
          <cell r="D32" t="str">
            <v>SINTTEL-MG</v>
          </cell>
          <cell r="I32">
            <v>0</v>
          </cell>
          <cell r="J32">
            <v>0.05</v>
          </cell>
          <cell r="K32">
            <v>0.05</v>
          </cell>
        </row>
        <row r="33">
          <cell r="A33" t="str">
            <v>Andrelândia</v>
          </cell>
          <cell r="B33" t="str">
            <v>MG</v>
          </cell>
          <cell r="C33" t="str">
            <v>SÃO LOURENÇO RG</v>
          </cell>
          <cell r="D33" t="str">
            <v>SINTTEL-MG</v>
          </cell>
          <cell r="I33">
            <v>0</v>
          </cell>
          <cell r="J33">
            <v>0.02</v>
          </cell>
          <cell r="K33">
            <v>0.02</v>
          </cell>
        </row>
        <row r="34">
          <cell r="A34" t="str">
            <v>Andrequice</v>
          </cell>
          <cell r="B34" t="str">
            <v>MG</v>
          </cell>
          <cell r="D34" t="str">
            <v>SINTTEL-MG</v>
          </cell>
          <cell r="I34">
            <v>0</v>
          </cell>
          <cell r="J34" t="e">
            <v>#N/A</v>
          </cell>
          <cell r="K34" t="e">
            <v>#N/A</v>
          </cell>
        </row>
        <row r="35">
          <cell r="A35" t="str">
            <v>Angelândia</v>
          </cell>
          <cell r="B35" t="str">
            <v>MG</v>
          </cell>
          <cell r="C35" t="str">
            <v>FETHEMG</v>
          </cell>
          <cell r="D35" t="str">
            <v>SINTTEL-MG</v>
          </cell>
          <cell r="I35">
            <v>0</v>
          </cell>
          <cell r="J35" t="e">
            <v>#N/A</v>
          </cell>
          <cell r="K35" t="e">
            <v>#N/A</v>
          </cell>
        </row>
        <row r="36">
          <cell r="A36" t="str">
            <v>Angicos</v>
          </cell>
          <cell r="B36" t="str">
            <v>MG</v>
          </cell>
          <cell r="D36" t="str">
            <v>SINTTEL-MG</v>
          </cell>
          <cell r="I36">
            <v>0</v>
          </cell>
          <cell r="J36" t="e">
            <v>#N/A</v>
          </cell>
          <cell r="K36" t="e">
            <v>#N/A</v>
          </cell>
        </row>
        <row r="37">
          <cell r="A37" t="str">
            <v>Antônio Carlos</v>
          </cell>
          <cell r="B37" t="str">
            <v>MG</v>
          </cell>
          <cell r="C37" t="str">
            <v>JUIZ DE FORA RG</v>
          </cell>
          <cell r="D37" t="str">
            <v>SINTTEL-MG</v>
          </cell>
          <cell r="I37">
            <v>0</v>
          </cell>
          <cell r="J37" t="e">
            <v>#N/A</v>
          </cell>
          <cell r="K37" t="e">
            <v>#N/A</v>
          </cell>
        </row>
        <row r="38">
          <cell r="A38" t="str">
            <v>Antônio Dias</v>
          </cell>
          <cell r="B38" t="str">
            <v>MG</v>
          </cell>
          <cell r="C38" t="str">
            <v>FETHEMG</v>
          </cell>
          <cell r="D38" t="str">
            <v>SINTTEL-MG</v>
          </cell>
          <cell r="I38">
            <v>0</v>
          </cell>
          <cell r="J38" t="e">
            <v>#N/A</v>
          </cell>
          <cell r="K38" t="e">
            <v>#N/A</v>
          </cell>
        </row>
        <row r="39">
          <cell r="A39" t="str">
            <v>Antônio Prado de Minas</v>
          </cell>
          <cell r="B39" t="str">
            <v>MG</v>
          </cell>
          <cell r="C39" t="str">
            <v>JUIZ DE FORA RG</v>
          </cell>
          <cell r="D39" t="str">
            <v>SINTTEL-MG</v>
          </cell>
          <cell r="I39">
            <v>0</v>
          </cell>
          <cell r="J39" t="e">
            <v>#N/A</v>
          </cell>
          <cell r="K39" t="e">
            <v>#N/A</v>
          </cell>
        </row>
        <row r="40">
          <cell r="A40" t="str">
            <v>Araçaí</v>
          </cell>
          <cell r="B40" t="str">
            <v>MG</v>
          </cell>
          <cell r="C40" t="str">
            <v>TEÓFILO OTONI RG</v>
          </cell>
          <cell r="D40" t="str">
            <v>SINTTEL-MG</v>
          </cell>
          <cell r="I40">
            <v>0</v>
          </cell>
          <cell r="J40" t="e">
            <v>#N/A</v>
          </cell>
          <cell r="K40" t="e">
            <v>#N/A</v>
          </cell>
        </row>
        <row r="41">
          <cell r="A41" t="str">
            <v>Aracitaba</v>
          </cell>
          <cell r="B41" t="str">
            <v>MG</v>
          </cell>
          <cell r="C41" t="str">
            <v>JUIZ DE FORA RG</v>
          </cell>
          <cell r="D41" t="str">
            <v>SINTTEL-MG</v>
          </cell>
          <cell r="I41">
            <v>0</v>
          </cell>
          <cell r="J41" t="e">
            <v>#N/A</v>
          </cell>
          <cell r="K41" t="e">
            <v>#N/A</v>
          </cell>
        </row>
        <row r="42">
          <cell r="A42" t="str">
            <v>Araçuaí</v>
          </cell>
          <cell r="B42" t="str">
            <v>MG</v>
          </cell>
          <cell r="C42" t="str">
            <v>FETHEMG</v>
          </cell>
          <cell r="D42" t="str">
            <v>SINTTEL-MG</v>
          </cell>
          <cell r="I42">
            <v>0</v>
          </cell>
          <cell r="J42">
            <v>0.03</v>
          </cell>
          <cell r="K42">
            <v>0.03</v>
          </cell>
        </row>
        <row r="43">
          <cell r="A43" t="str">
            <v>Araguarí</v>
          </cell>
          <cell r="B43" t="str">
            <v>MG</v>
          </cell>
          <cell r="C43" t="str">
            <v>UBERLÂNDIA RG</v>
          </cell>
          <cell r="D43" t="str">
            <v>SINTTEL-MG</v>
          </cell>
          <cell r="I43">
            <v>0</v>
          </cell>
          <cell r="J43" t="e">
            <v>#N/A</v>
          </cell>
          <cell r="K43" t="e">
            <v>#N/A</v>
          </cell>
        </row>
        <row r="44">
          <cell r="A44" t="str">
            <v>Arantina</v>
          </cell>
          <cell r="B44" t="str">
            <v>MG</v>
          </cell>
          <cell r="C44" t="str">
            <v>JUIZ DE FORA RG</v>
          </cell>
          <cell r="D44" t="str">
            <v>SINTTEL-MG</v>
          </cell>
          <cell r="I44">
            <v>0</v>
          </cell>
          <cell r="J44" t="e">
            <v>#N/A</v>
          </cell>
          <cell r="K44" t="e">
            <v>#N/A</v>
          </cell>
        </row>
        <row r="45">
          <cell r="A45" t="str">
            <v>Araponga</v>
          </cell>
          <cell r="B45" t="str">
            <v>MG</v>
          </cell>
          <cell r="C45" t="str">
            <v>JUIZ DE FORA RG</v>
          </cell>
          <cell r="D45" t="str">
            <v>SINTTEL-MG</v>
          </cell>
          <cell r="I45">
            <v>0</v>
          </cell>
          <cell r="J45" t="e">
            <v>#N/A</v>
          </cell>
          <cell r="K45" t="e">
            <v>#N/A</v>
          </cell>
        </row>
        <row r="46">
          <cell r="A46" t="str">
            <v>Araporã</v>
          </cell>
          <cell r="B46" t="str">
            <v>MG</v>
          </cell>
          <cell r="C46" t="str">
            <v>UBERLÂNDIA RG</v>
          </cell>
          <cell r="D46" t="str">
            <v>SINTTEL-MG</v>
          </cell>
          <cell r="I46">
            <v>0</v>
          </cell>
          <cell r="J46">
            <v>0.02</v>
          </cell>
          <cell r="K46">
            <v>0.02</v>
          </cell>
        </row>
        <row r="47">
          <cell r="A47" t="str">
            <v>Arapuá</v>
          </cell>
          <cell r="B47" t="str">
            <v>MG</v>
          </cell>
          <cell r="C47" t="str">
            <v>FETHEMG</v>
          </cell>
          <cell r="D47" t="str">
            <v>SINTTEL-MG</v>
          </cell>
          <cell r="I47">
            <v>0</v>
          </cell>
          <cell r="J47" t="e">
            <v>#N/A</v>
          </cell>
          <cell r="K47" t="e">
            <v>#N/A</v>
          </cell>
        </row>
        <row r="48">
          <cell r="A48" t="str">
            <v>Araújos</v>
          </cell>
          <cell r="B48" t="str">
            <v>MG</v>
          </cell>
          <cell r="C48" t="str">
            <v>DIVINÓPOLIS RG</v>
          </cell>
          <cell r="D48" t="str">
            <v>SINTTEL-MG</v>
          </cell>
          <cell r="I48">
            <v>0</v>
          </cell>
          <cell r="J48" t="e">
            <v>#N/A</v>
          </cell>
          <cell r="K48" t="e">
            <v>#N/A</v>
          </cell>
        </row>
        <row r="49">
          <cell r="A49" t="str">
            <v>Araxá</v>
          </cell>
          <cell r="B49" t="str">
            <v>MG</v>
          </cell>
          <cell r="C49" t="str">
            <v>ARAXÁ</v>
          </cell>
          <cell r="D49" t="str">
            <v>SINTTEL-MG</v>
          </cell>
          <cell r="I49">
            <v>0</v>
          </cell>
          <cell r="J49">
            <v>0.02</v>
          </cell>
          <cell r="K49">
            <v>0.02</v>
          </cell>
        </row>
        <row r="50">
          <cell r="A50" t="str">
            <v>Arceburgo</v>
          </cell>
          <cell r="B50" t="str">
            <v>MG</v>
          </cell>
          <cell r="C50" t="str">
            <v>SÃO LOURENÇO RG</v>
          </cell>
          <cell r="D50" t="str">
            <v>SINTTEL-MG</v>
          </cell>
          <cell r="I50">
            <v>0</v>
          </cell>
          <cell r="J50" t="e">
            <v>#N/A</v>
          </cell>
          <cell r="K50" t="e">
            <v>#N/A</v>
          </cell>
        </row>
        <row r="51">
          <cell r="A51" t="str">
            <v>Arcos</v>
          </cell>
          <cell r="B51" t="str">
            <v>MG</v>
          </cell>
          <cell r="C51" t="str">
            <v>DIVINÓPOLIS RG</v>
          </cell>
          <cell r="D51" t="str">
            <v>SINTTEL-MG</v>
          </cell>
          <cell r="I51">
            <v>0</v>
          </cell>
          <cell r="J51">
            <v>0.02</v>
          </cell>
          <cell r="K51">
            <v>0.02</v>
          </cell>
        </row>
        <row r="52">
          <cell r="A52" t="str">
            <v>Areado</v>
          </cell>
          <cell r="B52" t="str">
            <v>MG</v>
          </cell>
          <cell r="C52" t="str">
            <v>SÃO LOURENÇO RG</v>
          </cell>
          <cell r="D52" t="str">
            <v>SINTTEL-MG</v>
          </cell>
          <cell r="I52">
            <v>0</v>
          </cell>
          <cell r="J52">
            <v>0.03</v>
          </cell>
          <cell r="K52">
            <v>0.03</v>
          </cell>
        </row>
        <row r="53">
          <cell r="A53" t="str">
            <v>Argirita</v>
          </cell>
          <cell r="B53" t="str">
            <v>MG</v>
          </cell>
          <cell r="C53" t="str">
            <v>JUIZ DE FORA RG</v>
          </cell>
          <cell r="D53" t="str">
            <v>SINTTEL-MG</v>
          </cell>
          <cell r="I53">
            <v>0</v>
          </cell>
          <cell r="J53" t="e">
            <v>#N/A</v>
          </cell>
          <cell r="K53" t="e">
            <v>#N/A</v>
          </cell>
        </row>
        <row r="54">
          <cell r="A54" t="str">
            <v>Aricanduva</v>
          </cell>
          <cell r="B54" t="str">
            <v>MG</v>
          </cell>
          <cell r="C54" t="str">
            <v>FETHEMG</v>
          </cell>
          <cell r="D54" t="str">
            <v>SINTTEL-MG</v>
          </cell>
          <cell r="I54">
            <v>0</v>
          </cell>
          <cell r="J54" t="e">
            <v>#N/A</v>
          </cell>
          <cell r="K54" t="e">
            <v>#N/A</v>
          </cell>
        </row>
        <row r="55">
          <cell r="A55" t="str">
            <v>Arinos</v>
          </cell>
          <cell r="B55" t="str">
            <v>MG</v>
          </cell>
          <cell r="C55" t="str">
            <v>FETHEMG</v>
          </cell>
          <cell r="D55" t="str">
            <v>SINTTEL-MG</v>
          </cell>
          <cell r="I55">
            <v>0</v>
          </cell>
          <cell r="J55">
            <v>0.03</v>
          </cell>
          <cell r="K55">
            <v>0.02</v>
          </cell>
        </row>
        <row r="56">
          <cell r="A56" t="str">
            <v>Astolfo Dutra</v>
          </cell>
          <cell r="B56" t="str">
            <v>MG</v>
          </cell>
          <cell r="C56" t="str">
            <v>CATAGUASES</v>
          </cell>
          <cell r="D56" t="str">
            <v>SINTTEL-MG</v>
          </cell>
          <cell r="I56">
            <v>0</v>
          </cell>
          <cell r="J56" t="e">
            <v>#N/A</v>
          </cell>
          <cell r="K56" t="e">
            <v>#N/A</v>
          </cell>
        </row>
        <row r="57">
          <cell r="A57" t="str">
            <v>Ataléia</v>
          </cell>
          <cell r="B57" t="str">
            <v>MG</v>
          </cell>
          <cell r="C57" t="str">
            <v>TEÓFILO OTONI RG</v>
          </cell>
          <cell r="D57" t="str">
            <v>SINTTEL-MG</v>
          </cell>
          <cell r="I57">
            <v>0</v>
          </cell>
          <cell r="J57" t="e">
            <v>#N/A</v>
          </cell>
          <cell r="K57" t="e">
            <v>#N/A</v>
          </cell>
        </row>
        <row r="58">
          <cell r="A58" t="str">
            <v>Augusto de Lima</v>
          </cell>
          <cell r="B58" t="str">
            <v>MG</v>
          </cell>
          <cell r="C58" t="str">
            <v>CURVELO</v>
          </cell>
          <cell r="D58" t="str">
            <v>SINTTEL-MG</v>
          </cell>
          <cell r="I58">
            <v>0</v>
          </cell>
          <cell r="J58" t="e">
            <v>#N/A</v>
          </cell>
          <cell r="K58" t="e">
            <v>#N/A</v>
          </cell>
        </row>
        <row r="59">
          <cell r="A59" t="str">
            <v>Baependi</v>
          </cell>
          <cell r="B59" t="str">
            <v>MG</v>
          </cell>
          <cell r="C59" t="str">
            <v>SÃO LOURENÇO RG</v>
          </cell>
          <cell r="D59" t="str">
            <v>SINTTEL-MG</v>
          </cell>
          <cell r="I59">
            <v>0</v>
          </cell>
          <cell r="J59">
            <v>0.03</v>
          </cell>
          <cell r="K59">
            <v>0.03</v>
          </cell>
        </row>
        <row r="60">
          <cell r="A60" t="str">
            <v>Baldim</v>
          </cell>
          <cell r="B60" t="str">
            <v>MG</v>
          </cell>
          <cell r="C60" t="str">
            <v>SETE LAGOAS</v>
          </cell>
          <cell r="D60" t="str">
            <v>SINTTEL-MG</v>
          </cell>
          <cell r="I60">
            <v>0</v>
          </cell>
          <cell r="J60" t="e">
            <v>#N/A</v>
          </cell>
          <cell r="K60" t="e">
            <v>#N/A</v>
          </cell>
        </row>
        <row r="61">
          <cell r="A61" t="str">
            <v>Bambuí</v>
          </cell>
          <cell r="B61" t="str">
            <v>MG</v>
          </cell>
          <cell r="C61" t="str">
            <v>DIVINÓPOLIS RG</v>
          </cell>
          <cell r="D61" t="str">
            <v>SINTTEL-MG</v>
          </cell>
          <cell r="I61">
            <v>0</v>
          </cell>
          <cell r="J61">
            <v>0.03</v>
          </cell>
          <cell r="K61">
            <v>0.03</v>
          </cell>
        </row>
        <row r="62">
          <cell r="A62" t="str">
            <v>Bandeira</v>
          </cell>
          <cell r="B62" t="str">
            <v>MG</v>
          </cell>
          <cell r="C62" t="str">
            <v>FETHEMG</v>
          </cell>
          <cell r="D62" t="str">
            <v>SINTTEL-MG</v>
          </cell>
          <cell r="I62">
            <v>0</v>
          </cell>
          <cell r="J62" t="e">
            <v>#N/A</v>
          </cell>
          <cell r="K62" t="e">
            <v>#N/A</v>
          </cell>
        </row>
        <row r="63">
          <cell r="A63" t="str">
            <v>Bandeira do Sul</v>
          </cell>
          <cell r="B63" t="str">
            <v>MG</v>
          </cell>
          <cell r="C63" t="str">
            <v>SÃO LOURENÇO RG</v>
          </cell>
          <cell r="D63" t="str">
            <v>SINTTEL-MG</v>
          </cell>
          <cell r="I63">
            <v>0</v>
          </cell>
          <cell r="J63" t="e">
            <v>#N/A</v>
          </cell>
          <cell r="K63" t="e">
            <v>#N/A</v>
          </cell>
        </row>
        <row r="64">
          <cell r="A64" t="str">
            <v>Barão de Cocais</v>
          </cell>
          <cell r="B64" t="str">
            <v>MG</v>
          </cell>
          <cell r="C64" t="str">
            <v>JOÃO MONLEVADE RG</v>
          </cell>
          <cell r="D64" t="str">
            <v>SINTTEL-MG</v>
          </cell>
          <cell r="I64">
            <v>0</v>
          </cell>
          <cell r="J64">
            <v>0.02</v>
          </cell>
          <cell r="K64">
            <v>0.02</v>
          </cell>
        </row>
        <row r="65">
          <cell r="A65" t="str">
            <v>Barão de Monte Alto</v>
          </cell>
          <cell r="B65" t="str">
            <v>MG</v>
          </cell>
          <cell r="C65" t="str">
            <v>JUIZ DE FORA RG</v>
          </cell>
          <cell r="D65" t="str">
            <v>SINTTEL-MG</v>
          </cell>
          <cell r="I65">
            <v>0</v>
          </cell>
          <cell r="J65" t="e">
            <v>#N/A</v>
          </cell>
          <cell r="K65" t="e">
            <v>#N/A</v>
          </cell>
        </row>
        <row r="66">
          <cell r="A66" t="str">
            <v>Barbacena</v>
          </cell>
          <cell r="B66" t="str">
            <v>MG</v>
          </cell>
          <cell r="C66" t="str">
            <v>JUIZ DE FORA RG</v>
          </cell>
          <cell r="D66" t="str">
            <v>SINTTEL-MG</v>
          </cell>
          <cell r="I66">
            <v>0</v>
          </cell>
          <cell r="J66">
            <v>2.5000000000000001E-2</v>
          </cell>
          <cell r="K66">
            <v>3.5000000000000003E-2</v>
          </cell>
        </row>
        <row r="67">
          <cell r="A67" t="str">
            <v>Barra Longa</v>
          </cell>
          <cell r="B67" t="str">
            <v>MG</v>
          </cell>
          <cell r="C67" t="str">
            <v>OURO PRETO</v>
          </cell>
          <cell r="D67" t="str">
            <v>SINTTEL-MG</v>
          </cell>
          <cell r="I67">
            <v>0</v>
          </cell>
          <cell r="J67" t="e">
            <v>#N/A</v>
          </cell>
          <cell r="K67" t="e">
            <v>#N/A</v>
          </cell>
        </row>
        <row r="68">
          <cell r="A68" t="str">
            <v>Barroso</v>
          </cell>
          <cell r="B68" t="str">
            <v>MG</v>
          </cell>
          <cell r="C68" t="str">
            <v>JUIZ DE FORA RG</v>
          </cell>
          <cell r="D68" t="str">
            <v>SINTTEL-MG</v>
          </cell>
          <cell r="I68">
            <v>0</v>
          </cell>
          <cell r="J68">
            <v>0.04</v>
          </cell>
          <cell r="K68">
            <v>0.04</v>
          </cell>
        </row>
        <row r="69">
          <cell r="A69" t="str">
            <v>Bela Vista de Minas</v>
          </cell>
          <cell r="B69" t="str">
            <v>MG</v>
          </cell>
          <cell r="C69" t="str">
            <v>JOÃO MONLEVADE RG</v>
          </cell>
          <cell r="D69" t="str">
            <v>SINTTEL-MG</v>
          </cell>
          <cell r="I69">
            <v>0</v>
          </cell>
          <cell r="J69" t="e">
            <v>#N/A</v>
          </cell>
          <cell r="K69" t="e">
            <v>#N/A</v>
          </cell>
        </row>
        <row r="70">
          <cell r="A70" t="str">
            <v>Belmiro Braga</v>
          </cell>
          <cell r="B70" t="str">
            <v>MG</v>
          </cell>
          <cell r="C70" t="str">
            <v>JUIZ DE FORA RG</v>
          </cell>
          <cell r="D70" t="str">
            <v>SINTTEL-MG</v>
          </cell>
          <cell r="I70">
            <v>0</v>
          </cell>
          <cell r="J70" t="e">
            <v>#N/A</v>
          </cell>
          <cell r="K70" t="e">
            <v>#N/A</v>
          </cell>
        </row>
        <row r="71">
          <cell r="A71" t="str">
            <v>Belo Horizonte</v>
          </cell>
          <cell r="B71" t="str">
            <v>MG</v>
          </cell>
          <cell r="C71" t="str">
            <v>SINDEAC</v>
          </cell>
          <cell r="D71" t="str">
            <v>SINTTEL-MG</v>
          </cell>
          <cell r="E71" t="str">
            <v>Rodoviários-BH</v>
          </cell>
          <cell r="F71" t="str">
            <v>SINDUSCON-BH</v>
          </cell>
          <cell r="G71" t="str">
            <v>SETTASPOC</v>
          </cell>
          <cell r="H71" t="str">
            <v>SECRETARIAS-MG</v>
          </cell>
          <cell r="I71">
            <v>4.05</v>
          </cell>
          <cell r="J71">
            <v>0.05</v>
          </cell>
          <cell r="K71">
            <v>0.05</v>
          </cell>
        </row>
        <row r="72">
          <cell r="A72" t="str">
            <v>Belo Oriente</v>
          </cell>
          <cell r="B72" t="str">
            <v>MG</v>
          </cell>
          <cell r="C72" t="str">
            <v>VALE DO AÇO</v>
          </cell>
          <cell r="D72" t="str">
            <v>SINTTEL-MG</v>
          </cell>
          <cell r="I72">
            <v>0</v>
          </cell>
          <cell r="J72" t="e">
            <v>#N/A</v>
          </cell>
          <cell r="K72" t="e">
            <v>#N/A</v>
          </cell>
        </row>
        <row r="73">
          <cell r="A73" t="str">
            <v>Belo Vale</v>
          </cell>
          <cell r="B73" t="str">
            <v>MG</v>
          </cell>
          <cell r="C73" t="str">
            <v>FETHEMG</v>
          </cell>
          <cell r="D73" t="str">
            <v>SINTTEL-MG</v>
          </cell>
          <cell r="I73">
            <v>0</v>
          </cell>
          <cell r="J73">
            <v>0.02</v>
          </cell>
          <cell r="K73">
            <v>0.02</v>
          </cell>
        </row>
        <row r="74">
          <cell r="A74" t="str">
            <v>Berilo</v>
          </cell>
          <cell r="B74" t="str">
            <v>MG</v>
          </cell>
          <cell r="C74" t="str">
            <v>FETHEMG</v>
          </cell>
          <cell r="D74" t="str">
            <v>SINTTEL-MG</v>
          </cell>
          <cell r="I74">
            <v>0</v>
          </cell>
          <cell r="J74" t="e">
            <v>#N/A</v>
          </cell>
          <cell r="K74" t="e">
            <v>#N/A</v>
          </cell>
        </row>
        <row r="75">
          <cell r="A75" t="str">
            <v>Berizal</v>
          </cell>
          <cell r="B75" t="str">
            <v>MG</v>
          </cell>
          <cell r="C75" t="str">
            <v>FETHEMG</v>
          </cell>
          <cell r="D75" t="str">
            <v>SINTTEL-MG</v>
          </cell>
          <cell r="I75">
            <v>0</v>
          </cell>
          <cell r="J75" t="e">
            <v>#N/A</v>
          </cell>
          <cell r="K75" t="e">
            <v>#N/A</v>
          </cell>
        </row>
        <row r="76">
          <cell r="A76" t="str">
            <v>Bertópolis</v>
          </cell>
          <cell r="B76" t="str">
            <v>MG</v>
          </cell>
          <cell r="C76" t="str">
            <v>FETHEMG</v>
          </cell>
          <cell r="D76" t="str">
            <v>SINTTEL-MG</v>
          </cell>
          <cell r="I76">
            <v>0</v>
          </cell>
          <cell r="J76" t="e">
            <v>#N/A</v>
          </cell>
          <cell r="K76" t="e">
            <v>#N/A</v>
          </cell>
        </row>
        <row r="77">
          <cell r="A77" t="str">
            <v>Betim</v>
          </cell>
          <cell r="B77" t="str">
            <v>MG</v>
          </cell>
          <cell r="C77" t="str">
            <v>SIND- ASSEIO</v>
          </cell>
          <cell r="D77" t="str">
            <v>SINTTEL-MG</v>
          </cell>
          <cell r="I77">
            <v>0</v>
          </cell>
          <cell r="J77">
            <v>2.5000000000000001E-2</v>
          </cell>
          <cell r="K77">
            <v>2.5000000000000001E-2</v>
          </cell>
        </row>
        <row r="78">
          <cell r="A78" t="str">
            <v>Bias Fortes</v>
          </cell>
          <cell r="B78" t="str">
            <v>MG</v>
          </cell>
          <cell r="C78" t="str">
            <v>JUIZ DE FORA RG</v>
          </cell>
          <cell r="D78" t="str">
            <v>SINTTEL-MG</v>
          </cell>
          <cell r="I78">
            <v>0</v>
          </cell>
          <cell r="J78" t="e">
            <v>#N/A</v>
          </cell>
          <cell r="K78" t="e">
            <v>#N/A</v>
          </cell>
        </row>
        <row r="79">
          <cell r="A79" t="str">
            <v>Bicas</v>
          </cell>
          <cell r="B79" t="str">
            <v>MG</v>
          </cell>
          <cell r="C79" t="str">
            <v>JUIZ DE FORA RG</v>
          </cell>
          <cell r="D79" t="str">
            <v>SINTTEL-MG</v>
          </cell>
          <cell r="I79">
            <v>0</v>
          </cell>
          <cell r="J79">
            <v>0.02</v>
          </cell>
          <cell r="K79">
            <v>0.02</v>
          </cell>
        </row>
        <row r="80">
          <cell r="A80" t="str">
            <v>Biquinhas</v>
          </cell>
          <cell r="B80" t="str">
            <v>MG</v>
          </cell>
          <cell r="C80" t="str">
            <v>FETHEMG</v>
          </cell>
          <cell r="D80" t="str">
            <v>SINTTEL-MG</v>
          </cell>
          <cell r="I80">
            <v>0</v>
          </cell>
          <cell r="J80" t="e">
            <v>#N/A</v>
          </cell>
          <cell r="K80" t="e">
            <v>#N/A</v>
          </cell>
        </row>
        <row r="81">
          <cell r="A81" t="str">
            <v>Boa Esperança</v>
          </cell>
          <cell r="B81" t="str">
            <v>MG</v>
          </cell>
          <cell r="C81" t="str">
            <v>SÃO LOURENÇO RG</v>
          </cell>
          <cell r="D81" t="str">
            <v>SINTTEL-MG</v>
          </cell>
          <cell r="I81">
            <v>0</v>
          </cell>
          <cell r="J81">
            <v>2.5000000000000001E-2</v>
          </cell>
          <cell r="K81">
            <v>2.5000000000000001E-2</v>
          </cell>
        </row>
        <row r="82">
          <cell r="A82" t="str">
            <v>Bocaina de Minas</v>
          </cell>
          <cell r="B82" t="str">
            <v>MG</v>
          </cell>
          <cell r="C82" t="str">
            <v>SÃO LOURENÇO RG</v>
          </cell>
          <cell r="D82" t="str">
            <v>SINTTEL-MG</v>
          </cell>
          <cell r="I82">
            <v>0</v>
          </cell>
          <cell r="J82" t="e">
            <v>#N/A</v>
          </cell>
          <cell r="K82" t="e">
            <v>#N/A</v>
          </cell>
        </row>
        <row r="83">
          <cell r="A83" t="str">
            <v>Bocaiúva</v>
          </cell>
          <cell r="B83" t="str">
            <v>MG</v>
          </cell>
          <cell r="C83" t="str">
            <v>MONTES CLAROS RG</v>
          </cell>
          <cell r="D83" t="str">
            <v>SINTTEL-MG</v>
          </cell>
          <cell r="I83">
            <v>0</v>
          </cell>
          <cell r="J83">
            <v>0.03</v>
          </cell>
          <cell r="K83">
            <v>0.03</v>
          </cell>
        </row>
        <row r="84">
          <cell r="A84" t="str">
            <v>Bom Despacho</v>
          </cell>
          <cell r="B84" t="str">
            <v>MG</v>
          </cell>
          <cell r="C84" t="str">
            <v>FETHEMG</v>
          </cell>
          <cell r="D84" t="str">
            <v>SINTTEL-MG</v>
          </cell>
          <cell r="I84">
            <v>0</v>
          </cell>
          <cell r="J84">
            <v>0.03</v>
          </cell>
          <cell r="K84">
            <v>0.03</v>
          </cell>
        </row>
        <row r="85">
          <cell r="A85" t="str">
            <v>Bom Jardim de Minas</v>
          </cell>
          <cell r="B85" t="str">
            <v>MG</v>
          </cell>
          <cell r="C85" t="str">
            <v>JUIZ DE FORA RG</v>
          </cell>
          <cell r="D85" t="str">
            <v>SINTTEL-MG</v>
          </cell>
          <cell r="I85">
            <v>0</v>
          </cell>
          <cell r="J85" t="e">
            <v>#N/A</v>
          </cell>
          <cell r="K85" t="e">
            <v>#N/A</v>
          </cell>
        </row>
        <row r="86">
          <cell r="A86" t="str">
            <v>Bom Jesus da Penha</v>
          </cell>
          <cell r="B86" t="str">
            <v>MG</v>
          </cell>
          <cell r="C86" t="str">
            <v>SÃO LOURENÇO RG</v>
          </cell>
          <cell r="D86" t="str">
            <v>SINTTEL-MG</v>
          </cell>
          <cell r="I86">
            <v>0</v>
          </cell>
          <cell r="J86" t="e">
            <v>#N/A</v>
          </cell>
          <cell r="K86" t="e">
            <v>#N/A</v>
          </cell>
        </row>
        <row r="87">
          <cell r="A87" t="str">
            <v>Bom Jesus do Amparo</v>
          </cell>
          <cell r="B87" t="str">
            <v>MG</v>
          </cell>
          <cell r="C87" t="str">
            <v>ITABIRA RG</v>
          </cell>
          <cell r="D87" t="str">
            <v>SINTTEL-MG</v>
          </cell>
          <cell r="I87">
            <v>0</v>
          </cell>
          <cell r="J87" t="e">
            <v>#N/A</v>
          </cell>
          <cell r="K87" t="e">
            <v>#N/A</v>
          </cell>
        </row>
        <row r="88">
          <cell r="A88" t="str">
            <v>Bom Jesus do Galho</v>
          </cell>
          <cell r="B88" t="str">
            <v>MG</v>
          </cell>
          <cell r="C88" t="str">
            <v>FETHEMG</v>
          </cell>
          <cell r="D88" t="str">
            <v>SINTTEL-MG</v>
          </cell>
          <cell r="I88">
            <v>0</v>
          </cell>
          <cell r="J88" t="e">
            <v>#N/A</v>
          </cell>
          <cell r="K88" t="e">
            <v>#N/A</v>
          </cell>
        </row>
        <row r="89">
          <cell r="A89" t="str">
            <v>Bom Repouso</v>
          </cell>
          <cell r="B89" t="str">
            <v>MG</v>
          </cell>
          <cell r="C89" t="str">
            <v>FETHEMG</v>
          </cell>
          <cell r="D89" t="str">
            <v>SINTTEL-MG</v>
          </cell>
          <cell r="I89">
            <v>0</v>
          </cell>
          <cell r="J89" t="e">
            <v>#N/A</v>
          </cell>
          <cell r="K89" t="e">
            <v>#N/A</v>
          </cell>
        </row>
        <row r="90">
          <cell r="A90" t="str">
            <v>Bom Sucesso</v>
          </cell>
          <cell r="B90" t="str">
            <v>MG</v>
          </cell>
          <cell r="C90" t="str">
            <v>SÃO LOURENÇO RG</v>
          </cell>
          <cell r="D90" t="str">
            <v>SINTTEL-MG</v>
          </cell>
          <cell r="I90">
            <v>0</v>
          </cell>
          <cell r="J90">
            <v>0.03</v>
          </cell>
          <cell r="K90">
            <v>0.03</v>
          </cell>
        </row>
        <row r="91">
          <cell r="A91" t="str">
            <v>Bonfim</v>
          </cell>
          <cell r="B91" t="str">
            <v>MG</v>
          </cell>
          <cell r="C91" t="str">
            <v>DIVINÓPOLIS RG</v>
          </cell>
          <cell r="D91" t="str">
            <v>SINTTEL-MG</v>
          </cell>
          <cell r="I91">
            <v>0</v>
          </cell>
          <cell r="J91">
            <v>0.03</v>
          </cell>
          <cell r="K91">
            <v>0.03</v>
          </cell>
        </row>
        <row r="92">
          <cell r="A92" t="str">
            <v>Bonfinópolis de Minas</v>
          </cell>
          <cell r="B92" t="str">
            <v>MG</v>
          </cell>
          <cell r="C92" t="str">
            <v>FETHEMG</v>
          </cell>
          <cell r="D92" t="str">
            <v>SINTTEL-MG</v>
          </cell>
          <cell r="I92">
            <v>0</v>
          </cell>
          <cell r="J92" t="e">
            <v>#N/A</v>
          </cell>
          <cell r="K92" t="e">
            <v>#N/A</v>
          </cell>
        </row>
        <row r="93">
          <cell r="A93" t="str">
            <v>Bonito de Minas</v>
          </cell>
          <cell r="B93" t="str">
            <v>MG</v>
          </cell>
          <cell r="C93" t="str">
            <v>FETHEMG</v>
          </cell>
          <cell r="D93" t="str">
            <v>SINTTEL-MG</v>
          </cell>
          <cell r="I93">
            <v>0</v>
          </cell>
          <cell r="J93" t="e">
            <v>#N/A</v>
          </cell>
          <cell r="K93" t="e">
            <v>#N/A</v>
          </cell>
        </row>
        <row r="94">
          <cell r="A94" t="str">
            <v>Borda da Mata</v>
          </cell>
          <cell r="B94" t="str">
            <v>MG</v>
          </cell>
          <cell r="C94" t="str">
            <v>FETHEMG</v>
          </cell>
          <cell r="D94" t="str">
            <v>SINTTEL-MG</v>
          </cell>
          <cell r="I94">
            <v>0</v>
          </cell>
          <cell r="J94">
            <v>0.02</v>
          </cell>
          <cell r="K94">
            <v>0.02</v>
          </cell>
        </row>
        <row r="95">
          <cell r="A95" t="str">
            <v>Botelhos</v>
          </cell>
          <cell r="B95" t="str">
            <v>MG</v>
          </cell>
          <cell r="C95" t="str">
            <v>SÃO LOURENÇO RG</v>
          </cell>
          <cell r="D95" t="str">
            <v>SINTTEL-MG</v>
          </cell>
          <cell r="I95">
            <v>0</v>
          </cell>
          <cell r="J95">
            <v>0.05</v>
          </cell>
          <cell r="K95">
            <v>0.05</v>
          </cell>
        </row>
        <row r="96">
          <cell r="A96" t="str">
            <v>Botumirim</v>
          </cell>
          <cell r="B96" t="str">
            <v>MG</v>
          </cell>
          <cell r="C96" t="str">
            <v>MONTES CLAROS RG</v>
          </cell>
          <cell r="D96" t="str">
            <v>SINTTEL-MG</v>
          </cell>
          <cell r="I96">
            <v>0</v>
          </cell>
          <cell r="J96" t="e">
            <v>#N/A</v>
          </cell>
          <cell r="K96" t="e">
            <v>#N/A</v>
          </cell>
        </row>
        <row r="97">
          <cell r="A97" t="str">
            <v>Brás Pires</v>
          </cell>
          <cell r="B97" t="str">
            <v>MG</v>
          </cell>
          <cell r="C97" t="str">
            <v>JUIZ DE FORA RG</v>
          </cell>
          <cell r="D97" t="str">
            <v>SINTTEL-MG</v>
          </cell>
          <cell r="I97">
            <v>0</v>
          </cell>
          <cell r="J97" t="e">
            <v>#N/A</v>
          </cell>
          <cell r="K97" t="e">
            <v>#N/A</v>
          </cell>
        </row>
        <row r="98">
          <cell r="A98" t="str">
            <v>Brasilândia de Minas</v>
          </cell>
          <cell r="B98" t="str">
            <v>MG</v>
          </cell>
          <cell r="C98" t="str">
            <v>FETHEMG</v>
          </cell>
          <cell r="D98" t="str">
            <v>SINTTEL-MG</v>
          </cell>
          <cell r="I98">
            <v>0</v>
          </cell>
          <cell r="J98" t="e">
            <v>#N/A</v>
          </cell>
          <cell r="K98" t="e">
            <v>#N/A</v>
          </cell>
        </row>
        <row r="99">
          <cell r="A99" t="str">
            <v>Brasilia de Minas</v>
          </cell>
          <cell r="B99" t="str">
            <v>MG</v>
          </cell>
          <cell r="C99" t="str">
            <v>MONTES CLAROS RG</v>
          </cell>
          <cell r="D99" t="str">
            <v>SINTTEL-MG</v>
          </cell>
          <cell r="I99">
            <v>0</v>
          </cell>
          <cell r="J99" t="e">
            <v>#N/A</v>
          </cell>
          <cell r="K99" t="e">
            <v>#N/A</v>
          </cell>
        </row>
        <row r="100">
          <cell r="A100" t="str">
            <v>Brasópolis</v>
          </cell>
          <cell r="B100" t="str">
            <v>MG</v>
          </cell>
          <cell r="C100" t="str">
            <v>FETHEMG</v>
          </cell>
          <cell r="D100" t="str">
            <v>SINTTEL-MG</v>
          </cell>
          <cell r="I100">
            <v>0</v>
          </cell>
          <cell r="J100">
            <v>0.02</v>
          </cell>
          <cell r="K100">
            <v>0.02</v>
          </cell>
        </row>
        <row r="101">
          <cell r="A101" t="str">
            <v>Braúnas</v>
          </cell>
          <cell r="B101" t="str">
            <v>MG</v>
          </cell>
          <cell r="C101" t="str">
            <v>FETHEMG</v>
          </cell>
          <cell r="D101" t="str">
            <v>SINTTEL-MG</v>
          </cell>
          <cell r="I101">
            <v>0</v>
          </cell>
          <cell r="J101" t="e">
            <v>#N/A</v>
          </cell>
          <cell r="K101" t="e">
            <v>#N/A</v>
          </cell>
        </row>
        <row r="102">
          <cell r="A102" t="str">
            <v>Brumadinho</v>
          </cell>
          <cell r="B102" t="str">
            <v>MG</v>
          </cell>
          <cell r="C102" t="str">
            <v>SIND- ASSEIO</v>
          </cell>
          <cell r="D102" t="str">
            <v>SINTTEL-MG</v>
          </cell>
          <cell r="I102">
            <v>0</v>
          </cell>
          <cell r="J102">
            <v>0.02</v>
          </cell>
          <cell r="K102">
            <v>0.02</v>
          </cell>
        </row>
        <row r="103">
          <cell r="A103" t="str">
            <v>Bueno Brandão</v>
          </cell>
          <cell r="B103" t="str">
            <v>MG</v>
          </cell>
          <cell r="C103" t="str">
            <v>FETHEMG</v>
          </cell>
          <cell r="D103" t="str">
            <v>SINTTEL-MG</v>
          </cell>
          <cell r="I103">
            <v>0</v>
          </cell>
          <cell r="J103">
            <v>0.02</v>
          </cell>
          <cell r="K103">
            <v>0.02</v>
          </cell>
        </row>
        <row r="104">
          <cell r="A104" t="str">
            <v>Buenópolis</v>
          </cell>
          <cell r="B104" t="str">
            <v>MG</v>
          </cell>
          <cell r="C104" t="str">
            <v>CURVELO</v>
          </cell>
          <cell r="D104" t="str">
            <v>SINTTEL-MG</v>
          </cell>
          <cell r="I104">
            <v>0</v>
          </cell>
          <cell r="J104">
            <v>0.03</v>
          </cell>
          <cell r="K104">
            <v>0.03</v>
          </cell>
        </row>
        <row r="105">
          <cell r="A105" t="str">
            <v>Bugre</v>
          </cell>
          <cell r="B105" t="str">
            <v>MG</v>
          </cell>
          <cell r="C105" t="str">
            <v>FETHEMG</v>
          </cell>
          <cell r="D105" t="str">
            <v>SINTTEL-MG</v>
          </cell>
          <cell r="I105">
            <v>0</v>
          </cell>
          <cell r="J105" t="e">
            <v>#N/A</v>
          </cell>
          <cell r="K105" t="e">
            <v>#N/A</v>
          </cell>
        </row>
        <row r="106">
          <cell r="A106" t="str">
            <v>Buritis</v>
          </cell>
          <cell r="B106" t="str">
            <v>MG</v>
          </cell>
          <cell r="C106" t="str">
            <v>FETHEMG</v>
          </cell>
          <cell r="D106" t="str">
            <v>SINTTEL-MG</v>
          </cell>
          <cell r="I106">
            <v>0</v>
          </cell>
          <cell r="J106">
            <v>0.02</v>
          </cell>
          <cell r="K106">
            <v>0.02</v>
          </cell>
        </row>
        <row r="107">
          <cell r="A107" t="str">
            <v>Buritizeiro</v>
          </cell>
          <cell r="B107" t="str">
            <v>MG</v>
          </cell>
          <cell r="C107" t="str">
            <v>MONTES CLAROS RG</v>
          </cell>
          <cell r="D107" t="str">
            <v>SINTTEL-MG</v>
          </cell>
          <cell r="I107">
            <v>0</v>
          </cell>
          <cell r="J107" t="e">
            <v>#N/A</v>
          </cell>
          <cell r="K107" t="e">
            <v>#N/A</v>
          </cell>
        </row>
        <row r="108">
          <cell r="A108" t="str">
            <v>Cabeceira Grande</v>
          </cell>
          <cell r="B108" t="str">
            <v>MG</v>
          </cell>
          <cell r="C108" t="str">
            <v>FETHEMG</v>
          </cell>
          <cell r="D108" t="str">
            <v>SINTTEL-MG</v>
          </cell>
          <cell r="I108">
            <v>0</v>
          </cell>
          <cell r="J108" t="e">
            <v>#N/A</v>
          </cell>
          <cell r="K108" t="e">
            <v>#N/A</v>
          </cell>
        </row>
        <row r="109">
          <cell r="A109" t="str">
            <v>Cabo Verde</v>
          </cell>
          <cell r="B109" t="str">
            <v>MG</v>
          </cell>
          <cell r="C109" t="str">
            <v>SÃO LOURENÇO RG</v>
          </cell>
          <cell r="D109" t="str">
            <v>SINTTEL-MG</v>
          </cell>
          <cell r="I109">
            <v>0</v>
          </cell>
          <cell r="J109">
            <v>0.02</v>
          </cell>
          <cell r="K109">
            <v>0.03</v>
          </cell>
        </row>
        <row r="110">
          <cell r="A110" t="str">
            <v>Cachoeira da Prata</v>
          </cell>
          <cell r="B110" t="str">
            <v>MG</v>
          </cell>
          <cell r="C110" t="str">
            <v>SETE LAGOAS</v>
          </cell>
          <cell r="D110" t="str">
            <v>SINTTEL-MG</v>
          </cell>
          <cell r="I110">
            <v>0</v>
          </cell>
          <cell r="J110" t="e">
            <v>#N/A</v>
          </cell>
          <cell r="K110" t="e">
            <v>#N/A</v>
          </cell>
        </row>
        <row r="111">
          <cell r="A111" t="str">
            <v>Cachoeira de Minas</v>
          </cell>
          <cell r="B111" t="str">
            <v>MG</v>
          </cell>
          <cell r="C111" t="str">
            <v>FETHEMG</v>
          </cell>
          <cell r="D111" t="str">
            <v>SINTTEL-MG</v>
          </cell>
          <cell r="I111">
            <v>0</v>
          </cell>
          <cell r="J111">
            <v>0.03</v>
          </cell>
          <cell r="K111">
            <v>0.03</v>
          </cell>
        </row>
        <row r="112">
          <cell r="A112" t="str">
            <v>Cachoeira de Pajeú</v>
          </cell>
          <cell r="B112" t="str">
            <v>MG</v>
          </cell>
          <cell r="C112" t="str">
            <v>FETHEMG</v>
          </cell>
          <cell r="D112" t="str">
            <v>SINTTEL-MG</v>
          </cell>
          <cell r="I112">
            <v>0</v>
          </cell>
          <cell r="J112" t="e">
            <v>#N/A</v>
          </cell>
          <cell r="K112" t="e">
            <v>#N/A</v>
          </cell>
        </row>
        <row r="113">
          <cell r="A113" t="str">
            <v>Cachoeira Dourada</v>
          </cell>
          <cell r="B113" t="str">
            <v>MG</v>
          </cell>
          <cell r="C113" t="str">
            <v>UBERLÂNDIA RG</v>
          </cell>
          <cell r="D113" t="str">
            <v>SINTTEL-MG</v>
          </cell>
          <cell r="I113">
            <v>0</v>
          </cell>
          <cell r="J113" t="e">
            <v>#N/A</v>
          </cell>
          <cell r="K113" t="e">
            <v>#N/A</v>
          </cell>
        </row>
        <row r="114">
          <cell r="A114" t="str">
            <v>Caetanópolis</v>
          </cell>
          <cell r="B114" t="str">
            <v>MG</v>
          </cell>
          <cell r="C114" t="str">
            <v>SETE LAGOAS</v>
          </cell>
          <cell r="D114" t="str">
            <v>SINTTEL-MG</v>
          </cell>
          <cell r="I114">
            <v>0</v>
          </cell>
          <cell r="J114" t="e">
            <v>#N/A</v>
          </cell>
          <cell r="K114" t="e">
            <v>#N/A</v>
          </cell>
        </row>
        <row r="115">
          <cell r="A115" t="str">
            <v>Caeté</v>
          </cell>
          <cell r="B115" t="str">
            <v>MG</v>
          </cell>
          <cell r="C115" t="str">
            <v>FETHEMG RM</v>
          </cell>
          <cell r="D115" t="str">
            <v>SINTTEL-MG</v>
          </cell>
          <cell r="I115">
            <v>0</v>
          </cell>
          <cell r="J115">
            <v>0.03</v>
          </cell>
          <cell r="K115">
            <v>0.03</v>
          </cell>
        </row>
        <row r="116">
          <cell r="A116" t="str">
            <v>Caiana</v>
          </cell>
          <cell r="B116" t="str">
            <v>MG</v>
          </cell>
          <cell r="C116" t="str">
            <v>JUIZ DE FORA RG</v>
          </cell>
          <cell r="D116" t="str">
            <v>SINTTEL-MG</v>
          </cell>
          <cell r="I116">
            <v>0</v>
          </cell>
          <cell r="J116" t="e">
            <v>#N/A</v>
          </cell>
          <cell r="K116" t="e">
            <v>#N/A</v>
          </cell>
        </row>
        <row r="117">
          <cell r="A117" t="str">
            <v>Cajuri</v>
          </cell>
          <cell r="B117" t="str">
            <v>MG</v>
          </cell>
          <cell r="C117" t="str">
            <v>JUIZ DE FORA RG</v>
          </cell>
          <cell r="D117" t="str">
            <v>SINTTEL-MG</v>
          </cell>
          <cell r="I117">
            <v>0</v>
          </cell>
          <cell r="J117" t="e">
            <v>#N/A</v>
          </cell>
          <cell r="K117" t="e">
            <v>#N/A</v>
          </cell>
        </row>
        <row r="118">
          <cell r="A118" t="str">
            <v>Caldas</v>
          </cell>
          <cell r="B118" t="str">
            <v>MG</v>
          </cell>
          <cell r="C118" t="str">
            <v>SÃO LOURENÇO RG</v>
          </cell>
          <cell r="D118" t="str">
            <v>SINTTEL-MG</v>
          </cell>
          <cell r="I118">
            <v>0</v>
          </cell>
          <cell r="J118">
            <v>0.02</v>
          </cell>
          <cell r="K118">
            <v>0.02</v>
          </cell>
        </row>
        <row r="119">
          <cell r="A119" t="str">
            <v>Camacho</v>
          </cell>
          <cell r="B119" t="str">
            <v>MG</v>
          </cell>
          <cell r="C119" t="str">
            <v>DIVINÓPOLIS RG</v>
          </cell>
          <cell r="D119" t="str">
            <v>SINTTEL-MG</v>
          </cell>
          <cell r="I119">
            <v>0</v>
          </cell>
          <cell r="J119" t="e">
            <v>#N/A</v>
          </cell>
          <cell r="K119" t="e">
            <v>#N/A</v>
          </cell>
        </row>
        <row r="120">
          <cell r="A120" t="str">
            <v>Camanducaia</v>
          </cell>
          <cell r="B120" t="str">
            <v>MG</v>
          </cell>
          <cell r="C120" t="str">
            <v>FETHEMG</v>
          </cell>
          <cell r="D120" t="str">
            <v>SINTTEL-MG</v>
          </cell>
          <cell r="I120">
            <v>0</v>
          </cell>
          <cell r="J120">
            <v>0.02</v>
          </cell>
          <cell r="K120">
            <v>0.02</v>
          </cell>
        </row>
        <row r="121">
          <cell r="A121" t="str">
            <v>Cambuí</v>
          </cell>
          <cell r="B121" t="str">
            <v>MG</v>
          </cell>
          <cell r="C121" t="str">
            <v>FETHEMG</v>
          </cell>
          <cell r="D121" t="str">
            <v>SINTTEL-MG</v>
          </cell>
          <cell r="I121">
            <v>0</v>
          </cell>
          <cell r="J121">
            <v>0.03</v>
          </cell>
          <cell r="K121">
            <v>0.02</v>
          </cell>
        </row>
        <row r="122">
          <cell r="A122" t="str">
            <v>Cambuquira</v>
          </cell>
          <cell r="B122" t="str">
            <v>MG</v>
          </cell>
          <cell r="C122" t="str">
            <v>SÃO LOURENÇO RG</v>
          </cell>
          <cell r="D122" t="str">
            <v>SINTTEL-MG</v>
          </cell>
          <cell r="I122">
            <v>0</v>
          </cell>
          <cell r="J122">
            <v>0.03</v>
          </cell>
          <cell r="K122">
            <v>0.03</v>
          </cell>
        </row>
        <row r="123">
          <cell r="A123" t="str">
            <v>Campanário</v>
          </cell>
          <cell r="B123" t="str">
            <v>MG</v>
          </cell>
          <cell r="C123" t="str">
            <v>TEÓFILO OTONI RG</v>
          </cell>
          <cell r="D123" t="str">
            <v>SINTTEL-MG</v>
          </cell>
          <cell r="I123">
            <v>0</v>
          </cell>
          <cell r="J123" t="e">
            <v>#N/A</v>
          </cell>
          <cell r="K123" t="e">
            <v>#N/A</v>
          </cell>
        </row>
        <row r="124">
          <cell r="A124" t="str">
            <v>Campanha</v>
          </cell>
          <cell r="B124" t="str">
            <v>MG</v>
          </cell>
          <cell r="C124" t="str">
            <v>SÃO LOURENÇO RG</v>
          </cell>
          <cell r="D124" t="str">
            <v>SINTTEL-MG</v>
          </cell>
          <cell r="I124">
            <v>0</v>
          </cell>
          <cell r="J124">
            <v>0.03</v>
          </cell>
          <cell r="K124">
            <v>0.03</v>
          </cell>
        </row>
        <row r="125">
          <cell r="A125" t="str">
            <v>Campestre</v>
          </cell>
          <cell r="B125" t="str">
            <v>MG</v>
          </cell>
          <cell r="C125" t="str">
            <v>SÃO LOURENÇO RG</v>
          </cell>
          <cell r="D125" t="str">
            <v>SINTTEL-MG</v>
          </cell>
          <cell r="I125">
            <v>0</v>
          </cell>
          <cell r="J125">
            <v>0.03</v>
          </cell>
          <cell r="K125">
            <v>0.03</v>
          </cell>
        </row>
        <row r="126">
          <cell r="A126" t="str">
            <v>Campina Verde</v>
          </cell>
          <cell r="B126" t="str">
            <v>MG</v>
          </cell>
          <cell r="C126" t="str">
            <v>UBERLÂNDIA RG</v>
          </cell>
          <cell r="D126" t="str">
            <v>SINTTEL-MG</v>
          </cell>
          <cell r="I126">
            <v>0</v>
          </cell>
          <cell r="J126">
            <v>0.03</v>
          </cell>
          <cell r="K126">
            <v>0.03</v>
          </cell>
        </row>
        <row r="127">
          <cell r="A127" t="str">
            <v>Campo Azul</v>
          </cell>
          <cell r="B127" t="str">
            <v>MG</v>
          </cell>
          <cell r="C127" t="str">
            <v>FETHEMG</v>
          </cell>
          <cell r="D127" t="str">
            <v>SINTTEL-MG</v>
          </cell>
          <cell r="I127">
            <v>0</v>
          </cell>
          <cell r="J127" t="e">
            <v>#N/A</v>
          </cell>
          <cell r="K127" t="e">
            <v>#N/A</v>
          </cell>
        </row>
        <row r="128">
          <cell r="A128" t="str">
            <v>Campo Belo</v>
          </cell>
          <cell r="B128" t="str">
            <v>MG</v>
          </cell>
          <cell r="C128" t="str">
            <v>SÃO LOURENÇO RG</v>
          </cell>
          <cell r="D128" t="str">
            <v>SINTTEL-MG</v>
          </cell>
          <cell r="I128">
            <v>0</v>
          </cell>
          <cell r="J128">
            <v>0.03</v>
          </cell>
          <cell r="K128">
            <v>0.03</v>
          </cell>
        </row>
        <row r="129">
          <cell r="A129" t="str">
            <v>Campo do Meio</v>
          </cell>
          <cell r="B129" t="str">
            <v>MG</v>
          </cell>
          <cell r="C129" t="str">
            <v>SÃO LOURENÇO RG</v>
          </cell>
          <cell r="D129" t="str">
            <v>SINTTEL-MG</v>
          </cell>
          <cell r="I129">
            <v>0</v>
          </cell>
          <cell r="J129" t="e">
            <v>#N/A</v>
          </cell>
          <cell r="K129" t="e">
            <v>#N/A</v>
          </cell>
        </row>
        <row r="130">
          <cell r="A130" t="str">
            <v>Campo Florido</v>
          </cell>
          <cell r="B130" t="str">
            <v>MG</v>
          </cell>
          <cell r="D130" t="str">
            <v>SINTTEL-MG</v>
          </cell>
          <cell r="I130">
            <v>0</v>
          </cell>
          <cell r="J130" t="e">
            <v>#N/A</v>
          </cell>
          <cell r="K130" t="e">
            <v>#N/A</v>
          </cell>
        </row>
        <row r="131">
          <cell r="A131" t="str">
            <v>Campos Altos</v>
          </cell>
          <cell r="B131" t="str">
            <v>MG</v>
          </cell>
          <cell r="C131" t="str">
            <v>UBERLÂNDIA RG</v>
          </cell>
          <cell r="D131" t="str">
            <v>SINTTEL-MG</v>
          </cell>
          <cell r="I131">
            <v>0</v>
          </cell>
          <cell r="J131">
            <v>0.03</v>
          </cell>
          <cell r="K131">
            <v>0.03</v>
          </cell>
        </row>
        <row r="132">
          <cell r="A132" t="str">
            <v>Campos Gerais</v>
          </cell>
          <cell r="B132" t="str">
            <v>MG</v>
          </cell>
          <cell r="C132" t="str">
            <v>SÃO LOURENÇO RG</v>
          </cell>
          <cell r="D132" t="str">
            <v>SINTTEL-MG</v>
          </cell>
          <cell r="I132">
            <v>0</v>
          </cell>
          <cell r="J132">
            <v>0.02</v>
          </cell>
          <cell r="K132">
            <v>0.03</v>
          </cell>
        </row>
        <row r="133">
          <cell r="A133" t="str">
            <v>Cana Verde</v>
          </cell>
          <cell r="B133" t="str">
            <v>MG</v>
          </cell>
          <cell r="C133" t="str">
            <v>SÃO LOURENÇO RG</v>
          </cell>
          <cell r="D133" t="str">
            <v>SINTTEL-MG</v>
          </cell>
          <cell r="I133">
            <v>0</v>
          </cell>
          <cell r="J133" t="e">
            <v>#N/A</v>
          </cell>
          <cell r="K133" t="e">
            <v>#N/A</v>
          </cell>
        </row>
        <row r="134">
          <cell r="A134" t="str">
            <v>Canaã</v>
          </cell>
          <cell r="B134" t="str">
            <v>MG</v>
          </cell>
          <cell r="C134" t="str">
            <v>JUIZ DE FORA RG</v>
          </cell>
          <cell r="D134" t="str">
            <v>SINTTEL-MG</v>
          </cell>
          <cell r="I134">
            <v>0</v>
          </cell>
          <cell r="J134" t="e">
            <v>#N/A</v>
          </cell>
          <cell r="K134" t="e">
            <v>#N/A</v>
          </cell>
        </row>
        <row r="135">
          <cell r="A135" t="str">
            <v>Canápolis</v>
          </cell>
          <cell r="B135" t="str">
            <v>MG</v>
          </cell>
          <cell r="C135" t="str">
            <v>UBERLÂNDIA RG</v>
          </cell>
          <cell r="D135" t="str">
            <v>SINTTEL-MG</v>
          </cell>
          <cell r="I135">
            <v>0</v>
          </cell>
          <cell r="J135">
            <v>0.04</v>
          </cell>
          <cell r="K135">
            <v>0.04</v>
          </cell>
        </row>
        <row r="136">
          <cell r="A136" t="str">
            <v>Candeias</v>
          </cell>
          <cell r="B136" t="str">
            <v>MG</v>
          </cell>
          <cell r="C136" t="str">
            <v>SÃO LOURENÇO RG</v>
          </cell>
          <cell r="D136" t="str">
            <v>SINTTEL-MG</v>
          </cell>
          <cell r="I136">
            <v>0</v>
          </cell>
          <cell r="J136">
            <v>0.02</v>
          </cell>
          <cell r="K136">
            <v>0.02</v>
          </cell>
        </row>
        <row r="137">
          <cell r="A137" t="str">
            <v>Cantagalo</v>
          </cell>
          <cell r="B137" t="str">
            <v>MG</v>
          </cell>
          <cell r="C137" t="str">
            <v>FETHEMG</v>
          </cell>
          <cell r="D137" t="str">
            <v>SINTTEL-MG</v>
          </cell>
          <cell r="I137">
            <v>0</v>
          </cell>
          <cell r="J137" t="e">
            <v>#N/A</v>
          </cell>
          <cell r="K137" t="e">
            <v>#N/A</v>
          </cell>
        </row>
        <row r="138">
          <cell r="A138" t="str">
            <v>Caparaó</v>
          </cell>
          <cell r="B138" t="str">
            <v>MG</v>
          </cell>
          <cell r="C138" t="str">
            <v>JUIZ DE FORA RG</v>
          </cell>
          <cell r="D138" t="str">
            <v>SINTTEL-MG</v>
          </cell>
          <cell r="I138">
            <v>0</v>
          </cell>
          <cell r="J138" t="e">
            <v>#N/A</v>
          </cell>
          <cell r="K138" t="e">
            <v>#N/A</v>
          </cell>
        </row>
        <row r="139">
          <cell r="A139" t="str">
            <v>Capela Nova</v>
          </cell>
          <cell r="B139" t="str">
            <v>MG</v>
          </cell>
          <cell r="C139" t="str">
            <v>FETHEMG</v>
          </cell>
          <cell r="D139" t="str">
            <v>SINTTEL-MG</v>
          </cell>
          <cell r="I139">
            <v>0</v>
          </cell>
          <cell r="J139" t="e">
            <v>#N/A</v>
          </cell>
          <cell r="K139" t="e">
            <v>#N/A</v>
          </cell>
        </row>
        <row r="140">
          <cell r="A140" t="str">
            <v>Capelinha</v>
          </cell>
          <cell r="B140" t="str">
            <v>MG</v>
          </cell>
          <cell r="C140" t="str">
            <v>TEÓFILO OTONI RG</v>
          </cell>
          <cell r="D140" t="str">
            <v>SINTTEL-MG</v>
          </cell>
          <cell r="I140">
            <v>0</v>
          </cell>
          <cell r="J140">
            <v>0.03</v>
          </cell>
          <cell r="K140">
            <v>0.03</v>
          </cell>
        </row>
        <row r="141">
          <cell r="A141" t="str">
            <v>Capetinga</v>
          </cell>
          <cell r="B141" t="str">
            <v>MG</v>
          </cell>
          <cell r="C141" t="str">
            <v>FETHEMG</v>
          </cell>
          <cell r="D141" t="str">
            <v>SINTTEL-MG</v>
          </cell>
          <cell r="I141">
            <v>0</v>
          </cell>
          <cell r="J141">
            <v>0.03</v>
          </cell>
          <cell r="K141">
            <v>0.03</v>
          </cell>
        </row>
        <row r="142">
          <cell r="A142" t="str">
            <v>Capim Branco</v>
          </cell>
          <cell r="B142" t="str">
            <v>MG</v>
          </cell>
          <cell r="C142" t="str">
            <v>SETE LAGOAS</v>
          </cell>
          <cell r="D142" t="str">
            <v>SINTTEL-MG</v>
          </cell>
          <cell r="I142">
            <v>0</v>
          </cell>
          <cell r="J142" t="e">
            <v>#N/A</v>
          </cell>
          <cell r="K142" t="e">
            <v>#N/A</v>
          </cell>
        </row>
        <row r="143">
          <cell r="A143" t="str">
            <v>Capinópolis</v>
          </cell>
          <cell r="B143" t="str">
            <v>MG</v>
          </cell>
          <cell r="C143" t="str">
            <v>UBERLÂNDIA RG</v>
          </cell>
          <cell r="D143" t="str">
            <v>SINTTEL-MG</v>
          </cell>
          <cell r="I143">
            <v>0</v>
          </cell>
          <cell r="J143">
            <v>0.04</v>
          </cell>
          <cell r="K143">
            <v>0.04</v>
          </cell>
        </row>
        <row r="144">
          <cell r="A144" t="str">
            <v>Capitão Andrade</v>
          </cell>
          <cell r="B144" t="str">
            <v>MG</v>
          </cell>
          <cell r="C144" t="str">
            <v>FETHEMG</v>
          </cell>
          <cell r="D144" t="str">
            <v>SINTTEL-MG</v>
          </cell>
          <cell r="I144">
            <v>0</v>
          </cell>
          <cell r="J144" t="e">
            <v>#N/A</v>
          </cell>
          <cell r="K144" t="e">
            <v>#N/A</v>
          </cell>
        </row>
        <row r="145">
          <cell r="A145" t="str">
            <v>Capitão Enéas</v>
          </cell>
          <cell r="B145" t="str">
            <v>MG</v>
          </cell>
          <cell r="C145" t="str">
            <v>MONTES CLAROS RG</v>
          </cell>
          <cell r="D145" t="str">
            <v>SINTTEL-MG</v>
          </cell>
          <cell r="I145">
            <v>0</v>
          </cell>
          <cell r="J145" t="e">
            <v>#N/A</v>
          </cell>
          <cell r="K145" t="e">
            <v>#N/A</v>
          </cell>
        </row>
        <row r="146">
          <cell r="A146" t="str">
            <v>Capitólio</v>
          </cell>
          <cell r="B146" t="str">
            <v>MG</v>
          </cell>
          <cell r="C146" t="str">
            <v>SÃO LOURENÇO RG</v>
          </cell>
          <cell r="D146" t="str">
            <v>SINTTEL-MG</v>
          </cell>
          <cell r="I146">
            <v>0</v>
          </cell>
          <cell r="J146" t="e">
            <v>#N/A</v>
          </cell>
          <cell r="K146" t="e">
            <v>#N/A</v>
          </cell>
        </row>
        <row r="147">
          <cell r="A147" t="str">
            <v>Caputira</v>
          </cell>
          <cell r="B147" t="str">
            <v>MG</v>
          </cell>
          <cell r="C147" t="str">
            <v>FETHEMG</v>
          </cell>
          <cell r="D147" t="str">
            <v>SINTTEL-MG</v>
          </cell>
          <cell r="I147">
            <v>0</v>
          </cell>
          <cell r="J147" t="e">
            <v>#N/A</v>
          </cell>
          <cell r="K147" t="e">
            <v>#N/A</v>
          </cell>
        </row>
        <row r="148">
          <cell r="A148" t="str">
            <v>Caraí</v>
          </cell>
          <cell r="B148" t="str">
            <v>MG</v>
          </cell>
          <cell r="C148" t="str">
            <v>FETHEMG</v>
          </cell>
          <cell r="D148" t="str">
            <v>SINTTEL-MG</v>
          </cell>
          <cell r="I148">
            <v>0</v>
          </cell>
          <cell r="J148" t="e">
            <v>#N/A</v>
          </cell>
          <cell r="K148" t="e">
            <v>#N/A</v>
          </cell>
        </row>
        <row r="149">
          <cell r="A149" t="str">
            <v>Caranaíba</v>
          </cell>
          <cell r="B149" t="str">
            <v>MG</v>
          </cell>
          <cell r="C149" t="str">
            <v>FETHEMG</v>
          </cell>
          <cell r="D149" t="str">
            <v>SINTTEL-MG</v>
          </cell>
          <cell r="I149">
            <v>0</v>
          </cell>
          <cell r="J149" t="e">
            <v>#N/A</v>
          </cell>
          <cell r="K149" t="e">
            <v>#N/A</v>
          </cell>
        </row>
        <row r="150">
          <cell r="A150" t="str">
            <v>Carandaí</v>
          </cell>
          <cell r="B150" t="str">
            <v>MG</v>
          </cell>
          <cell r="C150" t="str">
            <v>FETHEMG</v>
          </cell>
          <cell r="D150" t="str">
            <v>SINTTEL-MG</v>
          </cell>
          <cell r="I150">
            <v>0</v>
          </cell>
          <cell r="J150">
            <v>0.02</v>
          </cell>
          <cell r="K150">
            <v>0.02</v>
          </cell>
        </row>
        <row r="151">
          <cell r="A151" t="str">
            <v>Carangola</v>
          </cell>
          <cell r="B151" t="str">
            <v>MG</v>
          </cell>
          <cell r="C151" t="str">
            <v>JUIZ DE FORA RG</v>
          </cell>
          <cell r="D151" t="str">
            <v>SINTTEL-MG</v>
          </cell>
          <cell r="I151">
            <v>0</v>
          </cell>
          <cell r="J151">
            <v>0.02</v>
          </cell>
          <cell r="K151">
            <v>0.02</v>
          </cell>
        </row>
        <row r="152">
          <cell r="A152" t="str">
            <v>Caratinga</v>
          </cell>
          <cell r="B152" t="str">
            <v>MG</v>
          </cell>
          <cell r="C152" t="str">
            <v>VALE DO AÇO</v>
          </cell>
          <cell r="D152" t="str">
            <v>SINTTEL-MG</v>
          </cell>
          <cell r="I152">
            <v>0</v>
          </cell>
          <cell r="J152">
            <v>0.03</v>
          </cell>
          <cell r="K152">
            <v>0.03</v>
          </cell>
        </row>
        <row r="153">
          <cell r="A153" t="str">
            <v>Carbonita</v>
          </cell>
          <cell r="B153" t="str">
            <v>MG</v>
          </cell>
          <cell r="C153" t="str">
            <v>FETHEMG</v>
          </cell>
          <cell r="D153" t="str">
            <v>SINTTEL-MG</v>
          </cell>
          <cell r="I153">
            <v>0</v>
          </cell>
          <cell r="J153" t="e">
            <v>#N/A</v>
          </cell>
          <cell r="K153" t="e">
            <v>#N/A</v>
          </cell>
        </row>
        <row r="154">
          <cell r="A154" t="str">
            <v>Careaçu</v>
          </cell>
          <cell r="B154" t="str">
            <v>MG</v>
          </cell>
          <cell r="C154" t="str">
            <v>SÃO LOURENÇO RG</v>
          </cell>
          <cell r="D154" t="str">
            <v>SINTTEL-MG</v>
          </cell>
          <cell r="I154">
            <v>0</v>
          </cell>
          <cell r="J154" t="e">
            <v>#N/A</v>
          </cell>
          <cell r="K154" t="e">
            <v>#N/A</v>
          </cell>
        </row>
        <row r="155">
          <cell r="A155" t="str">
            <v>Carlos Chagas</v>
          </cell>
          <cell r="B155" t="str">
            <v>MG</v>
          </cell>
          <cell r="C155" t="str">
            <v>TEÓFILO OTONI RG</v>
          </cell>
          <cell r="D155" t="str">
            <v>SINTTEL-MG</v>
          </cell>
          <cell r="I155">
            <v>0</v>
          </cell>
          <cell r="J155">
            <v>0.05</v>
          </cell>
          <cell r="K155">
            <v>0.05</v>
          </cell>
        </row>
        <row r="156">
          <cell r="A156" t="str">
            <v>Carmésia</v>
          </cell>
          <cell r="B156" t="str">
            <v>MG</v>
          </cell>
          <cell r="C156" t="str">
            <v>FETHEMG</v>
          </cell>
          <cell r="D156" t="str">
            <v>SINTTEL-MG</v>
          </cell>
          <cell r="I156">
            <v>0</v>
          </cell>
          <cell r="J156" t="e">
            <v>#N/A</v>
          </cell>
          <cell r="K156" t="e">
            <v>#N/A</v>
          </cell>
        </row>
        <row r="157">
          <cell r="A157" t="str">
            <v>Carmo da Cachoeira</v>
          </cell>
          <cell r="B157" t="str">
            <v>MG</v>
          </cell>
          <cell r="C157" t="str">
            <v>SÃO LOURENÇO RG</v>
          </cell>
          <cell r="D157" t="str">
            <v>SINTTEL-MG</v>
          </cell>
          <cell r="I157">
            <v>0</v>
          </cell>
          <cell r="J157" t="e">
            <v>#N/A</v>
          </cell>
          <cell r="K157" t="e">
            <v>#N/A</v>
          </cell>
        </row>
        <row r="158">
          <cell r="A158" t="str">
            <v>Carmo da Mata</v>
          </cell>
          <cell r="B158" t="str">
            <v>MG</v>
          </cell>
          <cell r="C158" t="str">
            <v>DIVINÓPOLIS RG</v>
          </cell>
          <cell r="D158" t="str">
            <v>SINTTEL-MG</v>
          </cell>
          <cell r="I158">
            <v>0</v>
          </cell>
          <cell r="J158">
            <v>0.03</v>
          </cell>
          <cell r="K158">
            <v>0.03</v>
          </cell>
        </row>
        <row r="159">
          <cell r="A159" t="str">
            <v>Carmo de Minas</v>
          </cell>
          <cell r="B159" t="str">
            <v>MG</v>
          </cell>
          <cell r="C159" t="str">
            <v>SÃO LOURENÇO RG</v>
          </cell>
          <cell r="D159" t="str">
            <v>SINTTEL-MG</v>
          </cell>
          <cell r="I159">
            <v>0</v>
          </cell>
          <cell r="J159">
            <v>0.03</v>
          </cell>
          <cell r="K159">
            <v>0.03</v>
          </cell>
        </row>
        <row r="160">
          <cell r="A160" t="str">
            <v>Carmo do Cajuru</v>
          </cell>
          <cell r="B160" t="str">
            <v>MG</v>
          </cell>
          <cell r="C160" t="str">
            <v>DIVINÓPOLIS RG</v>
          </cell>
          <cell r="D160" t="str">
            <v>SINTTEL-MG</v>
          </cell>
          <cell r="I160">
            <v>0</v>
          </cell>
          <cell r="J160">
            <v>0.02</v>
          </cell>
          <cell r="K160">
            <v>0.02</v>
          </cell>
        </row>
        <row r="161">
          <cell r="A161" t="str">
            <v>Carmo do Paranaíba</v>
          </cell>
          <cell r="B161" t="str">
            <v>MG</v>
          </cell>
          <cell r="C161" t="str">
            <v>UBERLÂNDIA RG</v>
          </cell>
          <cell r="D161" t="str">
            <v>SINTTEL-MG</v>
          </cell>
          <cell r="I161">
            <v>0</v>
          </cell>
          <cell r="J161">
            <v>0.03</v>
          </cell>
          <cell r="K161">
            <v>0.03</v>
          </cell>
        </row>
        <row r="162">
          <cell r="A162" t="str">
            <v>Carmo do Rio Claro</v>
          </cell>
          <cell r="B162" t="str">
            <v>MG</v>
          </cell>
          <cell r="C162" t="str">
            <v>SÃO LOURENÇO RG</v>
          </cell>
          <cell r="D162" t="str">
            <v>SINTTEL-MG</v>
          </cell>
          <cell r="I162">
            <v>0</v>
          </cell>
          <cell r="J162">
            <v>0.03</v>
          </cell>
          <cell r="K162">
            <v>0.03</v>
          </cell>
        </row>
        <row r="163">
          <cell r="A163" t="str">
            <v>Carmópolis de Minas</v>
          </cell>
          <cell r="B163" t="str">
            <v>MG</v>
          </cell>
          <cell r="C163" t="str">
            <v>FETHEMG</v>
          </cell>
          <cell r="D163" t="str">
            <v>SINTTEL-MG</v>
          </cell>
          <cell r="I163">
            <v>0</v>
          </cell>
          <cell r="J163" t="e">
            <v>#N/A</v>
          </cell>
          <cell r="K163" t="e">
            <v>#N/A</v>
          </cell>
        </row>
        <row r="164">
          <cell r="A164" t="str">
            <v>Carneirinho</v>
          </cell>
          <cell r="B164" t="str">
            <v>MG</v>
          </cell>
          <cell r="C164" t="str">
            <v>UBERLÂNDIA RG</v>
          </cell>
          <cell r="D164" t="str">
            <v>SINTTEL-MG</v>
          </cell>
          <cell r="I164">
            <v>0</v>
          </cell>
          <cell r="J164" t="e">
            <v>#N/A</v>
          </cell>
          <cell r="K164" t="e">
            <v>#N/A</v>
          </cell>
        </row>
        <row r="165">
          <cell r="A165" t="str">
            <v>Carrancas</v>
          </cell>
          <cell r="B165" t="str">
            <v>MG</v>
          </cell>
          <cell r="C165" t="str">
            <v>SÃO LOURENÇO RG</v>
          </cell>
          <cell r="D165" t="str">
            <v>SINTTEL-MG</v>
          </cell>
          <cell r="I165">
            <v>0</v>
          </cell>
          <cell r="J165" t="e">
            <v>#N/A</v>
          </cell>
          <cell r="K165" t="e">
            <v>#N/A</v>
          </cell>
        </row>
        <row r="166">
          <cell r="A166" t="str">
            <v>Carvalhópolis</v>
          </cell>
          <cell r="B166" t="str">
            <v>MG</v>
          </cell>
          <cell r="C166" t="str">
            <v>FETHEMG</v>
          </cell>
          <cell r="D166" t="str">
            <v>SINTTEL-MG</v>
          </cell>
          <cell r="I166">
            <v>0</v>
          </cell>
          <cell r="J166" t="e">
            <v>#N/A</v>
          </cell>
          <cell r="K166" t="e">
            <v>#N/A</v>
          </cell>
        </row>
        <row r="167">
          <cell r="A167" t="str">
            <v>Carvalhos</v>
          </cell>
          <cell r="B167" t="str">
            <v>MG</v>
          </cell>
          <cell r="C167" t="str">
            <v>SÃO LOURENÇO RG</v>
          </cell>
          <cell r="D167" t="str">
            <v>SINTTEL-MG</v>
          </cell>
          <cell r="I167">
            <v>0</v>
          </cell>
          <cell r="J167" t="e">
            <v>#N/A</v>
          </cell>
          <cell r="K167" t="e">
            <v>#N/A</v>
          </cell>
        </row>
        <row r="168">
          <cell r="A168" t="str">
            <v>Casa Grande</v>
          </cell>
          <cell r="B168" t="str">
            <v>MG</v>
          </cell>
          <cell r="C168" t="str">
            <v>FETHEMG</v>
          </cell>
          <cell r="D168" t="str">
            <v>SINTTEL-MG</v>
          </cell>
          <cell r="I168">
            <v>0</v>
          </cell>
          <cell r="J168" t="e">
            <v>#N/A</v>
          </cell>
          <cell r="K168" t="e">
            <v>#N/A</v>
          </cell>
        </row>
        <row r="169">
          <cell r="A169" t="str">
            <v>Cascalho Rico</v>
          </cell>
          <cell r="B169" t="str">
            <v>MG</v>
          </cell>
          <cell r="C169" t="str">
            <v>UBERLÂNDIA RG</v>
          </cell>
          <cell r="D169" t="str">
            <v>SINTTEL-MG</v>
          </cell>
          <cell r="I169">
            <v>0</v>
          </cell>
          <cell r="J169" t="e">
            <v>#N/A</v>
          </cell>
          <cell r="K169" t="e">
            <v>#N/A</v>
          </cell>
        </row>
        <row r="170">
          <cell r="A170" t="str">
            <v>Cássia</v>
          </cell>
          <cell r="B170" t="str">
            <v>MG</v>
          </cell>
          <cell r="C170" t="str">
            <v>FETHEMG</v>
          </cell>
          <cell r="D170" t="str">
            <v>SINTTEL-MG</v>
          </cell>
          <cell r="I170">
            <v>0</v>
          </cell>
          <cell r="J170">
            <v>0.03</v>
          </cell>
          <cell r="K170">
            <v>0.03</v>
          </cell>
        </row>
        <row r="171">
          <cell r="A171" t="str">
            <v>Cataguases</v>
          </cell>
          <cell r="B171" t="str">
            <v>MG</v>
          </cell>
          <cell r="C171" t="str">
            <v>CATAGUASES</v>
          </cell>
          <cell r="D171" t="str">
            <v>SINTTEL-MG</v>
          </cell>
          <cell r="I171">
            <v>0</v>
          </cell>
          <cell r="J171">
            <v>0.03</v>
          </cell>
          <cell r="K171">
            <v>0.05</v>
          </cell>
        </row>
        <row r="172">
          <cell r="A172" t="str">
            <v>Catas Altas</v>
          </cell>
          <cell r="B172" t="str">
            <v>MG</v>
          </cell>
          <cell r="C172" t="str">
            <v>FETHEMG</v>
          </cell>
          <cell r="D172" t="str">
            <v>SINTTEL-MG</v>
          </cell>
          <cell r="I172">
            <v>0</v>
          </cell>
          <cell r="J172" t="e">
            <v>#N/A</v>
          </cell>
          <cell r="K172" t="e">
            <v>#N/A</v>
          </cell>
        </row>
        <row r="173">
          <cell r="A173" t="str">
            <v>Catas Altas da Noruega</v>
          </cell>
          <cell r="B173" t="str">
            <v>MG</v>
          </cell>
          <cell r="C173" t="str">
            <v>OURO PRETO</v>
          </cell>
          <cell r="D173" t="str">
            <v>SINTTEL-MG</v>
          </cell>
          <cell r="I173">
            <v>0</v>
          </cell>
          <cell r="J173" t="e">
            <v>#N/A</v>
          </cell>
          <cell r="K173" t="e">
            <v>#N/A</v>
          </cell>
        </row>
        <row r="174">
          <cell r="A174" t="str">
            <v>Catuji</v>
          </cell>
          <cell r="B174" t="str">
            <v>MG</v>
          </cell>
          <cell r="C174" t="str">
            <v>TEÓFILO OTONI RG</v>
          </cell>
          <cell r="D174" t="str">
            <v>SINTTEL-MG</v>
          </cell>
          <cell r="I174">
            <v>0</v>
          </cell>
          <cell r="J174" t="e">
            <v>#N/A</v>
          </cell>
          <cell r="K174" t="e">
            <v>#N/A</v>
          </cell>
        </row>
        <row r="175">
          <cell r="A175" t="str">
            <v>Catuti</v>
          </cell>
          <cell r="B175" t="str">
            <v>MG</v>
          </cell>
          <cell r="C175" t="str">
            <v>FETHEMG</v>
          </cell>
          <cell r="D175" t="str">
            <v>SINTTEL-MG</v>
          </cell>
          <cell r="I175">
            <v>0</v>
          </cell>
          <cell r="J175" t="e">
            <v>#N/A</v>
          </cell>
          <cell r="K175" t="e">
            <v>#N/A</v>
          </cell>
        </row>
        <row r="176">
          <cell r="A176" t="str">
            <v>Caxambú</v>
          </cell>
          <cell r="B176" t="str">
            <v>MG</v>
          </cell>
          <cell r="C176" t="str">
            <v>FETHEMG</v>
          </cell>
          <cell r="D176" t="str">
            <v>SINTTEL-MG</v>
          </cell>
          <cell r="I176">
            <v>0</v>
          </cell>
          <cell r="J176" t="e">
            <v>#N/A</v>
          </cell>
          <cell r="K176" t="e">
            <v>#N/A</v>
          </cell>
        </row>
        <row r="177">
          <cell r="A177" t="str">
            <v>Cedro do Abaeté</v>
          </cell>
          <cell r="B177" t="str">
            <v>MG</v>
          </cell>
          <cell r="C177" t="str">
            <v>FETHEMG</v>
          </cell>
          <cell r="D177" t="str">
            <v>SINTTEL-MG</v>
          </cell>
          <cell r="I177">
            <v>0</v>
          </cell>
          <cell r="J177" t="e">
            <v>#N/A</v>
          </cell>
          <cell r="K177" t="e">
            <v>#N/A</v>
          </cell>
        </row>
        <row r="178">
          <cell r="A178" t="str">
            <v>Central de Minas</v>
          </cell>
          <cell r="B178" t="str">
            <v>MG</v>
          </cell>
          <cell r="C178" t="str">
            <v>FETHEMG</v>
          </cell>
          <cell r="D178" t="str">
            <v>SINTTEL-MG</v>
          </cell>
          <cell r="I178">
            <v>0</v>
          </cell>
          <cell r="J178" t="e">
            <v>#N/A</v>
          </cell>
          <cell r="K178" t="e">
            <v>#N/A</v>
          </cell>
        </row>
        <row r="179">
          <cell r="A179" t="str">
            <v>Centralina</v>
          </cell>
          <cell r="B179" t="str">
            <v>MG</v>
          </cell>
          <cell r="C179" t="str">
            <v>UBERLÂNDIA RG</v>
          </cell>
          <cell r="D179" t="str">
            <v>SINTTEL-MG</v>
          </cell>
          <cell r="I179">
            <v>0</v>
          </cell>
          <cell r="J179" t="e">
            <v>#N/A</v>
          </cell>
          <cell r="K179" t="e">
            <v>#N/A</v>
          </cell>
        </row>
        <row r="180">
          <cell r="A180" t="str">
            <v>Chácara</v>
          </cell>
          <cell r="B180" t="str">
            <v>MG</v>
          </cell>
          <cell r="C180" t="str">
            <v>JUIZ DE FORA RG</v>
          </cell>
          <cell r="D180" t="str">
            <v>SINTTEL-MG</v>
          </cell>
          <cell r="I180">
            <v>0</v>
          </cell>
          <cell r="J180" t="e">
            <v>#N/A</v>
          </cell>
          <cell r="K180" t="e">
            <v>#N/A</v>
          </cell>
        </row>
        <row r="181">
          <cell r="A181" t="str">
            <v>Chalé</v>
          </cell>
          <cell r="B181" t="str">
            <v>MG</v>
          </cell>
          <cell r="C181" t="str">
            <v>JUIZ DE FORA RG</v>
          </cell>
          <cell r="D181" t="str">
            <v>SINTTEL-MG</v>
          </cell>
          <cell r="I181">
            <v>0</v>
          </cell>
          <cell r="J181" t="e">
            <v>#N/A</v>
          </cell>
          <cell r="K181" t="e">
            <v>#N/A</v>
          </cell>
        </row>
        <row r="182">
          <cell r="A182" t="str">
            <v>Chapada do Norte</v>
          </cell>
          <cell r="B182" t="str">
            <v>MG</v>
          </cell>
          <cell r="C182" t="str">
            <v>FETHEMG</v>
          </cell>
          <cell r="D182" t="str">
            <v>SINTTEL-MG</v>
          </cell>
          <cell r="I182">
            <v>0</v>
          </cell>
          <cell r="J182" t="e">
            <v>#N/A</v>
          </cell>
          <cell r="K182" t="e">
            <v>#N/A</v>
          </cell>
        </row>
        <row r="183">
          <cell r="A183" t="str">
            <v>Chapada Gaúcha</v>
          </cell>
          <cell r="B183" t="str">
            <v>MG</v>
          </cell>
          <cell r="C183" t="str">
            <v>FETHEMG</v>
          </cell>
          <cell r="D183" t="str">
            <v>SINTTEL-MG</v>
          </cell>
          <cell r="I183">
            <v>0</v>
          </cell>
          <cell r="J183" t="e">
            <v>#N/A</v>
          </cell>
          <cell r="K183" t="e">
            <v>#N/A</v>
          </cell>
        </row>
        <row r="184">
          <cell r="A184" t="str">
            <v>Chiador</v>
          </cell>
          <cell r="B184" t="str">
            <v>MG</v>
          </cell>
          <cell r="C184" t="str">
            <v>JUIZ DE FORA RG</v>
          </cell>
          <cell r="D184" t="str">
            <v>SINTTEL-MG</v>
          </cell>
          <cell r="I184">
            <v>0</v>
          </cell>
          <cell r="J184" t="e">
            <v>#N/A</v>
          </cell>
          <cell r="K184" t="e">
            <v>#N/A</v>
          </cell>
        </row>
        <row r="185">
          <cell r="A185" t="str">
            <v>Cipotânia</v>
          </cell>
          <cell r="B185" t="str">
            <v>MG</v>
          </cell>
          <cell r="C185" t="str">
            <v>FETHEMG</v>
          </cell>
          <cell r="D185" t="str">
            <v>SINTTEL-MG</v>
          </cell>
          <cell r="I185">
            <v>0</v>
          </cell>
          <cell r="J185" t="e">
            <v>#N/A</v>
          </cell>
          <cell r="K185" t="e">
            <v>#N/A</v>
          </cell>
        </row>
        <row r="186">
          <cell r="A186" t="str">
            <v>Claraval</v>
          </cell>
          <cell r="B186" t="str">
            <v>MG</v>
          </cell>
          <cell r="C186" t="str">
            <v>FETHEMG</v>
          </cell>
          <cell r="D186" t="str">
            <v>SINTTEL-MG</v>
          </cell>
          <cell r="I186">
            <v>0</v>
          </cell>
          <cell r="J186" t="e">
            <v>#N/A</v>
          </cell>
          <cell r="K186" t="e">
            <v>#N/A</v>
          </cell>
        </row>
        <row r="187">
          <cell r="A187" t="str">
            <v>Claro dos Poções</v>
          </cell>
          <cell r="B187" t="str">
            <v>MG</v>
          </cell>
          <cell r="C187" t="str">
            <v>MONTES CLAROS RG</v>
          </cell>
          <cell r="D187" t="str">
            <v>SINTTEL-MG</v>
          </cell>
          <cell r="I187">
            <v>0</v>
          </cell>
          <cell r="J187" t="e">
            <v>#N/A</v>
          </cell>
          <cell r="K187" t="e">
            <v>#N/A</v>
          </cell>
        </row>
        <row r="188">
          <cell r="A188" t="str">
            <v>Cláudio</v>
          </cell>
          <cell r="B188" t="str">
            <v>MG</v>
          </cell>
          <cell r="C188" t="str">
            <v>FETHEMG</v>
          </cell>
          <cell r="D188" t="str">
            <v>SINTTEL-MG</v>
          </cell>
          <cell r="I188">
            <v>0</v>
          </cell>
          <cell r="J188">
            <v>0.03</v>
          </cell>
          <cell r="K188">
            <v>0.03</v>
          </cell>
        </row>
        <row r="189">
          <cell r="A189" t="str">
            <v>Coimbra</v>
          </cell>
          <cell r="B189" t="str">
            <v>MG</v>
          </cell>
          <cell r="C189" t="str">
            <v>JUIZ DE FORA RG</v>
          </cell>
          <cell r="D189" t="str">
            <v>SINTTEL-MG</v>
          </cell>
          <cell r="I189">
            <v>0</v>
          </cell>
          <cell r="J189" t="e">
            <v>#N/A</v>
          </cell>
          <cell r="K189" t="e">
            <v>#N/A</v>
          </cell>
        </row>
        <row r="190">
          <cell r="A190" t="str">
            <v>Coluna</v>
          </cell>
          <cell r="B190" t="str">
            <v>MG</v>
          </cell>
          <cell r="C190" t="str">
            <v>FETHEMG</v>
          </cell>
          <cell r="D190" t="str">
            <v>SINTTEL-MG</v>
          </cell>
          <cell r="I190">
            <v>0</v>
          </cell>
          <cell r="J190" t="e">
            <v>#N/A</v>
          </cell>
          <cell r="K190" t="e">
            <v>#N/A</v>
          </cell>
        </row>
        <row r="191">
          <cell r="A191" t="str">
            <v>Comendador Gomes</v>
          </cell>
          <cell r="B191" t="str">
            <v>MG</v>
          </cell>
          <cell r="C191" t="str">
            <v>UBERABA RG</v>
          </cell>
          <cell r="D191" t="str">
            <v>SINTTEL-MG</v>
          </cell>
          <cell r="I191">
            <v>0</v>
          </cell>
          <cell r="J191" t="e">
            <v>#N/A</v>
          </cell>
          <cell r="K191" t="e">
            <v>#N/A</v>
          </cell>
        </row>
        <row r="192">
          <cell r="A192" t="str">
            <v>Comercinho</v>
          </cell>
          <cell r="B192" t="str">
            <v>MG</v>
          </cell>
          <cell r="C192" t="str">
            <v>FETHEMG</v>
          </cell>
          <cell r="D192" t="str">
            <v>SINTTEL-MG</v>
          </cell>
          <cell r="I192">
            <v>0</v>
          </cell>
          <cell r="J192" t="e">
            <v>#N/A</v>
          </cell>
          <cell r="K192" t="e">
            <v>#N/A</v>
          </cell>
        </row>
        <row r="193">
          <cell r="A193" t="str">
            <v>Conceição da Aparecida</v>
          </cell>
          <cell r="B193" t="str">
            <v>MG</v>
          </cell>
          <cell r="C193" t="str">
            <v>SÃO LOURENÇO RG</v>
          </cell>
          <cell r="D193" t="str">
            <v>SINTTEL-MG</v>
          </cell>
          <cell r="I193">
            <v>0</v>
          </cell>
          <cell r="J193" t="e">
            <v>#N/A</v>
          </cell>
          <cell r="K193" t="e">
            <v>#N/A</v>
          </cell>
        </row>
        <row r="194">
          <cell r="A194" t="str">
            <v>Conceição da Barra de Minas</v>
          </cell>
          <cell r="B194" t="str">
            <v>MG</v>
          </cell>
          <cell r="C194" t="str">
            <v>FETHEMG</v>
          </cell>
          <cell r="D194" t="str">
            <v>SINTTEL-MG</v>
          </cell>
          <cell r="I194">
            <v>0</v>
          </cell>
          <cell r="J194" t="e">
            <v>#N/A</v>
          </cell>
          <cell r="K194" t="e">
            <v>#N/A</v>
          </cell>
        </row>
        <row r="195">
          <cell r="A195" t="str">
            <v>Conceição das Alagoas</v>
          </cell>
          <cell r="B195" t="str">
            <v>MG</v>
          </cell>
          <cell r="C195" t="str">
            <v>UBERABA RG</v>
          </cell>
          <cell r="D195" t="str">
            <v>SINTTEL-MG</v>
          </cell>
          <cell r="I195">
            <v>0</v>
          </cell>
          <cell r="J195">
            <v>0.02</v>
          </cell>
          <cell r="K195">
            <v>0.02</v>
          </cell>
        </row>
        <row r="196">
          <cell r="A196" t="str">
            <v>Conceição das Pedras</v>
          </cell>
          <cell r="B196" t="str">
            <v>MG</v>
          </cell>
          <cell r="C196" t="str">
            <v>SÃO LOURENÇO RG</v>
          </cell>
          <cell r="D196" t="str">
            <v>SINTTEL-MG</v>
          </cell>
          <cell r="I196">
            <v>0</v>
          </cell>
          <cell r="J196" t="e">
            <v>#N/A</v>
          </cell>
          <cell r="K196" t="e">
            <v>#N/A</v>
          </cell>
        </row>
        <row r="197">
          <cell r="A197" t="str">
            <v>Conceição de Ipanema</v>
          </cell>
          <cell r="B197" t="str">
            <v>MG</v>
          </cell>
          <cell r="C197" t="str">
            <v>FETHEMG</v>
          </cell>
          <cell r="D197" t="str">
            <v>SINTTEL-MG</v>
          </cell>
          <cell r="I197">
            <v>0</v>
          </cell>
          <cell r="J197" t="e">
            <v>#N/A</v>
          </cell>
          <cell r="K197" t="e">
            <v>#N/A</v>
          </cell>
        </row>
        <row r="198">
          <cell r="A198" t="str">
            <v>Conceição do Mato Dentro</v>
          </cell>
          <cell r="B198" t="str">
            <v>MG</v>
          </cell>
          <cell r="C198" t="str">
            <v>CURVELO</v>
          </cell>
          <cell r="D198" t="str">
            <v>SINTTEL-MG</v>
          </cell>
          <cell r="I198">
            <v>0</v>
          </cell>
          <cell r="J198">
            <v>0.03</v>
          </cell>
          <cell r="K198">
            <v>0.03</v>
          </cell>
        </row>
        <row r="199">
          <cell r="A199" t="str">
            <v>Conceição do Pará</v>
          </cell>
          <cell r="B199" t="str">
            <v>MG</v>
          </cell>
          <cell r="C199" t="str">
            <v>DIVINÓPOLIS RG</v>
          </cell>
          <cell r="D199" t="str">
            <v>SINTTEL-MG</v>
          </cell>
          <cell r="I199">
            <v>0</v>
          </cell>
          <cell r="J199" t="e">
            <v>#N/A</v>
          </cell>
          <cell r="K199" t="e">
            <v>#N/A</v>
          </cell>
        </row>
        <row r="200">
          <cell r="A200" t="str">
            <v>Conceição do Rio Verde</v>
          </cell>
          <cell r="B200" t="str">
            <v>MG</v>
          </cell>
          <cell r="C200" t="str">
            <v>SÃO LOURENÇO RG</v>
          </cell>
          <cell r="D200" t="str">
            <v>SINTTEL-MG</v>
          </cell>
          <cell r="I200">
            <v>0</v>
          </cell>
          <cell r="J200">
            <v>0.03</v>
          </cell>
          <cell r="K200">
            <v>0.03</v>
          </cell>
        </row>
        <row r="201">
          <cell r="A201" t="str">
            <v>Conceição dos Ouros</v>
          </cell>
          <cell r="B201" t="str">
            <v>MG</v>
          </cell>
          <cell r="C201" t="str">
            <v>SÃO LOURENÇO RG</v>
          </cell>
          <cell r="D201" t="str">
            <v>SINTTEL-MG</v>
          </cell>
          <cell r="I201">
            <v>0</v>
          </cell>
          <cell r="J201" t="e">
            <v>#N/A</v>
          </cell>
          <cell r="K201" t="e">
            <v>#N/A</v>
          </cell>
        </row>
        <row r="202">
          <cell r="A202" t="str">
            <v>Cônego Marinho</v>
          </cell>
          <cell r="B202" t="str">
            <v>MG</v>
          </cell>
          <cell r="C202" t="str">
            <v>FETHEMG</v>
          </cell>
          <cell r="D202" t="str">
            <v>SINTTEL-MG</v>
          </cell>
          <cell r="I202">
            <v>0</v>
          </cell>
          <cell r="J202" t="e">
            <v>#N/A</v>
          </cell>
          <cell r="K202" t="e">
            <v>#N/A</v>
          </cell>
        </row>
        <row r="203">
          <cell r="A203" t="str">
            <v>Confins</v>
          </cell>
          <cell r="B203" t="str">
            <v>MG</v>
          </cell>
          <cell r="C203" t="str">
            <v>FETHEMG RM</v>
          </cell>
          <cell r="D203" t="str">
            <v>SINTTEL-MG</v>
          </cell>
          <cell r="I203">
            <v>0</v>
          </cell>
          <cell r="J203" t="e">
            <v>#N/A</v>
          </cell>
          <cell r="K203" t="e">
            <v>#N/A</v>
          </cell>
        </row>
        <row r="204">
          <cell r="A204" t="str">
            <v>Congonhal</v>
          </cell>
          <cell r="B204" t="str">
            <v>MG</v>
          </cell>
          <cell r="C204" t="str">
            <v>SÃO LOURENÇO RG</v>
          </cell>
          <cell r="D204" t="str">
            <v>SINTTEL-MG</v>
          </cell>
          <cell r="I204">
            <v>0</v>
          </cell>
          <cell r="J204" t="e">
            <v>#N/A</v>
          </cell>
          <cell r="K204" t="e">
            <v>#N/A</v>
          </cell>
        </row>
        <row r="205">
          <cell r="A205" t="str">
            <v>Congonhas</v>
          </cell>
          <cell r="B205" t="str">
            <v>MG</v>
          </cell>
          <cell r="C205" t="str">
            <v>OURO PRETO</v>
          </cell>
          <cell r="D205" t="str">
            <v>SINTTEL-MG</v>
          </cell>
          <cell r="I205">
            <v>0</v>
          </cell>
          <cell r="J205">
            <v>0.04</v>
          </cell>
          <cell r="K205">
            <v>0.02</v>
          </cell>
        </row>
        <row r="206">
          <cell r="A206" t="str">
            <v>Congonhas do Norte</v>
          </cell>
          <cell r="B206" t="str">
            <v>MG</v>
          </cell>
          <cell r="C206" t="str">
            <v>CURVELO</v>
          </cell>
          <cell r="D206" t="str">
            <v>SINTTEL-MG</v>
          </cell>
          <cell r="I206">
            <v>0</v>
          </cell>
          <cell r="J206" t="e">
            <v>#N/A</v>
          </cell>
          <cell r="K206" t="e">
            <v>#N/A</v>
          </cell>
        </row>
        <row r="207">
          <cell r="A207" t="str">
            <v>Conquista</v>
          </cell>
          <cell r="B207" t="str">
            <v>MG</v>
          </cell>
          <cell r="D207" t="str">
            <v>SINTTEL-MG</v>
          </cell>
          <cell r="I207">
            <v>0</v>
          </cell>
          <cell r="J207">
            <v>0.02</v>
          </cell>
          <cell r="K207">
            <v>0.02</v>
          </cell>
        </row>
        <row r="208">
          <cell r="A208" t="str">
            <v>Conselheiro Lafaiete</v>
          </cell>
          <cell r="B208" t="str">
            <v>MG</v>
          </cell>
          <cell r="C208" t="str">
            <v>FETHEMG</v>
          </cell>
          <cell r="D208" t="str">
            <v>SINTTEL-MG</v>
          </cell>
          <cell r="I208">
            <v>0</v>
          </cell>
          <cell r="J208">
            <v>0.02</v>
          </cell>
          <cell r="K208">
            <v>0.04</v>
          </cell>
        </row>
        <row r="209">
          <cell r="A209" t="str">
            <v>Conselheiro Pena</v>
          </cell>
          <cell r="B209" t="str">
            <v>MG</v>
          </cell>
          <cell r="C209" t="str">
            <v>FETHEMG</v>
          </cell>
          <cell r="D209" t="str">
            <v>SINTTEL-MG</v>
          </cell>
          <cell r="I209">
            <v>0</v>
          </cell>
          <cell r="J209">
            <v>0.03</v>
          </cell>
          <cell r="K209">
            <v>0.03</v>
          </cell>
        </row>
        <row r="210">
          <cell r="A210" t="str">
            <v>Consolação</v>
          </cell>
          <cell r="B210" t="str">
            <v>MG</v>
          </cell>
          <cell r="C210" t="str">
            <v>FETHEMG</v>
          </cell>
          <cell r="D210" t="str">
            <v>SINTTEL-MG</v>
          </cell>
          <cell r="I210">
            <v>0</v>
          </cell>
          <cell r="J210" t="e">
            <v>#N/A</v>
          </cell>
          <cell r="K210" t="e">
            <v>#N/A</v>
          </cell>
        </row>
        <row r="211">
          <cell r="A211" t="str">
            <v>Contagem</v>
          </cell>
          <cell r="B211" t="str">
            <v>MG</v>
          </cell>
          <cell r="C211" t="str">
            <v>SIND- ASSEIO</v>
          </cell>
          <cell r="D211" t="str">
            <v>SINTTEL-MG</v>
          </cell>
          <cell r="I211">
            <v>0</v>
          </cell>
          <cell r="J211">
            <v>0.02</v>
          </cell>
          <cell r="K211">
            <v>0.03</v>
          </cell>
        </row>
        <row r="212">
          <cell r="A212" t="str">
            <v>Contria</v>
          </cell>
          <cell r="B212" t="str">
            <v>MG</v>
          </cell>
          <cell r="D212" t="str">
            <v>SINTTEL-MG</v>
          </cell>
          <cell r="I212">
            <v>0</v>
          </cell>
          <cell r="J212" t="e">
            <v>#N/A</v>
          </cell>
          <cell r="K212" t="e">
            <v>#N/A</v>
          </cell>
        </row>
        <row r="213">
          <cell r="A213" t="str">
            <v>Coqueiral</v>
          </cell>
          <cell r="B213" t="str">
            <v>MG</v>
          </cell>
          <cell r="C213" t="str">
            <v>SÃO LOURENÇO RG</v>
          </cell>
          <cell r="D213" t="str">
            <v>SINTTEL-MG</v>
          </cell>
          <cell r="I213">
            <v>0</v>
          </cell>
          <cell r="J213" t="e">
            <v>#N/A</v>
          </cell>
          <cell r="K213" t="e">
            <v>#N/A</v>
          </cell>
        </row>
        <row r="214">
          <cell r="A214" t="str">
            <v>Coração de Jesus</v>
          </cell>
          <cell r="B214" t="str">
            <v>MG</v>
          </cell>
          <cell r="C214" t="str">
            <v>MONTES CLAROS RG</v>
          </cell>
          <cell r="D214" t="str">
            <v>SINTTEL-MG</v>
          </cell>
          <cell r="I214">
            <v>0</v>
          </cell>
          <cell r="J214">
            <v>0.05</v>
          </cell>
          <cell r="K214">
            <v>0.03</v>
          </cell>
        </row>
        <row r="215">
          <cell r="A215" t="str">
            <v>Cordisburgo</v>
          </cell>
          <cell r="B215" t="str">
            <v>MG</v>
          </cell>
          <cell r="C215" t="str">
            <v>CURVELO</v>
          </cell>
          <cell r="D215" t="str">
            <v>SINTTEL-MG</v>
          </cell>
          <cell r="I215">
            <v>0</v>
          </cell>
          <cell r="J215" t="e">
            <v>#N/A</v>
          </cell>
          <cell r="K215" t="e">
            <v>#N/A</v>
          </cell>
        </row>
        <row r="216">
          <cell r="A216" t="str">
            <v>Cordislândia</v>
          </cell>
          <cell r="B216" t="str">
            <v>MG</v>
          </cell>
          <cell r="C216" t="str">
            <v>SÃO LOURENÇO RG</v>
          </cell>
          <cell r="D216" t="str">
            <v>SINTTEL-MG</v>
          </cell>
          <cell r="I216">
            <v>0</v>
          </cell>
          <cell r="J216" t="e">
            <v>#N/A</v>
          </cell>
          <cell r="K216" t="e">
            <v>#N/A</v>
          </cell>
        </row>
        <row r="217">
          <cell r="A217" t="str">
            <v>Corinto</v>
          </cell>
          <cell r="B217" t="str">
            <v>MG</v>
          </cell>
          <cell r="C217" t="str">
            <v>CURVELO</v>
          </cell>
          <cell r="D217" t="str">
            <v>SINTTEL-MG</v>
          </cell>
          <cell r="I217">
            <v>0</v>
          </cell>
          <cell r="J217">
            <v>0.03</v>
          </cell>
          <cell r="K217">
            <v>0.03</v>
          </cell>
        </row>
        <row r="218">
          <cell r="A218" t="str">
            <v>Coroaci</v>
          </cell>
          <cell r="B218" t="str">
            <v>MG</v>
          </cell>
          <cell r="C218" t="str">
            <v>FETHEMG</v>
          </cell>
          <cell r="D218" t="str">
            <v>SINTTEL-MG</v>
          </cell>
          <cell r="I218">
            <v>0</v>
          </cell>
          <cell r="J218" t="e">
            <v>#N/A</v>
          </cell>
          <cell r="K218" t="e">
            <v>#N/A</v>
          </cell>
        </row>
        <row r="219">
          <cell r="A219" t="str">
            <v>Coromandel</v>
          </cell>
          <cell r="B219" t="str">
            <v>MG</v>
          </cell>
          <cell r="C219" t="str">
            <v>UBERLÂNDIA RG</v>
          </cell>
          <cell r="D219" t="str">
            <v>SINTTEL-MG</v>
          </cell>
          <cell r="I219">
            <v>0</v>
          </cell>
          <cell r="J219">
            <v>0.02</v>
          </cell>
          <cell r="K219">
            <v>0.02</v>
          </cell>
        </row>
        <row r="220">
          <cell r="A220" t="str">
            <v>Coronel Fabriciano</v>
          </cell>
          <cell r="B220" t="str">
            <v>MG</v>
          </cell>
          <cell r="C220" t="str">
            <v>VALE DO AÇO</v>
          </cell>
          <cell r="D220" t="str">
            <v>SINTTEL-MG</v>
          </cell>
          <cell r="I220">
            <v>0</v>
          </cell>
          <cell r="J220">
            <v>0.05</v>
          </cell>
          <cell r="K220">
            <v>0.02</v>
          </cell>
        </row>
        <row r="221">
          <cell r="A221" t="str">
            <v>Coronel Murta</v>
          </cell>
          <cell r="B221" t="str">
            <v>MG</v>
          </cell>
          <cell r="C221" t="str">
            <v>FETHEMG</v>
          </cell>
          <cell r="D221" t="str">
            <v>SINTTEL-MG</v>
          </cell>
          <cell r="I221">
            <v>0</v>
          </cell>
          <cell r="J221" t="e">
            <v>#N/A</v>
          </cell>
          <cell r="K221" t="e">
            <v>#N/A</v>
          </cell>
        </row>
        <row r="222">
          <cell r="A222" t="str">
            <v>Coronel Pacheco</v>
          </cell>
          <cell r="B222" t="str">
            <v>MG</v>
          </cell>
          <cell r="C222" t="str">
            <v>JUIZ DE FORA RG</v>
          </cell>
          <cell r="D222" t="str">
            <v>SINTTEL-MG</v>
          </cell>
          <cell r="I222">
            <v>0</v>
          </cell>
          <cell r="J222" t="e">
            <v>#N/A</v>
          </cell>
          <cell r="K222" t="e">
            <v>#N/A</v>
          </cell>
        </row>
        <row r="223">
          <cell r="A223" t="str">
            <v>Coronel Xavier Chaves</v>
          </cell>
          <cell r="B223" t="str">
            <v>MG</v>
          </cell>
          <cell r="C223" t="str">
            <v>JUIZ DE FORA RG</v>
          </cell>
          <cell r="D223" t="str">
            <v>SINTTEL-MG</v>
          </cell>
          <cell r="I223">
            <v>0</v>
          </cell>
          <cell r="J223" t="e">
            <v>#N/A</v>
          </cell>
          <cell r="K223" t="e">
            <v>#N/A</v>
          </cell>
        </row>
        <row r="224">
          <cell r="A224" t="str">
            <v>Córrego Danta</v>
          </cell>
          <cell r="B224" t="str">
            <v>MG</v>
          </cell>
          <cell r="C224" t="str">
            <v>DIVINÓPOLIS RG</v>
          </cell>
          <cell r="D224" t="str">
            <v>SINTTEL-MG</v>
          </cell>
          <cell r="I224">
            <v>0</v>
          </cell>
          <cell r="J224" t="e">
            <v>#N/A</v>
          </cell>
          <cell r="K224" t="e">
            <v>#N/A</v>
          </cell>
        </row>
        <row r="225">
          <cell r="A225" t="str">
            <v>Corrego do Bom Jesus</v>
          </cell>
          <cell r="B225" t="str">
            <v>MG</v>
          </cell>
          <cell r="C225" t="str">
            <v>FETHEMG</v>
          </cell>
          <cell r="D225" t="str">
            <v>SINTTEL-MG</v>
          </cell>
          <cell r="I225">
            <v>0</v>
          </cell>
          <cell r="J225" t="e">
            <v>#N/A</v>
          </cell>
          <cell r="K225" t="e">
            <v>#N/A</v>
          </cell>
        </row>
        <row r="226">
          <cell r="A226" t="str">
            <v>Córrego Fundo</v>
          </cell>
          <cell r="B226" t="str">
            <v>MG</v>
          </cell>
          <cell r="C226" t="str">
            <v>DIVINÓPOLIS RG</v>
          </cell>
          <cell r="D226" t="str">
            <v>SINTTEL-MG</v>
          </cell>
          <cell r="I226">
            <v>0</v>
          </cell>
          <cell r="J226" t="e">
            <v>#N/A</v>
          </cell>
          <cell r="K226" t="e">
            <v>#N/A</v>
          </cell>
        </row>
        <row r="227">
          <cell r="A227" t="str">
            <v>Córrego Novo</v>
          </cell>
          <cell r="B227" t="str">
            <v>MG</v>
          </cell>
          <cell r="C227" t="str">
            <v>FETHEMG</v>
          </cell>
          <cell r="D227" t="str">
            <v>SINTTEL-MG</v>
          </cell>
          <cell r="I227">
            <v>0</v>
          </cell>
          <cell r="J227" t="e">
            <v>#N/A</v>
          </cell>
          <cell r="K227" t="e">
            <v>#N/A</v>
          </cell>
        </row>
        <row r="228">
          <cell r="A228" t="str">
            <v>Costa Sena</v>
          </cell>
          <cell r="B228" t="str">
            <v>MG</v>
          </cell>
          <cell r="D228" t="str">
            <v>SINTTEL-MG</v>
          </cell>
          <cell r="I228">
            <v>0</v>
          </cell>
          <cell r="J228" t="e">
            <v>#N/A</v>
          </cell>
          <cell r="K228" t="e">
            <v>#N/A</v>
          </cell>
        </row>
        <row r="229">
          <cell r="A229" t="str">
            <v>Couto de Magalhães de Minas</v>
          </cell>
          <cell r="B229" t="str">
            <v>MG</v>
          </cell>
          <cell r="C229" t="str">
            <v>FETHEMG</v>
          </cell>
          <cell r="D229" t="str">
            <v>SINTTEL-MG</v>
          </cell>
          <cell r="I229">
            <v>0</v>
          </cell>
          <cell r="J229" t="e">
            <v>#N/A</v>
          </cell>
          <cell r="K229" t="e">
            <v>#N/A</v>
          </cell>
        </row>
        <row r="230">
          <cell r="A230" t="str">
            <v>Crisólita</v>
          </cell>
          <cell r="B230" t="str">
            <v>MG</v>
          </cell>
          <cell r="C230" t="str">
            <v>FETHEMG</v>
          </cell>
          <cell r="D230" t="str">
            <v>SINTTEL-MG</v>
          </cell>
          <cell r="I230">
            <v>0</v>
          </cell>
          <cell r="J230" t="e">
            <v>#N/A</v>
          </cell>
          <cell r="K230" t="e">
            <v>#N/A</v>
          </cell>
        </row>
        <row r="231">
          <cell r="A231" t="str">
            <v>Cristais</v>
          </cell>
          <cell r="B231" t="str">
            <v>MG</v>
          </cell>
          <cell r="C231" t="str">
            <v>SÃO LOURENÇO RG</v>
          </cell>
          <cell r="D231" t="str">
            <v>SINTTEL-MG</v>
          </cell>
          <cell r="I231">
            <v>0</v>
          </cell>
          <cell r="J231" t="e">
            <v>#N/A</v>
          </cell>
          <cell r="K231" t="e">
            <v>#N/A</v>
          </cell>
        </row>
        <row r="232">
          <cell r="A232" t="str">
            <v>Cristália</v>
          </cell>
          <cell r="B232" t="str">
            <v>MG</v>
          </cell>
          <cell r="C232" t="str">
            <v>MONTES CLAROS RG</v>
          </cell>
          <cell r="D232" t="str">
            <v>SINTTEL-MG</v>
          </cell>
          <cell r="I232">
            <v>0</v>
          </cell>
          <cell r="J232" t="e">
            <v>#N/A</v>
          </cell>
          <cell r="K232" t="e">
            <v>#N/A</v>
          </cell>
        </row>
        <row r="233">
          <cell r="A233" t="str">
            <v>Cristáliax</v>
          </cell>
          <cell r="B233" t="str">
            <v>MG</v>
          </cell>
          <cell r="D233" t="str">
            <v>SINTTEL-MG</v>
          </cell>
          <cell r="I233">
            <v>0</v>
          </cell>
          <cell r="J233" t="e">
            <v>#N/A</v>
          </cell>
          <cell r="K233" t="e">
            <v>#N/A</v>
          </cell>
        </row>
        <row r="234">
          <cell r="A234" t="str">
            <v>Cristiano Otoni</v>
          </cell>
          <cell r="B234" t="str">
            <v>MG</v>
          </cell>
          <cell r="C234" t="str">
            <v>FETHEMG</v>
          </cell>
          <cell r="D234" t="str">
            <v>SINTTEL-MG</v>
          </cell>
          <cell r="I234">
            <v>0</v>
          </cell>
          <cell r="J234" t="e">
            <v>#N/A</v>
          </cell>
          <cell r="K234" t="e">
            <v>#N/A</v>
          </cell>
        </row>
        <row r="235">
          <cell r="A235" t="str">
            <v>Cristina</v>
          </cell>
          <cell r="B235" t="str">
            <v>MG</v>
          </cell>
          <cell r="C235" t="str">
            <v>SÃO LOURENÇO RG</v>
          </cell>
          <cell r="D235" t="str">
            <v>SINTTEL-MG</v>
          </cell>
          <cell r="I235">
            <v>0</v>
          </cell>
          <cell r="J235">
            <v>0.02</v>
          </cell>
          <cell r="K235">
            <v>0.02</v>
          </cell>
        </row>
        <row r="236">
          <cell r="A236" t="str">
            <v>Crucilãndia</v>
          </cell>
          <cell r="B236" t="str">
            <v>MG</v>
          </cell>
          <cell r="C236" t="str">
            <v>DIVINÓPOLIS RG</v>
          </cell>
          <cell r="D236" t="str">
            <v>SINTTEL-MG</v>
          </cell>
          <cell r="I236">
            <v>0</v>
          </cell>
          <cell r="J236" t="e">
            <v>#N/A</v>
          </cell>
          <cell r="K236" t="e">
            <v>#N/A</v>
          </cell>
        </row>
        <row r="237">
          <cell r="A237" t="str">
            <v>Cruzeiro da Fortaleza</v>
          </cell>
          <cell r="B237" t="str">
            <v>MG</v>
          </cell>
          <cell r="C237" t="str">
            <v>UBERLÂNDIA RG</v>
          </cell>
          <cell r="D237" t="str">
            <v>SINTTEL-MG</v>
          </cell>
          <cell r="I237">
            <v>0</v>
          </cell>
          <cell r="J237" t="e">
            <v>#N/A</v>
          </cell>
          <cell r="K237" t="e">
            <v>#N/A</v>
          </cell>
        </row>
        <row r="238">
          <cell r="A238" t="str">
            <v>Cruzília</v>
          </cell>
          <cell r="B238" t="str">
            <v>MG</v>
          </cell>
          <cell r="C238" t="str">
            <v>SÃO LOURENÇO RG</v>
          </cell>
          <cell r="D238" t="str">
            <v>SINTTEL-MG</v>
          </cell>
          <cell r="I238">
            <v>0</v>
          </cell>
          <cell r="J238">
            <v>0.03</v>
          </cell>
          <cell r="K238">
            <v>0.02</v>
          </cell>
        </row>
        <row r="239">
          <cell r="A239" t="str">
            <v>Cuparaque</v>
          </cell>
          <cell r="B239" t="str">
            <v>MG</v>
          </cell>
          <cell r="C239" t="str">
            <v>FETHEMG</v>
          </cell>
          <cell r="D239" t="str">
            <v>SINTTEL-MG</v>
          </cell>
          <cell r="I239">
            <v>0</v>
          </cell>
          <cell r="J239" t="e">
            <v>#N/A</v>
          </cell>
          <cell r="K239" t="e">
            <v>#N/A</v>
          </cell>
        </row>
        <row r="240">
          <cell r="A240" t="str">
            <v>Curral de Dentro</v>
          </cell>
          <cell r="B240" t="str">
            <v>MG</v>
          </cell>
          <cell r="D240" t="str">
            <v>SINTTEL-MG</v>
          </cell>
          <cell r="I240">
            <v>0</v>
          </cell>
          <cell r="J240" t="e">
            <v>#N/A</v>
          </cell>
          <cell r="K240" t="e">
            <v>#N/A</v>
          </cell>
        </row>
        <row r="241">
          <cell r="A241" t="str">
            <v>Curvelo</v>
          </cell>
          <cell r="B241" t="str">
            <v>MG</v>
          </cell>
          <cell r="C241" t="str">
            <v>CURVELO</v>
          </cell>
          <cell r="D241" t="str">
            <v>SINTTEL-MG</v>
          </cell>
          <cell r="I241">
            <v>0</v>
          </cell>
          <cell r="J241">
            <v>0.02</v>
          </cell>
          <cell r="K241">
            <v>0.03</v>
          </cell>
        </row>
        <row r="242">
          <cell r="A242" t="str">
            <v>Datas</v>
          </cell>
          <cell r="B242" t="str">
            <v>MG</v>
          </cell>
          <cell r="C242" t="str">
            <v>CURVELO</v>
          </cell>
          <cell r="D242" t="str">
            <v>SINTTEL-MG</v>
          </cell>
          <cell r="I242">
            <v>0</v>
          </cell>
          <cell r="J242" t="e">
            <v>#N/A</v>
          </cell>
          <cell r="K242" t="e">
            <v>#N/A</v>
          </cell>
        </row>
        <row r="243">
          <cell r="A243" t="str">
            <v>Delfim Moreira</v>
          </cell>
          <cell r="B243" t="str">
            <v>MG</v>
          </cell>
          <cell r="C243" t="str">
            <v>SÃO LOURENÇO RG</v>
          </cell>
          <cell r="D243" t="str">
            <v>SINTTEL-MG</v>
          </cell>
          <cell r="I243">
            <v>0</v>
          </cell>
          <cell r="J243">
            <v>0.02</v>
          </cell>
          <cell r="K243">
            <v>0.02</v>
          </cell>
        </row>
        <row r="244">
          <cell r="A244" t="str">
            <v>Delfinópolis</v>
          </cell>
          <cell r="B244" t="str">
            <v>MG</v>
          </cell>
          <cell r="D244" t="str">
            <v>SINTTEL-MG</v>
          </cell>
          <cell r="I244">
            <v>0</v>
          </cell>
          <cell r="J244" t="e">
            <v>#N/A</v>
          </cell>
          <cell r="K244" t="e">
            <v>#N/A</v>
          </cell>
        </row>
        <row r="245">
          <cell r="A245" t="str">
            <v>Delta</v>
          </cell>
          <cell r="B245" t="str">
            <v>MG</v>
          </cell>
          <cell r="C245" t="str">
            <v>FETHEMG</v>
          </cell>
          <cell r="D245" t="str">
            <v>SINTTEL-MG</v>
          </cell>
          <cell r="I245">
            <v>0</v>
          </cell>
          <cell r="J245" t="e">
            <v>#N/A</v>
          </cell>
          <cell r="K245" t="e">
            <v>#N/A</v>
          </cell>
        </row>
        <row r="246">
          <cell r="A246" t="str">
            <v>Descoberto</v>
          </cell>
          <cell r="B246" t="str">
            <v>MG</v>
          </cell>
          <cell r="C246" t="str">
            <v>JUIZ DE FORA RG</v>
          </cell>
          <cell r="D246" t="str">
            <v>SINTTEL-MG</v>
          </cell>
          <cell r="I246">
            <v>0</v>
          </cell>
          <cell r="J246" t="e">
            <v>#N/A</v>
          </cell>
          <cell r="K246" t="e">
            <v>#N/A</v>
          </cell>
        </row>
        <row r="247">
          <cell r="A247" t="str">
            <v>Desterro de Entre Rios</v>
          </cell>
          <cell r="B247" t="str">
            <v>MG</v>
          </cell>
          <cell r="C247" t="str">
            <v>FETHEMG</v>
          </cell>
          <cell r="D247" t="str">
            <v>SINTTEL-MG</v>
          </cell>
          <cell r="I247">
            <v>0</v>
          </cell>
          <cell r="J247" t="e">
            <v>#N/A</v>
          </cell>
          <cell r="K247" t="e">
            <v>#N/A</v>
          </cell>
        </row>
        <row r="248">
          <cell r="A248" t="str">
            <v>Desterro do Melo</v>
          </cell>
          <cell r="B248" t="str">
            <v>MG</v>
          </cell>
          <cell r="C248" t="str">
            <v>JUIZ DE FORA RG</v>
          </cell>
          <cell r="D248" t="str">
            <v>SINTTEL-MG</v>
          </cell>
          <cell r="I248">
            <v>0</v>
          </cell>
          <cell r="J248" t="e">
            <v>#N/A</v>
          </cell>
          <cell r="K248" t="e">
            <v>#N/A</v>
          </cell>
        </row>
        <row r="249">
          <cell r="A249" t="str">
            <v>Diamantina</v>
          </cell>
          <cell r="B249" t="str">
            <v>MG</v>
          </cell>
          <cell r="C249" t="str">
            <v>CURVELO</v>
          </cell>
          <cell r="D249" t="str">
            <v>SINTTEL-MG</v>
          </cell>
          <cell r="I249">
            <v>0</v>
          </cell>
          <cell r="J249">
            <v>0.03</v>
          </cell>
          <cell r="K249">
            <v>0.05</v>
          </cell>
        </row>
        <row r="250">
          <cell r="A250" t="str">
            <v>Diogo de Vasconcelos</v>
          </cell>
          <cell r="B250" t="str">
            <v>MG</v>
          </cell>
          <cell r="C250" t="str">
            <v>OURO PRETO</v>
          </cell>
          <cell r="D250" t="str">
            <v>SINTTEL-MG</v>
          </cell>
          <cell r="I250">
            <v>0</v>
          </cell>
          <cell r="J250" t="e">
            <v>#N/A</v>
          </cell>
          <cell r="K250" t="e">
            <v>#N/A</v>
          </cell>
        </row>
        <row r="251">
          <cell r="A251" t="str">
            <v>Dionísio</v>
          </cell>
          <cell r="B251" t="str">
            <v>MG</v>
          </cell>
          <cell r="C251" t="str">
            <v>FETHEMG</v>
          </cell>
          <cell r="D251" t="str">
            <v>SINTTEL-MG</v>
          </cell>
          <cell r="I251">
            <v>0</v>
          </cell>
          <cell r="J251" t="e">
            <v>#N/A</v>
          </cell>
          <cell r="K251" t="e">
            <v>#N/A</v>
          </cell>
        </row>
        <row r="252">
          <cell r="A252" t="str">
            <v>Divinésia</v>
          </cell>
          <cell r="B252" t="str">
            <v>MG</v>
          </cell>
          <cell r="C252" t="str">
            <v>JUIZ DE FORA RG</v>
          </cell>
          <cell r="D252" t="str">
            <v>SINTTEL-MG</v>
          </cell>
          <cell r="I252">
            <v>0</v>
          </cell>
          <cell r="J252" t="e">
            <v>#N/A</v>
          </cell>
          <cell r="K252" t="e">
            <v>#N/A</v>
          </cell>
        </row>
        <row r="253">
          <cell r="A253" t="str">
            <v>Divino</v>
          </cell>
          <cell r="B253" t="str">
            <v>MG</v>
          </cell>
          <cell r="C253" t="str">
            <v>JUIZ DE FORA RG</v>
          </cell>
          <cell r="D253" t="str">
            <v>SINTTEL-MG</v>
          </cell>
          <cell r="I253">
            <v>0</v>
          </cell>
          <cell r="J253">
            <v>0.03</v>
          </cell>
          <cell r="K253">
            <v>0.03</v>
          </cell>
        </row>
        <row r="254">
          <cell r="A254" t="str">
            <v>Divino da Laranjeiras</v>
          </cell>
          <cell r="B254" t="str">
            <v>MG</v>
          </cell>
          <cell r="C254" t="str">
            <v>FETHEMG</v>
          </cell>
          <cell r="D254" t="str">
            <v>SINTTEL-MG</v>
          </cell>
          <cell r="I254">
            <v>0</v>
          </cell>
          <cell r="J254" t="e">
            <v>#N/A</v>
          </cell>
          <cell r="K254" t="e">
            <v>#N/A</v>
          </cell>
        </row>
        <row r="255">
          <cell r="A255" t="str">
            <v>Divinolãndia de Minas</v>
          </cell>
          <cell r="B255" t="str">
            <v>MG</v>
          </cell>
          <cell r="C255" t="str">
            <v>FETHEMG</v>
          </cell>
          <cell r="D255" t="str">
            <v>SINTTEL-MG</v>
          </cell>
          <cell r="I255">
            <v>0</v>
          </cell>
          <cell r="J255" t="e">
            <v>#N/A</v>
          </cell>
          <cell r="K255" t="e">
            <v>#N/A</v>
          </cell>
        </row>
        <row r="256">
          <cell r="A256" t="str">
            <v>Divinópolis</v>
          </cell>
          <cell r="B256" t="str">
            <v>MG</v>
          </cell>
          <cell r="C256" t="str">
            <v>DIVINÓPOLIS</v>
          </cell>
          <cell r="D256" t="str">
            <v>SINTTEL-MG</v>
          </cell>
          <cell r="I256">
            <v>0</v>
          </cell>
          <cell r="J256">
            <v>0.03</v>
          </cell>
          <cell r="K256">
            <v>0.05</v>
          </cell>
        </row>
        <row r="257">
          <cell r="A257" t="str">
            <v>Divisa Alegre</v>
          </cell>
          <cell r="B257" t="str">
            <v>MG</v>
          </cell>
          <cell r="C257" t="str">
            <v>FETHEMG</v>
          </cell>
          <cell r="D257" t="str">
            <v>SINTTEL-MG</v>
          </cell>
          <cell r="I257">
            <v>0</v>
          </cell>
          <cell r="J257">
            <v>0.05</v>
          </cell>
          <cell r="K257">
            <v>0.05</v>
          </cell>
        </row>
        <row r="258">
          <cell r="A258" t="str">
            <v>Divisa Nova</v>
          </cell>
          <cell r="B258" t="str">
            <v>MG</v>
          </cell>
          <cell r="C258" t="str">
            <v>SÃO LOURENÇO RG</v>
          </cell>
          <cell r="D258" t="str">
            <v>SINTTEL-MG</v>
          </cell>
          <cell r="I258">
            <v>0</v>
          </cell>
          <cell r="J258" t="e">
            <v>#N/A</v>
          </cell>
          <cell r="K258" t="e">
            <v>#N/A</v>
          </cell>
        </row>
        <row r="259">
          <cell r="A259" t="str">
            <v>Divisópolis</v>
          </cell>
          <cell r="B259" t="str">
            <v>MG</v>
          </cell>
          <cell r="C259" t="str">
            <v>FETHEMG</v>
          </cell>
          <cell r="D259" t="str">
            <v>SINTTEL-MG</v>
          </cell>
          <cell r="I259">
            <v>0</v>
          </cell>
          <cell r="J259" t="e">
            <v>#N/A</v>
          </cell>
          <cell r="K259" t="e">
            <v>#N/A</v>
          </cell>
        </row>
        <row r="260">
          <cell r="A260" t="str">
            <v>Dom Bosco</v>
          </cell>
          <cell r="B260" t="str">
            <v>MG</v>
          </cell>
          <cell r="C260" t="str">
            <v>FETHEMG</v>
          </cell>
          <cell r="D260" t="str">
            <v>SINTTEL-MG</v>
          </cell>
          <cell r="I260">
            <v>0</v>
          </cell>
          <cell r="J260" t="e">
            <v>#N/A</v>
          </cell>
          <cell r="K260" t="e">
            <v>#N/A</v>
          </cell>
        </row>
        <row r="261">
          <cell r="A261" t="str">
            <v>Dom Cavati</v>
          </cell>
          <cell r="B261" t="str">
            <v>MG</v>
          </cell>
          <cell r="C261" t="str">
            <v>VALE DO AÇO</v>
          </cell>
          <cell r="D261" t="str">
            <v>SINTTEL-MG</v>
          </cell>
          <cell r="I261">
            <v>0</v>
          </cell>
          <cell r="J261" t="e">
            <v>#N/A</v>
          </cell>
          <cell r="K261" t="e">
            <v>#N/A</v>
          </cell>
        </row>
        <row r="262">
          <cell r="A262" t="str">
            <v>Dom Joaquim</v>
          </cell>
          <cell r="B262" t="str">
            <v>MG</v>
          </cell>
          <cell r="C262" t="str">
            <v>FETHEMG</v>
          </cell>
          <cell r="D262" t="str">
            <v>SINTTEL-MG</v>
          </cell>
          <cell r="I262">
            <v>0</v>
          </cell>
          <cell r="J262" t="e">
            <v>#N/A</v>
          </cell>
          <cell r="K262" t="e">
            <v>#N/A</v>
          </cell>
        </row>
        <row r="263">
          <cell r="A263" t="str">
            <v>Dom Silvério</v>
          </cell>
          <cell r="B263" t="str">
            <v>MG</v>
          </cell>
          <cell r="C263" t="str">
            <v>FETHEMG</v>
          </cell>
          <cell r="D263" t="str">
            <v>SINTTEL-MG</v>
          </cell>
          <cell r="I263">
            <v>0</v>
          </cell>
          <cell r="J263" t="e">
            <v>#N/A</v>
          </cell>
          <cell r="K263" t="e">
            <v>#N/A</v>
          </cell>
        </row>
        <row r="264">
          <cell r="A264" t="str">
            <v>Dom Viçoso</v>
          </cell>
          <cell r="B264" t="str">
            <v>MG</v>
          </cell>
          <cell r="C264" t="str">
            <v>SÃO LOURENÇO RG</v>
          </cell>
          <cell r="D264" t="str">
            <v>SINTTEL-MG</v>
          </cell>
          <cell r="I264">
            <v>0</v>
          </cell>
          <cell r="J264" t="e">
            <v>#N/A</v>
          </cell>
          <cell r="K264" t="e">
            <v>#N/A</v>
          </cell>
        </row>
        <row r="265">
          <cell r="A265" t="str">
            <v>Dona Eusébia</v>
          </cell>
          <cell r="B265" t="str">
            <v>MG</v>
          </cell>
          <cell r="C265" t="str">
            <v>JUIZ DE FORA RG</v>
          </cell>
          <cell r="D265" t="str">
            <v>SINTTEL-MG</v>
          </cell>
          <cell r="I265">
            <v>0</v>
          </cell>
          <cell r="J265" t="e">
            <v>#N/A</v>
          </cell>
          <cell r="K265" t="e">
            <v>#N/A</v>
          </cell>
        </row>
        <row r="266">
          <cell r="A266" t="str">
            <v>Dores de Campo</v>
          </cell>
          <cell r="B266" t="str">
            <v>MG</v>
          </cell>
          <cell r="C266" t="str">
            <v>JUIZ DE FORA RG</v>
          </cell>
          <cell r="D266" t="str">
            <v>SINTTEL-MG</v>
          </cell>
          <cell r="I266">
            <v>0</v>
          </cell>
          <cell r="J266" t="e">
            <v>#N/A</v>
          </cell>
          <cell r="K266" t="e">
            <v>#N/A</v>
          </cell>
        </row>
        <row r="267">
          <cell r="A267" t="str">
            <v>Dores de Guanhães</v>
          </cell>
          <cell r="B267" t="str">
            <v>MG</v>
          </cell>
          <cell r="C267" t="str">
            <v>FETHEMG</v>
          </cell>
          <cell r="D267" t="str">
            <v>SINTTEL-MG</v>
          </cell>
          <cell r="I267">
            <v>0</v>
          </cell>
          <cell r="J267" t="e">
            <v>#N/A</v>
          </cell>
          <cell r="K267" t="e">
            <v>#N/A</v>
          </cell>
        </row>
        <row r="268">
          <cell r="A268" t="str">
            <v>Dores do Indaiá</v>
          </cell>
          <cell r="B268" t="str">
            <v>MG</v>
          </cell>
          <cell r="C268" t="str">
            <v>DIVINÓPOLIS RG</v>
          </cell>
          <cell r="D268" t="str">
            <v>SINTTEL-MG</v>
          </cell>
          <cell r="I268">
            <v>0</v>
          </cell>
          <cell r="J268">
            <v>0.02</v>
          </cell>
          <cell r="K268">
            <v>0.02</v>
          </cell>
        </row>
        <row r="269">
          <cell r="A269" t="str">
            <v>Dores do Turvo</v>
          </cell>
          <cell r="B269" t="str">
            <v>MG</v>
          </cell>
          <cell r="C269" t="str">
            <v>JUIZ DE FORA RG</v>
          </cell>
          <cell r="D269" t="str">
            <v>SINTTEL-MG</v>
          </cell>
          <cell r="I269">
            <v>0</v>
          </cell>
          <cell r="J269" t="e">
            <v>#N/A</v>
          </cell>
          <cell r="K269" t="e">
            <v>#N/A</v>
          </cell>
        </row>
        <row r="270">
          <cell r="A270" t="str">
            <v>Doresópolis</v>
          </cell>
          <cell r="B270" t="str">
            <v>MG</v>
          </cell>
          <cell r="C270" t="str">
            <v>DIVINÓPOLIS RG</v>
          </cell>
          <cell r="D270" t="str">
            <v>SINTTEL-MG</v>
          </cell>
          <cell r="I270">
            <v>0</v>
          </cell>
          <cell r="J270" t="e">
            <v>#N/A</v>
          </cell>
          <cell r="K270" t="e">
            <v>#N/A</v>
          </cell>
        </row>
        <row r="271">
          <cell r="A271" t="str">
            <v>Douradoquara</v>
          </cell>
          <cell r="B271" t="str">
            <v>MG</v>
          </cell>
          <cell r="D271" t="str">
            <v>SINTTEL-MG</v>
          </cell>
          <cell r="I271">
            <v>0</v>
          </cell>
          <cell r="J271" t="e">
            <v>#N/A</v>
          </cell>
          <cell r="K271" t="e">
            <v>#N/A</v>
          </cell>
        </row>
        <row r="272">
          <cell r="A272" t="str">
            <v>Durandé</v>
          </cell>
          <cell r="B272" t="str">
            <v>MG</v>
          </cell>
          <cell r="C272" t="str">
            <v>FETHEMG</v>
          </cell>
          <cell r="D272" t="str">
            <v>SINTTEL-MG</v>
          </cell>
          <cell r="I272">
            <v>0</v>
          </cell>
          <cell r="J272" t="e">
            <v>#N/A</v>
          </cell>
          <cell r="K272" t="e">
            <v>#N/A</v>
          </cell>
        </row>
        <row r="273">
          <cell r="A273" t="str">
            <v>Elói Mendes</v>
          </cell>
          <cell r="B273" t="str">
            <v>MG</v>
          </cell>
          <cell r="C273" t="str">
            <v>SÃO LOURENÇO RG</v>
          </cell>
          <cell r="D273" t="str">
            <v>SINTTEL-MG</v>
          </cell>
          <cell r="I273">
            <v>0</v>
          </cell>
          <cell r="J273">
            <v>0.05</v>
          </cell>
          <cell r="K273">
            <v>0.02</v>
          </cell>
        </row>
        <row r="274">
          <cell r="A274" t="str">
            <v>Engenheiro Caldas</v>
          </cell>
          <cell r="B274" t="str">
            <v>MG</v>
          </cell>
          <cell r="C274" t="str">
            <v>FETHEMG</v>
          </cell>
          <cell r="D274" t="str">
            <v>SINTTEL-MG</v>
          </cell>
          <cell r="I274">
            <v>0</v>
          </cell>
          <cell r="J274" t="e">
            <v>#N/A</v>
          </cell>
          <cell r="K274" t="e">
            <v>#N/A</v>
          </cell>
        </row>
        <row r="275">
          <cell r="A275" t="str">
            <v>Engenheiro Navarro</v>
          </cell>
          <cell r="B275" t="str">
            <v>MG</v>
          </cell>
          <cell r="C275" t="str">
            <v>MONTES CLAROS RG</v>
          </cell>
          <cell r="D275" t="str">
            <v>SINTTEL-MG</v>
          </cell>
          <cell r="I275">
            <v>0</v>
          </cell>
          <cell r="J275" t="e">
            <v>#N/A</v>
          </cell>
          <cell r="K275" t="e">
            <v>#N/A</v>
          </cell>
        </row>
        <row r="276">
          <cell r="A276" t="str">
            <v>Entre Folhas</v>
          </cell>
          <cell r="B276" t="str">
            <v>MG</v>
          </cell>
          <cell r="C276" t="str">
            <v>FETHEMG</v>
          </cell>
          <cell r="D276" t="str">
            <v>SINTTEL-MG</v>
          </cell>
          <cell r="I276">
            <v>0</v>
          </cell>
          <cell r="J276" t="e">
            <v>#N/A</v>
          </cell>
          <cell r="K276" t="e">
            <v>#N/A</v>
          </cell>
        </row>
        <row r="277">
          <cell r="A277" t="str">
            <v>Entre Rios de Minas</v>
          </cell>
          <cell r="B277" t="str">
            <v>MG</v>
          </cell>
          <cell r="C277" t="str">
            <v>FETHEMG</v>
          </cell>
          <cell r="D277" t="str">
            <v>SINTTEL-MG</v>
          </cell>
          <cell r="I277">
            <v>0</v>
          </cell>
          <cell r="J277">
            <v>0.02</v>
          </cell>
          <cell r="K277">
            <v>0.02</v>
          </cell>
        </row>
        <row r="278">
          <cell r="A278" t="str">
            <v>Ervália</v>
          </cell>
          <cell r="B278" t="str">
            <v>MG</v>
          </cell>
          <cell r="C278" t="str">
            <v>JUIZ DE FORA RG</v>
          </cell>
          <cell r="D278" t="str">
            <v>SINTTEL-MG</v>
          </cell>
          <cell r="I278">
            <v>0</v>
          </cell>
          <cell r="J278">
            <v>0.03</v>
          </cell>
          <cell r="K278">
            <v>0.03</v>
          </cell>
        </row>
        <row r="279">
          <cell r="A279" t="str">
            <v>Esmeraldas</v>
          </cell>
          <cell r="B279" t="str">
            <v>MG</v>
          </cell>
          <cell r="C279" t="str">
            <v>FETHEMG RM</v>
          </cell>
          <cell r="D279" t="str">
            <v>SINTTEL-MG</v>
          </cell>
          <cell r="I279">
            <v>0</v>
          </cell>
          <cell r="J279">
            <v>0.02</v>
          </cell>
          <cell r="K279">
            <v>0.02</v>
          </cell>
        </row>
        <row r="280">
          <cell r="A280" t="str">
            <v>Espera Feliz</v>
          </cell>
          <cell r="B280" t="str">
            <v>MG</v>
          </cell>
          <cell r="C280" t="str">
            <v>JUIZ DE FORA RG</v>
          </cell>
          <cell r="D280" t="str">
            <v>SINTTEL-MG</v>
          </cell>
          <cell r="I280">
            <v>0</v>
          </cell>
          <cell r="J280">
            <v>0.03</v>
          </cell>
          <cell r="K280">
            <v>0.03</v>
          </cell>
        </row>
        <row r="281">
          <cell r="A281" t="str">
            <v>Espinosa</v>
          </cell>
          <cell r="B281" t="str">
            <v>MG</v>
          </cell>
          <cell r="C281" t="str">
            <v>MONTES CLAROS RG</v>
          </cell>
          <cell r="D281" t="str">
            <v>SINTTEL-MG</v>
          </cell>
          <cell r="I281">
            <v>0</v>
          </cell>
          <cell r="J281">
            <v>0.03</v>
          </cell>
          <cell r="K281">
            <v>0.03</v>
          </cell>
        </row>
        <row r="282">
          <cell r="A282" t="str">
            <v>Espirito Santo do Dourado</v>
          </cell>
          <cell r="B282" t="str">
            <v>MG</v>
          </cell>
          <cell r="C282" t="str">
            <v>SÃO LOURENÇO RG</v>
          </cell>
          <cell r="D282" t="str">
            <v>SINTTEL-MG</v>
          </cell>
          <cell r="I282">
            <v>0</v>
          </cell>
          <cell r="J282" t="e">
            <v>#N/A</v>
          </cell>
          <cell r="K282" t="e">
            <v>#N/A</v>
          </cell>
        </row>
        <row r="283">
          <cell r="A283" t="str">
            <v>Estiva</v>
          </cell>
          <cell r="B283" t="str">
            <v>MG</v>
          </cell>
          <cell r="C283" t="str">
            <v>SÃO LOURENÇO RG</v>
          </cell>
          <cell r="D283" t="str">
            <v>SINTTEL-MG</v>
          </cell>
          <cell r="I283">
            <v>0</v>
          </cell>
          <cell r="J283" t="e">
            <v>#N/A</v>
          </cell>
          <cell r="K283" t="e">
            <v>#N/A</v>
          </cell>
        </row>
        <row r="284">
          <cell r="A284" t="str">
            <v>Estivas</v>
          </cell>
          <cell r="B284" t="str">
            <v>MG</v>
          </cell>
          <cell r="D284" t="str">
            <v>SINTTEL-MG</v>
          </cell>
          <cell r="I284">
            <v>0</v>
          </cell>
          <cell r="J284" t="e">
            <v>#N/A</v>
          </cell>
          <cell r="K284" t="e">
            <v>#N/A</v>
          </cell>
        </row>
        <row r="285">
          <cell r="A285" t="str">
            <v>Estrela Dalva</v>
          </cell>
          <cell r="B285" t="str">
            <v>MG</v>
          </cell>
          <cell r="C285" t="str">
            <v>JUIZ DE FORA RG</v>
          </cell>
          <cell r="D285" t="str">
            <v>SINTTEL-MG</v>
          </cell>
          <cell r="I285">
            <v>0</v>
          </cell>
          <cell r="J285" t="e">
            <v>#N/A</v>
          </cell>
          <cell r="K285" t="e">
            <v>#N/A</v>
          </cell>
        </row>
        <row r="286">
          <cell r="A286" t="str">
            <v>Estrela do Indaiá</v>
          </cell>
          <cell r="B286" t="str">
            <v>MG</v>
          </cell>
          <cell r="C286" t="str">
            <v>DIVINÓPOLIS RG</v>
          </cell>
          <cell r="D286" t="str">
            <v>SINTTEL-MG</v>
          </cell>
          <cell r="I286">
            <v>0</v>
          </cell>
          <cell r="J286" t="e">
            <v>#N/A</v>
          </cell>
          <cell r="K286" t="e">
            <v>#N/A</v>
          </cell>
        </row>
        <row r="287">
          <cell r="A287" t="str">
            <v>Estrela do Sul</v>
          </cell>
          <cell r="B287" t="str">
            <v>MG</v>
          </cell>
          <cell r="C287" t="str">
            <v>UBERLÂNDIA RG</v>
          </cell>
          <cell r="D287" t="str">
            <v>SINTTEL-MG</v>
          </cell>
          <cell r="I287">
            <v>0</v>
          </cell>
          <cell r="J287">
            <v>0.02</v>
          </cell>
          <cell r="K287">
            <v>0.02</v>
          </cell>
        </row>
        <row r="288">
          <cell r="A288" t="str">
            <v>Eugenópolis</v>
          </cell>
          <cell r="B288" t="str">
            <v>MG</v>
          </cell>
          <cell r="C288" t="str">
            <v>JUIZ DE FORA RG</v>
          </cell>
          <cell r="D288" t="str">
            <v>SINTTEL-MG</v>
          </cell>
          <cell r="I288">
            <v>0</v>
          </cell>
          <cell r="J288">
            <v>0.03</v>
          </cell>
          <cell r="K288">
            <v>0.03</v>
          </cell>
        </row>
        <row r="289">
          <cell r="A289" t="str">
            <v>Ewbank da Câmara</v>
          </cell>
          <cell r="B289" t="str">
            <v>MG</v>
          </cell>
          <cell r="C289" t="str">
            <v>JUIZ DE FORA RG</v>
          </cell>
          <cell r="D289" t="str">
            <v>SINTTEL-MG</v>
          </cell>
          <cell r="I289">
            <v>0</v>
          </cell>
          <cell r="J289" t="e">
            <v>#N/A</v>
          </cell>
          <cell r="K289" t="e">
            <v>#N/A</v>
          </cell>
        </row>
        <row r="290">
          <cell r="A290" t="str">
            <v>Extrema</v>
          </cell>
          <cell r="B290" t="str">
            <v>MG</v>
          </cell>
          <cell r="C290" t="str">
            <v>SÃO LOURENÇO RG</v>
          </cell>
          <cell r="D290" t="str">
            <v>SINTTEL-MG</v>
          </cell>
          <cell r="I290">
            <v>0</v>
          </cell>
          <cell r="J290">
            <v>0.02</v>
          </cell>
          <cell r="K290">
            <v>0.02</v>
          </cell>
        </row>
        <row r="291">
          <cell r="A291" t="str">
            <v>Fama</v>
          </cell>
          <cell r="B291" t="str">
            <v>MG</v>
          </cell>
          <cell r="C291" t="str">
            <v>SÃO LOURENÇO RG</v>
          </cell>
          <cell r="D291" t="str">
            <v>SINTTEL-MG</v>
          </cell>
          <cell r="I291">
            <v>0</v>
          </cell>
          <cell r="J291" t="e">
            <v>#N/A</v>
          </cell>
          <cell r="K291" t="e">
            <v>#N/A</v>
          </cell>
        </row>
        <row r="292">
          <cell r="A292" t="str">
            <v>Faria Lemos</v>
          </cell>
          <cell r="B292" t="str">
            <v>MG</v>
          </cell>
          <cell r="C292" t="str">
            <v>JUIZ DE FORA RG</v>
          </cell>
          <cell r="D292" t="str">
            <v>SINTTEL-MG</v>
          </cell>
          <cell r="I292">
            <v>0</v>
          </cell>
          <cell r="J292" t="e">
            <v>#N/A</v>
          </cell>
          <cell r="K292" t="e">
            <v>#N/A</v>
          </cell>
        </row>
        <row r="293">
          <cell r="A293" t="str">
            <v>Felício dos Santos</v>
          </cell>
          <cell r="B293" t="str">
            <v>MG</v>
          </cell>
          <cell r="C293" t="str">
            <v>FETHEMG</v>
          </cell>
          <cell r="D293" t="str">
            <v>SINTTEL-MG</v>
          </cell>
          <cell r="I293">
            <v>0</v>
          </cell>
          <cell r="J293" t="e">
            <v>#N/A</v>
          </cell>
          <cell r="K293" t="e">
            <v>#N/A</v>
          </cell>
        </row>
        <row r="294">
          <cell r="A294" t="str">
            <v>Felisburgo</v>
          </cell>
          <cell r="B294" t="str">
            <v>MG</v>
          </cell>
          <cell r="C294" t="str">
            <v>FETHEMG</v>
          </cell>
          <cell r="D294" t="str">
            <v>SINTTEL-MG</v>
          </cell>
          <cell r="I294">
            <v>0</v>
          </cell>
          <cell r="J294" t="e">
            <v>#N/A</v>
          </cell>
          <cell r="K294" t="e">
            <v>#N/A</v>
          </cell>
        </row>
        <row r="295">
          <cell r="A295" t="str">
            <v>Felixlândia</v>
          </cell>
          <cell r="B295" t="str">
            <v>MG</v>
          </cell>
          <cell r="C295" t="str">
            <v>CURVELO</v>
          </cell>
          <cell r="D295" t="str">
            <v>SINTTEL-MG</v>
          </cell>
          <cell r="I295">
            <v>0</v>
          </cell>
          <cell r="J295" t="e">
            <v>#N/A</v>
          </cell>
          <cell r="K295" t="e">
            <v>#N/A</v>
          </cell>
        </row>
        <row r="296">
          <cell r="A296" t="str">
            <v>Fernandes Tourinho</v>
          </cell>
          <cell r="B296" t="str">
            <v>MG</v>
          </cell>
          <cell r="C296" t="str">
            <v>FETHEMG</v>
          </cell>
          <cell r="D296" t="str">
            <v>SINTTEL-MG</v>
          </cell>
          <cell r="I296">
            <v>0</v>
          </cell>
          <cell r="J296" t="e">
            <v>#N/A</v>
          </cell>
          <cell r="K296" t="e">
            <v>#N/A</v>
          </cell>
        </row>
        <row r="297">
          <cell r="A297" t="str">
            <v>Ferros</v>
          </cell>
          <cell r="B297" t="str">
            <v>MG</v>
          </cell>
          <cell r="C297" t="str">
            <v>ITABIRA RG</v>
          </cell>
          <cell r="D297" t="str">
            <v>SINTTEL-MG</v>
          </cell>
          <cell r="I297">
            <v>0</v>
          </cell>
          <cell r="J297">
            <v>0.03</v>
          </cell>
          <cell r="K297">
            <v>0.03</v>
          </cell>
        </row>
        <row r="298">
          <cell r="A298" t="str">
            <v>Fervedouro</v>
          </cell>
          <cell r="B298" t="str">
            <v>MG</v>
          </cell>
          <cell r="C298" t="str">
            <v>FETHEMG</v>
          </cell>
          <cell r="D298" t="str">
            <v>SINTTEL-MG</v>
          </cell>
          <cell r="I298">
            <v>0</v>
          </cell>
          <cell r="J298" t="e">
            <v>#N/A</v>
          </cell>
          <cell r="K298" t="e">
            <v>#N/A</v>
          </cell>
        </row>
        <row r="299">
          <cell r="A299" t="str">
            <v>Florestal</v>
          </cell>
          <cell r="B299" t="str">
            <v>MG</v>
          </cell>
          <cell r="C299" t="str">
            <v>FETHEMG</v>
          </cell>
          <cell r="D299" t="str">
            <v>SINTTEL-MG</v>
          </cell>
          <cell r="I299">
            <v>0</v>
          </cell>
          <cell r="J299" t="e">
            <v>#N/A</v>
          </cell>
          <cell r="K299" t="e">
            <v>#N/A</v>
          </cell>
        </row>
        <row r="300">
          <cell r="A300" t="str">
            <v>Formiga</v>
          </cell>
          <cell r="B300" t="str">
            <v>MG</v>
          </cell>
          <cell r="C300" t="str">
            <v>SÃO LOURENÇO RG</v>
          </cell>
          <cell r="D300" t="str">
            <v>SINTTEL-MG</v>
          </cell>
          <cell r="I300">
            <v>0</v>
          </cell>
          <cell r="J300">
            <v>0.02</v>
          </cell>
          <cell r="K300">
            <v>0.02</v>
          </cell>
        </row>
        <row r="301">
          <cell r="A301" t="str">
            <v>Formoso</v>
          </cell>
          <cell r="B301" t="str">
            <v>MG</v>
          </cell>
          <cell r="C301" t="str">
            <v>FETHEMG</v>
          </cell>
          <cell r="D301" t="str">
            <v>SINTTEL-MG</v>
          </cell>
          <cell r="I301">
            <v>0</v>
          </cell>
          <cell r="J301" t="e">
            <v>#N/A</v>
          </cell>
          <cell r="K301" t="e">
            <v>#N/A</v>
          </cell>
        </row>
        <row r="302">
          <cell r="A302" t="str">
            <v>Fortaleza de Minas</v>
          </cell>
          <cell r="B302" t="str">
            <v>MG</v>
          </cell>
          <cell r="C302" t="str">
            <v>FETHEMG</v>
          </cell>
          <cell r="D302" t="str">
            <v>SINTTEL-MG</v>
          </cell>
          <cell r="I302">
            <v>0</v>
          </cell>
          <cell r="J302" t="e">
            <v>#N/A</v>
          </cell>
          <cell r="K302" t="e">
            <v>#N/A</v>
          </cell>
        </row>
        <row r="303">
          <cell r="A303" t="str">
            <v>Fortuna de Minas</v>
          </cell>
          <cell r="B303" t="str">
            <v>MG</v>
          </cell>
          <cell r="C303" t="str">
            <v>SETE LAGOAS</v>
          </cell>
          <cell r="D303" t="str">
            <v>SINTTEL-MG</v>
          </cell>
          <cell r="I303">
            <v>0</v>
          </cell>
          <cell r="J303" t="e">
            <v>#N/A</v>
          </cell>
          <cell r="K303" t="e">
            <v>#N/A</v>
          </cell>
        </row>
        <row r="304">
          <cell r="A304" t="str">
            <v>Francisco Badaró</v>
          </cell>
          <cell r="B304" t="str">
            <v>MG</v>
          </cell>
          <cell r="C304" t="str">
            <v>FETHEMG</v>
          </cell>
          <cell r="D304" t="str">
            <v>SINTTEL-MG</v>
          </cell>
          <cell r="I304">
            <v>0</v>
          </cell>
          <cell r="J304" t="e">
            <v>#N/A</v>
          </cell>
          <cell r="K304" t="e">
            <v>#N/A</v>
          </cell>
        </row>
        <row r="305">
          <cell r="A305" t="str">
            <v>Francisco Dumont</v>
          </cell>
          <cell r="B305" t="str">
            <v>MG</v>
          </cell>
          <cell r="C305" t="str">
            <v>MONTES CLAROS RG</v>
          </cell>
          <cell r="D305" t="str">
            <v>SINTTEL-MG</v>
          </cell>
          <cell r="I305">
            <v>0</v>
          </cell>
          <cell r="J305" t="e">
            <v>#N/A</v>
          </cell>
          <cell r="K305" t="e">
            <v>#N/A</v>
          </cell>
        </row>
        <row r="306">
          <cell r="A306" t="str">
            <v>Francisco Sá</v>
          </cell>
          <cell r="B306" t="str">
            <v>MG</v>
          </cell>
          <cell r="C306" t="str">
            <v>MONTES CLAROS RG</v>
          </cell>
          <cell r="D306" t="str">
            <v>SINTTEL-MG</v>
          </cell>
          <cell r="I306">
            <v>0</v>
          </cell>
          <cell r="J306">
            <v>0.02</v>
          </cell>
          <cell r="K306">
            <v>0.02</v>
          </cell>
        </row>
        <row r="307">
          <cell r="A307" t="str">
            <v>Franciscópolis</v>
          </cell>
          <cell r="B307" t="str">
            <v>MG</v>
          </cell>
          <cell r="C307" t="str">
            <v>FETHEMG</v>
          </cell>
          <cell r="D307" t="str">
            <v>SINTTEL-MG</v>
          </cell>
          <cell r="I307">
            <v>0</v>
          </cell>
          <cell r="J307" t="e">
            <v>#N/A</v>
          </cell>
          <cell r="K307" t="e">
            <v>#N/A</v>
          </cell>
        </row>
        <row r="308">
          <cell r="A308" t="str">
            <v>Frei Gaspar</v>
          </cell>
          <cell r="B308" t="str">
            <v>MG</v>
          </cell>
          <cell r="C308" t="str">
            <v>TEÓFILO OTONI RG</v>
          </cell>
          <cell r="D308" t="str">
            <v>SINTTEL-MG</v>
          </cell>
          <cell r="I308">
            <v>0</v>
          </cell>
          <cell r="J308" t="e">
            <v>#N/A</v>
          </cell>
          <cell r="K308" t="e">
            <v>#N/A</v>
          </cell>
        </row>
        <row r="309">
          <cell r="A309" t="str">
            <v>Frei Inocêncio</v>
          </cell>
          <cell r="B309" t="str">
            <v>MG</v>
          </cell>
          <cell r="C309" t="str">
            <v>TEÓFILO OTONI RG</v>
          </cell>
          <cell r="D309" t="str">
            <v>SINTTEL-MG</v>
          </cell>
          <cell r="I309">
            <v>0</v>
          </cell>
          <cell r="J309" t="e">
            <v>#N/A</v>
          </cell>
          <cell r="K309" t="e">
            <v>#N/A</v>
          </cell>
        </row>
        <row r="310">
          <cell r="A310" t="str">
            <v>Frei Lagonegro</v>
          </cell>
          <cell r="B310" t="str">
            <v>MG</v>
          </cell>
          <cell r="C310" t="str">
            <v>FETHEMG</v>
          </cell>
          <cell r="D310" t="str">
            <v>SINTTEL-MG</v>
          </cell>
          <cell r="I310">
            <v>0</v>
          </cell>
          <cell r="J310" t="e">
            <v>#N/A</v>
          </cell>
          <cell r="K310" t="e">
            <v>#N/A</v>
          </cell>
        </row>
        <row r="311">
          <cell r="A311" t="str">
            <v>Frei Orlando</v>
          </cell>
          <cell r="B311" t="str">
            <v>MG</v>
          </cell>
          <cell r="D311" t="str">
            <v>SINTTEL-MG</v>
          </cell>
          <cell r="I311">
            <v>0</v>
          </cell>
          <cell r="J311" t="e">
            <v>#N/A</v>
          </cell>
          <cell r="K311" t="e">
            <v>#N/A</v>
          </cell>
        </row>
        <row r="312">
          <cell r="A312" t="str">
            <v>Fronteira</v>
          </cell>
          <cell r="B312" t="str">
            <v>MG</v>
          </cell>
          <cell r="C312" t="str">
            <v>UBERABA RG</v>
          </cell>
          <cell r="D312" t="str">
            <v>SINTTEL-MG</v>
          </cell>
          <cell r="I312">
            <v>0</v>
          </cell>
          <cell r="J312">
            <v>0.03</v>
          </cell>
          <cell r="K312">
            <v>0.03</v>
          </cell>
        </row>
        <row r="313">
          <cell r="A313" t="str">
            <v>Fronteira dos Vales</v>
          </cell>
          <cell r="B313" t="str">
            <v>MG</v>
          </cell>
          <cell r="C313" t="str">
            <v>FETHEMG</v>
          </cell>
          <cell r="D313" t="str">
            <v>SINTTEL-MG</v>
          </cell>
          <cell r="I313">
            <v>0</v>
          </cell>
          <cell r="J313" t="e">
            <v>#N/A</v>
          </cell>
          <cell r="K313" t="e">
            <v>#N/A</v>
          </cell>
        </row>
        <row r="314">
          <cell r="A314" t="str">
            <v>Fruta de Leite</v>
          </cell>
          <cell r="B314" t="str">
            <v>MG</v>
          </cell>
          <cell r="C314" t="str">
            <v>FETHEMG</v>
          </cell>
          <cell r="D314" t="str">
            <v>SINTTEL-MG</v>
          </cell>
          <cell r="I314">
            <v>0</v>
          </cell>
          <cell r="J314" t="e">
            <v>#N/A</v>
          </cell>
          <cell r="K314" t="e">
            <v>#N/A</v>
          </cell>
        </row>
        <row r="315">
          <cell r="A315" t="str">
            <v>Frutal</v>
          </cell>
          <cell r="B315" t="str">
            <v>MG</v>
          </cell>
          <cell r="C315" t="str">
            <v>UBERABA RG</v>
          </cell>
          <cell r="D315" t="str">
            <v>SINTTEL-MG</v>
          </cell>
          <cell r="I315">
            <v>0</v>
          </cell>
          <cell r="J315">
            <v>0.02</v>
          </cell>
          <cell r="K315">
            <v>0.02</v>
          </cell>
        </row>
        <row r="316">
          <cell r="A316" t="str">
            <v>Funilãndia</v>
          </cell>
          <cell r="B316" t="str">
            <v>MG</v>
          </cell>
          <cell r="C316" t="str">
            <v>SETE LAGOAS</v>
          </cell>
          <cell r="D316" t="str">
            <v>SINTTEL-MG</v>
          </cell>
          <cell r="I316">
            <v>0</v>
          </cell>
          <cell r="J316" t="e">
            <v>#N/A</v>
          </cell>
          <cell r="K316" t="e">
            <v>#N/A</v>
          </cell>
        </row>
        <row r="317">
          <cell r="A317" t="str">
            <v>Galiléia</v>
          </cell>
          <cell r="B317" t="str">
            <v>MG</v>
          </cell>
          <cell r="C317" t="str">
            <v>FETHEMG</v>
          </cell>
          <cell r="D317" t="str">
            <v>SINTTEL-MG</v>
          </cell>
          <cell r="I317">
            <v>0</v>
          </cell>
          <cell r="J317">
            <v>0.03</v>
          </cell>
          <cell r="K317">
            <v>0.03</v>
          </cell>
        </row>
        <row r="318">
          <cell r="A318" t="str">
            <v>Gameleiras</v>
          </cell>
          <cell r="B318" t="str">
            <v>MG</v>
          </cell>
          <cell r="D318" t="str">
            <v>SINTTEL-MG</v>
          </cell>
          <cell r="I318">
            <v>0</v>
          </cell>
          <cell r="J318" t="e">
            <v>#N/A</v>
          </cell>
          <cell r="K318" t="e">
            <v>#N/A</v>
          </cell>
        </row>
        <row r="319">
          <cell r="A319" t="str">
            <v>Gentil de Matos</v>
          </cell>
          <cell r="B319" t="str">
            <v>MG</v>
          </cell>
          <cell r="D319" t="str">
            <v>SINTTEL-MG</v>
          </cell>
          <cell r="I319">
            <v>0</v>
          </cell>
          <cell r="J319" t="e">
            <v>#N/A</v>
          </cell>
          <cell r="K319" t="e">
            <v>#N/A</v>
          </cell>
        </row>
        <row r="320">
          <cell r="A320" t="str">
            <v>Glaucilãndia</v>
          </cell>
          <cell r="B320" t="str">
            <v>MG</v>
          </cell>
          <cell r="C320" t="str">
            <v>FETHEMG</v>
          </cell>
          <cell r="D320" t="str">
            <v>SINTTEL-MG</v>
          </cell>
          <cell r="I320">
            <v>0</v>
          </cell>
          <cell r="J320" t="e">
            <v>#N/A</v>
          </cell>
          <cell r="K320" t="e">
            <v>#N/A</v>
          </cell>
        </row>
        <row r="321">
          <cell r="A321" t="str">
            <v>Goiabeira</v>
          </cell>
          <cell r="B321" t="str">
            <v>MG</v>
          </cell>
          <cell r="C321" t="str">
            <v>FETHEMG</v>
          </cell>
          <cell r="D321" t="str">
            <v>SINTTEL-MG</v>
          </cell>
          <cell r="I321">
            <v>0</v>
          </cell>
          <cell r="J321" t="e">
            <v>#N/A</v>
          </cell>
          <cell r="K321" t="e">
            <v>#N/A</v>
          </cell>
        </row>
        <row r="322">
          <cell r="A322" t="str">
            <v>Goianá</v>
          </cell>
          <cell r="B322" t="str">
            <v>MG</v>
          </cell>
          <cell r="C322" t="str">
            <v>JUIZ DE FORA RG</v>
          </cell>
          <cell r="D322" t="str">
            <v>SINTTEL-MG</v>
          </cell>
          <cell r="I322">
            <v>0</v>
          </cell>
          <cell r="J322" t="e">
            <v>#N/A</v>
          </cell>
          <cell r="K322" t="e">
            <v>#N/A</v>
          </cell>
        </row>
        <row r="323">
          <cell r="A323" t="str">
            <v>Gonçalves</v>
          </cell>
          <cell r="B323" t="str">
            <v>MG</v>
          </cell>
          <cell r="C323" t="str">
            <v>FETHEMG</v>
          </cell>
          <cell r="D323" t="str">
            <v>SINTTEL-MG</v>
          </cell>
          <cell r="I323">
            <v>0</v>
          </cell>
          <cell r="J323">
            <v>0.03</v>
          </cell>
          <cell r="K323">
            <v>0.03</v>
          </cell>
        </row>
        <row r="324">
          <cell r="A324" t="str">
            <v>Gonzaga</v>
          </cell>
          <cell r="B324" t="str">
            <v>MG</v>
          </cell>
          <cell r="C324" t="str">
            <v>FETHEMG</v>
          </cell>
          <cell r="D324" t="str">
            <v>SINTTEL-MG</v>
          </cell>
          <cell r="I324">
            <v>0</v>
          </cell>
          <cell r="J324" t="e">
            <v>#N/A</v>
          </cell>
          <cell r="K324" t="e">
            <v>#N/A</v>
          </cell>
        </row>
        <row r="325">
          <cell r="A325" t="str">
            <v>Gouveia</v>
          </cell>
          <cell r="B325" t="str">
            <v>MG</v>
          </cell>
          <cell r="C325" t="str">
            <v>CURVELO</v>
          </cell>
          <cell r="D325" t="str">
            <v>SINTTEL-MG</v>
          </cell>
          <cell r="I325">
            <v>0</v>
          </cell>
          <cell r="J325" t="e">
            <v>#N/A</v>
          </cell>
          <cell r="K325" t="e">
            <v>#N/A</v>
          </cell>
        </row>
        <row r="326">
          <cell r="A326" t="str">
            <v>Governador Valadares</v>
          </cell>
          <cell r="B326" t="str">
            <v>MG</v>
          </cell>
          <cell r="C326" t="str">
            <v>GOVERNADOR VALADARES</v>
          </cell>
          <cell r="D326" t="str">
            <v>SINTTEL-MG</v>
          </cell>
          <cell r="I326">
            <v>0</v>
          </cell>
          <cell r="J326">
            <v>0.05</v>
          </cell>
          <cell r="K326">
            <v>0.05</v>
          </cell>
        </row>
        <row r="327">
          <cell r="A327" t="str">
            <v>Grão Mogol</v>
          </cell>
          <cell r="B327" t="str">
            <v>MG</v>
          </cell>
          <cell r="C327" t="str">
            <v>MONTES CLAROS RG</v>
          </cell>
          <cell r="D327" t="str">
            <v>SINTTEL-MG</v>
          </cell>
          <cell r="I327">
            <v>2.75</v>
          </cell>
          <cell r="J327" t="e">
            <v>#N/A</v>
          </cell>
          <cell r="K327" t="e">
            <v>#N/A</v>
          </cell>
        </row>
        <row r="328">
          <cell r="A328" t="str">
            <v>Grupiara</v>
          </cell>
          <cell r="B328" t="str">
            <v>MG</v>
          </cell>
          <cell r="C328" t="str">
            <v>UBERLÂNDIA RG</v>
          </cell>
          <cell r="D328" t="str">
            <v>SINTTEL-MG</v>
          </cell>
          <cell r="J328" t="e">
            <v>#N/A</v>
          </cell>
          <cell r="K328" t="e">
            <v>#N/A</v>
          </cell>
        </row>
        <row r="329">
          <cell r="A329" t="str">
            <v>Guanhães</v>
          </cell>
          <cell r="B329" t="str">
            <v>MG</v>
          </cell>
          <cell r="C329" t="str">
            <v>FETHEMG</v>
          </cell>
          <cell r="D329" t="str">
            <v>SINTTEL-MG</v>
          </cell>
          <cell r="J329">
            <v>2.5000000000000001E-2</v>
          </cell>
          <cell r="K329">
            <v>2.5000000000000001E-2</v>
          </cell>
        </row>
        <row r="330">
          <cell r="A330" t="str">
            <v>Guapé</v>
          </cell>
          <cell r="B330" t="str">
            <v>MG</v>
          </cell>
          <cell r="C330" t="str">
            <v>SÃO LOURENÇO RG</v>
          </cell>
          <cell r="D330" t="str">
            <v>SINTTEL-MG</v>
          </cell>
          <cell r="J330">
            <v>0.03</v>
          </cell>
          <cell r="K330">
            <v>0.03</v>
          </cell>
        </row>
        <row r="331">
          <cell r="A331" t="str">
            <v>Guaraciaba</v>
          </cell>
          <cell r="B331" t="str">
            <v>MG</v>
          </cell>
          <cell r="C331" t="str">
            <v>FETHEMG</v>
          </cell>
          <cell r="D331" t="str">
            <v>SINTTEL-MG</v>
          </cell>
          <cell r="J331" t="e">
            <v>#N/A</v>
          </cell>
          <cell r="K331" t="e">
            <v>#N/A</v>
          </cell>
        </row>
        <row r="332">
          <cell r="A332" t="str">
            <v>Guaraciama</v>
          </cell>
          <cell r="B332" t="str">
            <v>MG</v>
          </cell>
          <cell r="C332" t="str">
            <v>FETHEMG</v>
          </cell>
          <cell r="D332" t="str">
            <v>SINTTEL-MG</v>
          </cell>
          <cell r="J332" t="e">
            <v>#N/A</v>
          </cell>
          <cell r="K332" t="e">
            <v>#N/A</v>
          </cell>
        </row>
        <row r="333">
          <cell r="A333" t="str">
            <v>Guaranésia</v>
          </cell>
          <cell r="B333" t="str">
            <v>MG</v>
          </cell>
          <cell r="C333" t="str">
            <v>SÃO LOURENÇO RG</v>
          </cell>
          <cell r="D333" t="str">
            <v>SINTTEL-MG</v>
          </cell>
          <cell r="J333">
            <v>0.05</v>
          </cell>
          <cell r="K333">
            <v>0.05</v>
          </cell>
        </row>
        <row r="334">
          <cell r="A334" t="str">
            <v>Guarani</v>
          </cell>
          <cell r="B334" t="str">
            <v>MG</v>
          </cell>
          <cell r="C334" t="str">
            <v>JUIZ DE FORA RG</v>
          </cell>
          <cell r="D334" t="str">
            <v>SINTTEL-MG</v>
          </cell>
          <cell r="J334">
            <v>0.03</v>
          </cell>
          <cell r="K334">
            <v>0.03</v>
          </cell>
        </row>
        <row r="335">
          <cell r="A335" t="str">
            <v>Guarará</v>
          </cell>
          <cell r="B335" t="str">
            <v>MG</v>
          </cell>
          <cell r="C335" t="str">
            <v>JUIZ DE FORA RG</v>
          </cell>
          <cell r="D335" t="str">
            <v>SINTTEL-MG</v>
          </cell>
          <cell r="J335" t="e">
            <v>#N/A</v>
          </cell>
          <cell r="K335" t="e">
            <v>#N/A</v>
          </cell>
        </row>
        <row r="336">
          <cell r="A336" t="str">
            <v>Guaxupé</v>
          </cell>
          <cell r="B336" t="str">
            <v>MG</v>
          </cell>
          <cell r="C336" t="str">
            <v>FETHEMG</v>
          </cell>
          <cell r="D336" t="str">
            <v>SINTTEL-MG</v>
          </cell>
          <cell r="J336">
            <v>2.5000000000000001E-2</v>
          </cell>
          <cell r="K336">
            <v>2.5000000000000001E-2</v>
          </cell>
        </row>
        <row r="337">
          <cell r="A337" t="str">
            <v>Guidoval</v>
          </cell>
          <cell r="B337" t="str">
            <v>MG</v>
          </cell>
          <cell r="C337" t="str">
            <v>JUIZ DE FORA RG</v>
          </cell>
          <cell r="D337" t="str">
            <v>SINTTEL-MG</v>
          </cell>
          <cell r="J337" t="e">
            <v>#N/A</v>
          </cell>
          <cell r="K337" t="e">
            <v>#N/A</v>
          </cell>
        </row>
        <row r="338">
          <cell r="A338" t="str">
            <v>Guimarânia</v>
          </cell>
          <cell r="B338" t="str">
            <v>MG</v>
          </cell>
          <cell r="C338" t="str">
            <v>UBERLÂNDIA RG</v>
          </cell>
          <cell r="D338" t="str">
            <v>SINTTEL-MG</v>
          </cell>
          <cell r="J338" t="e">
            <v>#N/A</v>
          </cell>
          <cell r="K338" t="e">
            <v>#N/A</v>
          </cell>
        </row>
        <row r="339">
          <cell r="A339" t="str">
            <v>Guiricema</v>
          </cell>
          <cell r="B339" t="str">
            <v>MG</v>
          </cell>
          <cell r="C339" t="str">
            <v>JUIZ DE FORA RG</v>
          </cell>
          <cell r="D339" t="str">
            <v>SINTTEL-MG</v>
          </cell>
          <cell r="J339" t="e">
            <v>#N/A</v>
          </cell>
          <cell r="K339" t="e">
            <v>#N/A</v>
          </cell>
        </row>
        <row r="340">
          <cell r="A340" t="str">
            <v>Gurada-Mor</v>
          </cell>
          <cell r="B340" t="str">
            <v>MG</v>
          </cell>
          <cell r="C340" t="str">
            <v>UBERLÂNDIA RG</v>
          </cell>
          <cell r="D340" t="str">
            <v>SINTTEL-MG</v>
          </cell>
          <cell r="J340" t="e">
            <v>#N/A</v>
          </cell>
          <cell r="K340" t="e">
            <v>#N/A</v>
          </cell>
        </row>
        <row r="341">
          <cell r="A341" t="str">
            <v>Gurinhatã</v>
          </cell>
          <cell r="B341" t="str">
            <v>MG</v>
          </cell>
          <cell r="C341" t="str">
            <v>UBERLÂNDIA RG</v>
          </cell>
          <cell r="D341" t="str">
            <v>SINTTEL-MG</v>
          </cell>
          <cell r="J341" t="e">
            <v>#N/A</v>
          </cell>
          <cell r="K341" t="e">
            <v>#N/A</v>
          </cell>
        </row>
        <row r="342">
          <cell r="A342" t="str">
            <v>Heliodora</v>
          </cell>
          <cell r="B342" t="str">
            <v>MG</v>
          </cell>
          <cell r="C342" t="str">
            <v>SÃO LOURENÇO RG</v>
          </cell>
          <cell r="D342" t="str">
            <v>SINTTEL-MG</v>
          </cell>
          <cell r="J342" t="e">
            <v>#N/A</v>
          </cell>
          <cell r="K342" t="e">
            <v>#N/A</v>
          </cell>
        </row>
        <row r="343">
          <cell r="A343" t="str">
            <v>Iapu</v>
          </cell>
          <cell r="B343" t="str">
            <v>MG</v>
          </cell>
          <cell r="C343" t="str">
            <v>VALE DO AÇO</v>
          </cell>
          <cell r="D343" t="str">
            <v>SINTTEL-MG</v>
          </cell>
          <cell r="J343" t="e">
            <v>#N/A</v>
          </cell>
          <cell r="K343" t="e">
            <v>#N/A</v>
          </cell>
        </row>
        <row r="344">
          <cell r="A344" t="str">
            <v>Ibertioga</v>
          </cell>
          <cell r="B344" t="str">
            <v>MG</v>
          </cell>
          <cell r="C344" t="str">
            <v>JUIZ DE FORA RG</v>
          </cell>
          <cell r="D344" t="str">
            <v>SINTTEL-MG</v>
          </cell>
          <cell r="J344" t="e">
            <v>#N/A</v>
          </cell>
          <cell r="K344" t="e">
            <v>#N/A</v>
          </cell>
        </row>
        <row r="345">
          <cell r="A345" t="str">
            <v>Ibiá</v>
          </cell>
          <cell r="B345" t="str">
            <v>MG</v>
          </cell>
          <cell r="C345" t="str">
            <v>UBERLÂNDIA RG</v>
          </cell>
          <cell r="D345" t="str">
            <v>SINTTEL-MG</v>
          </cell>
          <cell r="J345">
            <v>0.02</v>
          </cell>
          <cell r="K345">
            <v>0.02</v>
          </cell>
        </row>
        <row r="346">
          <cell r="A346" t="str">
            <v>Ibiaí</v>
          </cell>
          <cell r="B346" t="str">
            <v>MG</v>
          </cell>
          <cell r="C346" t="str">
            <v>MONTES CLAROS RG</v>
          </cell>
          <cell r="D346" t="str">
            <v>SINTTEL-MG</v>
          </cell>
          <cell r="J346" t="e">
            <v>#N/A</v>
          </cell>
          <cell r="K346" t="e">
            <v>#N/A</v>
          </cell>
        </row>
        <row r="347">
          <cell r="A347" t="str">
            <v>Ibiracatu</v>
          </cell>
          <cell r="B347" t="str">
            <v>MG</v>
          </cell>
          <cell r="C347" t="str">
            <v>FETHEMG</v>
          </cell>
          <cell r="D347" t="str">
            <v>SINTTEL-MG</v>
          </cell>
          <cell r="J347" t="e">
            <v>#N/A</v>
          </cell>
          <cell r="K347" t="e">
            <v>#N/A</v>
          </cell>
        </row>
        <row r="348">
          <cell r="A348" t="str">
            <v>Ibiraci</v>
          </cell>
          <cell r="B348" t="str">
            <v>MG</v>
          </cell>
          <cell r="C348" t="str">
            <v>FETHEMG</v>
          </cell>
          <cell r="D348" t="str">
            <v>SINTTEL-MG</v>
          </cell>
          <cell r="J348">
            <v>0.03</v>
          </cell>
          <cell r="K348">
            <v>0.03</v>
          </cell>
        </row>
        <row r="349">
          <cell r="A349" t="str">
            <v>Ibirité</v>
          </cell>
          <cell r="B349" t="str">
            <v>MG</v>
          </cell>
          <cell r="C349" t="str">
            <v>SIND- ASSEIO</v>
          </cell>
          <cell r="D349" t="str">
            <v>SINTTEL-MG</v>
          </cell>
          <cell r="J349">
            <v>0.02</v>
          </cell>
          <cell r="K349">
            <v>0.02</v>
          </cell>
        </row>
        <row r="350">
          <cell r="A350" t="str">
            <v>Ibitiúra de Minas</v>
          </cell>
          <cell r="B350" t="str">
            <v>MG</v>
          </cell>
          <cell r="C350" t="str">
            <v>SÃO LOURENÇO RG</v>
          </cell>
          <cell r="D350" t="str">
            <v>SINTTEL-MG</v>
          </cell>
          <cell r="J350" t="e">
            <v>#N/A</v>
          </cell>
          <cell r="K350" t="e">
            <v>#N/A</v>
          </cell>
        </row>
        <row r="351">
          <cell r="A351" t="str">
            <v>Ibituruna</v>
          </cell>
          <cell r="B351" t="str">
            <v>MG</v>
          </cell>
          <cell r="C351" t="str">
            <v>SÃO LOURENÇO RG</v>
          </cell>
          <cell r="D351" t="str">
            <v>SINTTEL-MG</v>
          </cell>
          <cell r="J351" t="e">
            <v>#N/A</v>
          </cell>
          <cell r="K351" t="e">
            <v>#N/A</v>
          </cell>
        </row>
        <row r="352">
          <cell r="A352" t="str">
            <v>Icaraí de Minas</v>
          </cell>
          <cell r="B352" t="str">
            <v>MG</v>
          </cell>
          <cell r="C352" t="str">
            <v>FETHEMG</v>
          </cell>
          <cell r="D352" t="str">
            <v>SINTTEL-MG</v>
          </cell>
          <cell r="J352" t="e">
            <v>#N/A</v>
          </cell>
          <cell r="K352" t="e">
            <v>#N/A</v>
          </cell>
        </row>
        <row r="353">
          <cell r="A353" t="str">
            <v>Igarapé</v>
          </cell>
          <cell r="B353" t="str">
            <v>MG</v>
          </cell>
          <cell r="C353" t="str">
            <v>FETHEMG RM</v>
          </cell>
          <cell r="D353" t="str">
            <v>SINTTEL-MG</v>
          </cell>
          <cell r="J353">
            <v>0.03</v>
          </cell>
          <cell r="K353">
            <v>0.02</v>
          </cell>
        </row>
        <row r="354">
          <cell r="A354" t="str">
            <v>Igaratinga</v>
          </cell>
          <cell r="B354" t="str">
            <v>MG</v>
          </cell>
          <cell r="C354" t="str">
            <v>DIVINÓPOLIS RG</v>
          </cell>
          <cell r="D354" t="str">
            <v>SINTTEL-MG</v>
          </cell>
          <cell r="J354" t="e">
            <v>#N/A</v>
          </cell>
          <cell r="K354" t="e">
            <v>#N/A</v>
          </cell>
        </row>
        <row r="355">
          <cell r="A355" t="str">
            <v>Iguatama</v>
          </cell>
          <cell r="B355" t="str">
            <v>MG</v>
          </cell>
          <cell r="C355" t="str">
            <v>DIVINÓPOLIS RG</v>
          </cell>
          <cell r="D355" t="str">
            <v>SINTTEL-MG</v>
          </cell>
          <cell r="J355">
            <v>0.02</v>
          </cell>
          <cell r="K355">
            <v>0.02</v>
          </cell>
        </row>
        <row r="356">
          <cell r="A356" t="str">
            <v>Ijaci</v>
          </cell>
          <cell r="B356" t="str">
            <v>MG</v>
          </cell>
          <cell r="C356" t="str">
            <v>FETHEMG</v>
          </cell>
          <cell r="D356" t="str">
            <v>SINTTEL-MG</v>
          </cell>
          <cell r="J356" t="e">
            <v>#N/A</v>
          </cell>
          <cell r="K356" t="e">
            <v>#N/A</v>
          </cell>
        </row>
        <row r="357">
          <cell r="A357" t="str">
            <v>Ilicínea</v>
          </cell>
          <cell r="B357" t="str">
            <v>MG</v>
          </cell>
          <cell r="C357" t="str">
            <v>SÃO LOURENÇO RG</v>
          </cell>
          <cell r="D357" t="str">
            <v>SINTTEL-MG</v>
          </cell>
          <cell r="J357" t="e">
            <v>#N/A</v>
          </cell>
          <cell r="K357" t="e">
            <v>#N/A</v>
          </cell>
        </row>
        <row r="358">
          <cell r="A358" t="str">
            <v>Imbé de Minas</v>
          </cell>
          <cell r="B358" t="str">
            <v>MG</v>
          </cell>
          <cell r="C358" t="str">
            <v>FETHEMG</v>
          </cell>
          <cell r="D358" t="str">
            <v>SINTTEL-MG</v>
          </cell>
          <cell r="J358" t="e">
            <v>#N/A</v>
          </cell>
          <cell r="K358" t="e">
            <v>#N/A</v>
          </cell>
        </row>
        <row r="359">
          <cell r="A359" t="str">
            <v>Inconfidentes</v>
          </cell>
          <cell r="B359" t="str">
            <v>MG</v>
          </cell>
          <cell r="C359" t="str">
            <v>SÃO LOURENÇO RG</v>
          </cell>
          <cell r="D359" t="str">
            <v>SINTTEL-MG</v>
          </cell>
          <cell r="J359" t="e">
            <v>#N/A</v>
          </cell>
          <cell r="K359" t="e">
            <v>#N/A</v>
          </cell>
        </row>
        <row r="360">
          <cell r="A360" t="str">
            <v>Indaiabira</v>
          </cell>
          <cell r="B360" t="str">
            <v>MG</v>
          </cell>
          <cell r="C360" t="str">
            <v>FETHEMG</v>
          </cell>
          <cell r="D360" t="str">
            <v>SINTTEL-MG</v>
          </cell>
          <cell r="J360" t="e">
            <v>#N/A</v>
          </cell>
          <cell r="K360" t="e">
            <v>#N/A</v>
          </cell>
        </row>
        <row r="361">
          <cell r="A361" t="str">
            <v>Indianópolis</v>
          </cell>
          <cell r="B361" t="str">
            <v>MG</v>
          </cell>
          <cell r="C361" t="str">
            <v>UBERLÂNDIA RG</v>
          </cell>
          <cell r="D361" t="str">
            <v>SINTTEL-MG</v>
          </cell>
          <cell r="J361" t="e">
            <v>#N/A</v>
          </cell>
          <cell r="K361" t="e">
            <v>#N/A</v>
          </cell>
        </row>
        <row r="362">
          <cell r="A362" t="str">
            <v>Ingaí</v>
          </cell>
          <cell r="B362" t="str">
            <v>MG</v>
          </cell>
          <cell r="C362" t="str">
            <v>SÃO LOURENÇO RG</v>
          </cell>
          <cell r="D362" t="str">
            <v>SINTTEL-MG</v>
          </cell>
          <cell r="J362" t="e">
            <v>#N/A</v>
          </cell>
          <cell r="K362" t="e">
            <v>#N/A</v>
          </cell>
        </row>
        <row r="363">
          <cell r="A363" t="str">
            <v>Inhapim</v>
          </cell>
          <cell r="B363" t="str">
            <v>MG</v>
          </cell>
          <cell r="C363" t="str">
            <v>VALE DO AÇO</v>
          </cell>
          <cell r="D363" t="str">
            <v>SINTTEL-MG</v>
          </cell>
          <cell r="J363">
            <v>0.05</v>
          </cell>
          <cell r="K363">
            <v>0.05</v>
          </cell>
        </row>
        <row r="364">
          <cell r="A364" t="str">
            <v>Inhaúma</v>
          </cell>
          <cell r="B364" t="str">
            <v>MG</v>
          </cell>
          <cell r="C364" t="str">
            <v>SETE LAGOAS</v>
          </cell>
          <cell r="D364" t="str">
            <v>SINTTEL-MG</v>
          </cell>
          <cell r="J364" t="e">
            <v>#N/A</v>
          </cell>
          <cell r="K364" t="e">
            <v>#N/A</v>
          </cell>
        </row>
        <row r="365">
          <cell r="A365" t="str">
            <v>Inimutaba</v>
          </cell>
          <cell r="B365" t="str">
            <v>MG</v>
          </cell>
          <cell r="C365" t="str">
            <v>CURVELO</v>
          </cell>
          <cell r="D365" t="str">
            <v>SINTTEL-MG</v>
          </cell>
          <cell r="J365" t="e">
            <v>#N/A</v>
          </cell>
          <cell r="K365" t="e">
            <v>#N/A</v>
          </cell>
        </row>
        <row r="366">
          <cell r="A366" t="str">
            <v>Ipaba</v>
          </cell>
          <cell r="B366" t="str">
            <v>MG</v>
          </cell>
          <cell r="C366" t="str">
            <v>VALE DO AÇO</v>
          </cell>
          <cell r="D366" t="str">
            <v>SINTTEL-MG</v>
          </cell>
          <cell r="J366" t="e">
            <v>#N/A</v>
          </cell>
          <cell r="K366" t="e">
            <v>#N/A</v>
          </cell>
        </row>
        <row r="367">
          <cell r="A367" t="str">
            <v>Ipanema</v>
          </cell>
          <cell r="B367" t="str">
            <v>MG</v>
          </cell>
          <cell r="C367" t="str">
            <v>FETHEMG</v>
          </cell>
          <cell r="D367" t="str">
            <v>SINTTEL-MG</v>
          </cell>
          <cell r="J367">
            <v>0.03</v>
          </cell>
          <cell r="K367">
            <v>0.03</v>
          </cell>
        </row>
        <row r="368">
          <cell r="A368" t="str">
            <v>Ipatinga</v>
          </cell>
          <cell r="B368" t="str">
            <v>MG</v>
          </cell>
          <cell r="C368" t="str">
            <v>IPATINGA</v>
          </cell>
          <cell r="D368" t="str">
            <v>SINTTEL-MG</v>
          </cell>
          <cell r="J368">
            <v>0.03</v>
          </cell>
          <cell r="K368">
            <v>0.03</v>
          </cell>
        </row>
        <row r="369">
          <cell r="A369" t="str">
            <v>Ipiaçu</v>
          </cell>
          <cell r="B369" t="str">
            <v>MG</v>
          </cell>
          <cell r="C369" t="str">
            <v>UBERLÂNDIA RG</v>
          </cell>
          <cell r="D369" t="str">
            <v>SINTTEL-MG</v>
          </cell>
          <cell r="J369" t="e">
            <v>#N/A</v>
          </cell>
          <cell r="K369" t="e">
            <v>#N/A</v>
          </cell>
        </row>
        <row r="370">
          <cell r="A370" t="str">
            <v>Ipuiúna</v>
          </cell>
          <cell r="B370" t="str">
            <v>MG</v>
          </cell>
          <cell r="C370" t="str">
            <v>SÃO LOURENÇO RG</v>
          </cell>
          <cell r="D370" t="str">
            <v>SINTTEL-MG</v>
          </cell>
          <cell r="J370" t="e">
            <v>#N/A</v>
          </cell>
          <cell r="K370" t="e">
            <v>#N/A</v>
          </cell>
        </row>
        <row r="371">
          <cell r="A371" t="str">
            <v>Iraí de Minas</v>
          </cell>
          <cell r="B371" t="str">
            <v>MG</v>
          </cell>
          <cell r="C371" t="str">
            <v>UBERLÂNDIA RG</v>
          </cell>
          <cell r="D371" t="str">
            <v>SINTTEL-MG</v>
          </cell>
          <cell r="J371" t="e">
            <v>#N/A</v>
          </cell>
          <cell r="K371" t="e">
            <v>#N/A</v>
          </cell>
        </row>
        <row r="372">
          <cell r="A372" t="str">
            <v>Itabira</v>
          </cell>
          <cell r="B372" t="str">
            <v>MG</v>
          </cell>
          <cell r="C372" t="str">
            <v>ITABIRA</v>
          </cell>
          <cell r="D372" t="str">
            <v>SINTTEL-MG</v>
          </cell>
          <cell r="J372">
            <v>0.03</v>
          </cell>
          <cell r="K372">
            <v>0.03</v>
          </cell>
        </row>
        <row r="373">
          <cell r="A373" t="str">
            <v>Itabirinha</v>
          </cell>
          <cell r="B373" t="str">
            <v>MG</v>
          </cell>
          <cell r="C373" t="str">
            <v>FETHEMG</v>
          </cell>
          <cell r="D373" t="str">
            <v>SINTTEL-MG</v>
          </cell>
          <cell r="J373" t="e">
            <v>#N/A</v>
          </cell>
          <cell r="K373" t="e">
            <v>#N/A</v>
          </cell>
        </row>
        <row r="374">
          <cell r="A374" t="str">
            <v>Itabirito</v>
          </cell>
          <cell r="B374" t="str">
            <v>MG</v>
          </cell>
          <cell r="C374" t="str">
            <v>FETHEMG</v>
          </cell>
          <cell r="D374" t="str">
            <v>SINTTEL-MG</v>
          </cell>
          <cell r="J374">
            <v>0.02</v>
          </cell>
          <cell r="K374">
            <v>0.02</v>
          </cell>
        </row>
        <row r="375">
          <cell r="A375" t="str">
            <v>Itacambira</v>
          </cell>
          <cell r="B375" t="str">
            <v>MG</v>
          </cell>
          <cell r="C375" t="str">
            <v>MONTES CLAROS RG</v>
          </cell>
          <cell r="D375" t="str">
            <v>SINTTEL-MG</v>
          </cell>
          <cell r="J375" t="e">
            <v>#N/A</v>
          </cell>
          <cell r="K375" t="e">
            <v>#N/A</v>
          </cell>
        </row>
        <row r="376">
          <cell r="A376" t="str">
            <v>Itacarambi</v>
          </cell>
          <cell r="B376" t="str">
            <v>MG</v>
          </cell>
          <cell r="C376" t="str">
            <v>MONTES CLAROS RG</v>
          </cell>
          <cell r="D376" t="str">
            <v>SINTTEL-MG</v>
          </cell>
          <cell r="J376" t="e">
            <v>#N/A</v>
          </cell>
          <cell r="K376" t="e">
            <v>#N/A</v>
          </cell>
        </row>
        <row r="377">
          <cell r="A377" t="str">
            <v>Itaguara</v>
          </cell>
          <cell r="B377" t="str">
            <v>MG</v>
          </cell>
          <cell r="C377" t="str">
            <v>FETHEMG</v>
          </cell>
          <cell r="D377" t="str">
            <v>SINTTEL-MG</v>
          </cell>
          <cell r="J377">
            <v>0.02</v>
          </cell>
          <cell r="K377">
            <v>0.02</v>
          </cell>
        </row>
        <row r="378">
          <cell r="A378" t="str">
            <v>Itaipé</v>
          </cell>
          <cell r="B378" t="str">
            <v>MG</v>
          </cell>
          <cell r="C378" t="str">
            <v>FETHEMG</v>
          </cell>
          <cell r="D378" t="str">
            <v>SINTTEL-MG</v>
          </cell>
          <cell r="J378" t="e">
            <v>#N/A</v>
          </cell>
          <cell r="K378" t="e">
            <v>#N/A</v>
          </cell>
        </row>
        <row r="379">
          <cell r="A379" t="str">
            <v>Itajubá</v>
          </cell>
          <cell r="B379" t="str">
            <v>MG</v>
          </cell>
          <cell r="C379" t="str">
            <v>SÃO LOURENÇO RG</v>
          </cell>
          <cell r="D379" t="str">
            <v>SINTTEL-MG</v>
          </cell>
          <cell r="J379">
            <v>0.02</v>
          </cell>
          <cell r="K379">
            <v>0.02</v>
          </cell>
        </row>
        <row r="380">
          <cell r="A380" t="str">
            <v>Itamarandiba</v>
          </cell>
          <cell r="B380" t="str">
            <v>MG</v>
          </cell>
          <cell r="C380" t="str">
            <v>FETHEMG</v>
          </cell>
          <cell r="D380" t="str">
            <v>SINTTEL-MG</v>
          </cell>
          <cell r="J380">
            <v>0.03</v>
          </cell>
          <cell r="K380">
            <v>0.03</v>
          </cell>
        </row>
        <row r="381">
          <cell r="A381" t="str">
            <v>Itamarati de Minas</v>
          </cell>
          <cell r="B381" t="str">
            <v>MG</v>
          </cell>
          <cell r="C381" t="str">
            <v>JUIZ DE FORA RG</v>
          </cell>
          <cell r="D381" t="str">
            <v>SINTTEL-MG</v>
          </cell>
          <cell r="J381" t="e">
            <v>#N/A</v>
          </cell>
          <cell r="K381" t="e">
            <v>#N/A</v>
          </cell>
        </row>
        <row r="382">
          <cell r="A382" t="str">
            <v>Itambacuri</v>
          </cell>
          <cell r="B382" t="str">
            <v>MG</v>
          </cell>
          <cell r="C382" t="str">
            <v>TEÓFILO OTONI RG</v>
          </cell>
          <cell r="D382" t="str">
            <v>SINTTEL-MG</v>
          </cell>
          <cell r="J382">
            <v>0.03</v>
          </cell>
          <cell r="K382">
            <v>0.03</v>
          </cell>
        </row>
        <row r="383">
          <cell r="A383" t="str">
            <v>Itambé do Mato Dentro</v>
          </cell>
          <cell r="B383" t="str">
            <v>MG</v>
          </cell>
          <cell r="C383" t="str">
            <v>ITABIRA RG</v>
          </cell>
          <cell r="D383" t="str">
            <v>SINTTEL-MG</v>
          </cell>
          <cell r="J383" t="e">
            <v>#N/A</v>
          </cell>
          <cell r="K383" t="e">
            <v>#N/A</v>
          </cell>
        </row>
        <row r="384">
          <cell r="A384" t="str">
            <v>Itamogi</v>
          </cell>
          <cell r="B384" t="str">
            <v>MG</v>
          </cell>
          <cell r="C384" t="str">
            <v>SÃO LOURENÇO RG</v>
          </cell>
          <cell r="D384" t="str">
            <v>SINTTEL-MG</v>
          </cell>
          <cell r="J384">
            <v>0.02</v>
          </cell>
          <cell r="K384">
            <v>0.02</v>
          </cell>
        </row>
        <row r="385">
          <cell r="A385" t="str">
            <v>Itamonte</v>
          </cell>
          <cell r="B385" t="str">
            <v>MG</v>
          </cell>
          <cell r="C385" t="str">
            <v>SÃO LOURENÇO RG</v>
          </cell>
          <cell r="D385" t="str">
            <v>SINTTEL-MG</v>
          </cell>
          <cell r="J385">
            <v>0.03</v>
          </cell>
          <cell r="K385">
            <v>0.03</v>
          </cell>
        </row>
        <row r="386">
          <cell r="A386" t="str">
            <v>Itanhandu</v>
          </cell>
          <cell r="B386" t="str">
            <v>MG</v>
          </cell>
          <cell r="C386" t="str">
            <v>SÃO LOURENÇO RG</v>
          </cell>
          <cell r="D386" t="str">
            <v>SINTTEL-MG</v>
          </cell>
          <cell r="J386">
            <v>0.03</v>
          </cell>
          <cell r="K386">
            <v>0.03</v>
          </cell>
        </row>
        <row r="387">
          <cell r="A387" t="str">
            <v>Itanhomi</v>
          </cell>
          <cell r="B387" t="str">
            <v>MG</v>
          </cell>
          <cell r="C387" t="str">
            <v>FETHEMG</v>
          </cell>
          <cell r="D387" t="str">
            <v>SINTTEL-MG</v>
          </cell>
          <cell r="J387">
            <v>0.04</v>
          </cell>
          <cell r="K387">
            <v>0.04</v>
          </cell>
        </row>
        <row r="388">
          <cell r="A388" t="str">
            <v>Itaobim</v>
          </cell>
          <cell r="B388" t="str">
            <v>MG</v>
          </cell>
          <cell r="C388" t="str">
            <v>TEÓFILO OTONI RG</v>
          </cell>
          <cell r="D388" t="str">
            <v>SINTTEL-MG</v>
          </cell>
          <cell r="J388">
            <v>0.03</v>
          </cell>
          <cell r="K388">
            <v>0.03</v>
          </cell>
        </row>
        <row r="389">
          <cell r="A389" t="str">
            <v>Itapagipe</v>
          </cell>
          <cell r="B389" t="str">
            <v>MG</v>
          </cell>
          <cell r="C389" t="str">
            <v>UBERLÂNDIA RG</v>
          </cell>
          <cell r="D389" t="str">
            <v>SINTTEL-MG</v>
          </cell>
          <cell r="J389">
            <v>0.05</v>
          </cell>
          <cell r="K389">
            <v>0.03</v>
          </cell>
        </row>
        <row r="390">
          <cell r="A390" t="str">
            <v>Itapecerica</v>
          </cell>
          <cell r="B390" t="str">
            <v>MG</v>
          </cell>
          <cell r="C390" t="str">
            <v>DIVINÓPOLIS RG</v>
          </cell>
          <cell r="D390" t="str">
            <v>SINTTEL-MG</v>
          </cell>
          <cell r="J390">
            <v>0.03</v>
          </cell>
          <cell r="K390">
            <v>0.05</v>
          </cell>
        </row>
        <row r="391">
          <cell r="A391" t="str">
            <v>Itapeva</v>
          </cell>
          <cell r="B391" t="str">
            <v>MG</v>
          </cell>
          <cell r="C391" t="str">
            <v>FETHEMG</v>
          </cell>
          <cell r="D391" t="str">
            <v>SINTTEL-MG</v>
          </cell>
          <cell r="J391" t="e">
            <v>#N/A</v>
          </cell>
          <cell r="K391" t="e">
            <v>#N/A</v>
          </cell>
        </row>
        <row r="392">
          <cell r="A392" t="str">
            <v>Itatiaiuçu</v>
          </cell>
          <cell r="B392" t="str">
            <v>MG</v>
          </cell>
          <cell r="C392" t="str">
            <v>FETHEMG</v>
          </cell>
          <cell r="D392" t="str">
            <v>SINTTEL-MG</v>
          </cell>
          <cell r="J392" t="e">
            <v>#N/A</v>
          </cell>
          <cell r="K392" t="e">
            <v>#N/A</v>
          </cell>
        </row>
        <row r="393">
          <cell r="A393" t="str">
            <v>Itaú de Minas</v>
          </cell>
          <cell r="B393" t="str">
            <v>MG</v>
          </cell>
          <cell r="C393" t="str">
            <v>SÃO LOURENÇO RG</v>
          </cell>
          <cell r="D393" t="str">
            <v>SINTTEL-MG</v>
          </cell>
          <cell r="J393" t="e">
            <v>#N/A</v>
          </cell>
          <cell r="K393" t="e">
            <v>#N/A</v>
          </cell>
        </row>
        <row r="394">
          <cell r="A394" t="str">
            <v>Itaúna</v>
          </cell>
          <cell r="B394" t="str">
            <v>MG</v>
          </cell>
          <cell r="C394" t="str">
            <v>FETHEMG</v>
          </cell>
          <cell r="D394" t="str">
            <v>SINTTEL-MG</v>
          </cell>
          <cell r="J394">
            <v>0.02</v>
          </cell>
          <cell r="K394">
            <v>0.02</v>
          </cell>
        </row>
        <row r="395">
          <cell r="A395" t="str">
            <v>Itaverava</v>
          </cell>
          <cell r="B395" t="str">
            <v>MG</v>
          </cell>
          <cell r="C395" t="str">
            <v>OURO PRETO</v>
          </cell>
          <cell r="D395" t="str">
            <v>SINTTEL-MG</v>
          </cell>
          <cell r="J395" t="e">
            <v>#N/A</v>
          </cell>
          <cell r="K395" t="e">
            <v>#N/A</v>
          </cell>
        </row>
        <row r="396">
          <cell r="A396" t="str">
            <v>Itinga</v>
          </cell>
          <cell r="B396" t="str">
            <v>MG</v>
          </cell>
          <cell r="C396" t="str">
            <v>TEÓFILO OTONI RG</v>
          </cell>
          <cell r="D396" t="str">
            <v>SINTTEL-MG</v>
          </cell>
          <cell r="J396" t="e">
            <v>#N/A</v>
          </cell>
          <cell r="K396" t="e">
            <v>#N/A</v>
          </cell>
        </row>
        <row r="397">
          <cell r="A397" t="str">
            <v>Itueta</v>
          </cell>
          <cell r="B397" t="str">
            <v>MG</v>
          </cell>
          <cell r="C397" t="str">
            <v>FETHEMG</v>
          </cell>
          <cell r="D397" t="str">
            <v>SINTTEL-MG</v>
          </cell>
          <cell r="J397" t="e">
            <v>#N/A</v>
          </cell>
          <cell r="K397" t="e">
            <v>#N/A</v>
          </cell>
        </row>
        <row r="398">
          <cell r="A398" t="str">
            <v>Ituiutaba</v>
          </cell>
          <cell r="B398" t="str">
            <v>MG</v>
          </cell>
          <cell r="C398" t="str">
            <v>UBERLÂNDIA RG</v>
          </cell>
          <cell r="D398" t="str">
            <v>SINTTEL-MG</v>
          </cell>
          <cell r="J398">
            <v>0.04</v>
          </cell>
          <cell r="K398">
            <v>0.04</v>
          </cell>
        </row>
        <row r="399">
          <cell r="A399" t="str">
            <v>Itumirim</v>
          </cell>
          <cell r="B399" t="str">
            <v>MG</v>
          </cell>
          <cell r="C399" t="str">
            <v>SÃO LOURENÇO RG</v>
          </cell>
          <cell r="D399" t="str">
            <v>SINTTEL-MG</v>
          </cell>
          <cell r="J399">
            <v>0.03</v>
          </cell>
          <cell r="K399">
            <v>0.03</v>
          </cell>
        </row>
        <row r="400">
          <cell r="A400" t="str">
            <v>Iturama</v>
          </cell>
          <cell r="B400" t="str">
            <v>MG</v>
          </cell>
          <cell r="C400" t="str">
            <v>UBERLÂNDIA RG</v>
          </cell>
          <cell r="D400" t="str">
            <v>SINTTEL-MG</v>
          </cell>
          <cell r="J400">
            <v>0.02</v>
          </cell>
          <cell r="K400">
            <v>0.02</v>
          </cell>
        </row>
        <row r="401">
          <cell r="A401" t="str">
            <v>Itutinga</v>
          </cell>
          <cell r="B401" t="str">
            <v>MG</v>
          </cell>
          <cell r="C401" t="str">
            <v>SÃO LOURENÇO RG</v>
          </cell>
          <cell r="D401" t="str">
            <v>SINTTEL-MG</v>
          </cell>
          <cell r="J401" t="e">
            <v>#N/A</v>
          </cell>
          <cell r="K401" t="e">
            <v>#N/A</v>
          </cell>
        </row>
        <row r="402">
          <cell r="A402" t="str">
            <v>Jaboticatubas</v>
          </cell>
          <cell r="B402" t="str">
            <v>MG</v>
          </cell>
          <cell r="C402" t="str">
            <v>FETHEMG</v>
          </cell>
          <cell r="D402" t="str">
            <v>SINTTEL-MG</v>
          </cell>
          <cell r="J402">
            <v>0.02</v>
          </cell>
          <cell r="K402">
            <v>0.02</v>
          </cell>
        </row>
        <row r="403">
          <cell r="A403" t="str">
            <v>Jacinto</v>
          </cell>
          <cell r="B403" t="str">
            <v>MG</v>
          </cell>
          <cell r="C403" t="str">
            <v>FETHEMG</v>
          </cell>
          <cell r="D403" t="str">
            <v>SINTTEL-MG</v>
          </cell>
          <cell r="J403">
            <v>0.03</v>
          </cell>
          <cell r="K403">
            <v>0.03</v>
          </cell>
        </row>
        <row r="404">
          <cell r="A404" t="str">
            <v>Jacuí</v>
          </cell>
          <cell r="B404" t="str">
            <v>MG</v>
          </cell>
          <cell r="C404" t="str">
            <v>SÃO LOURENÇO RG</v>
          </cell>
          <cell r="D404" t="str">
            <v>SINTTEL-MG</v>
          </cell>
          <cell r="J404">
            <v>0.03</v>
          </cell>
          <cell r="K404">
            <v>0.03</v>
          </cell>
        </row>
        <row r="405">
          <cell r="A405" t="str">
            <v>Jacutinga</v>
          </cell>
          <cell r="B405" t="str">
            <v>MG</v>
          </cell>
          <cell r="C405" t="str">
            <v>SÃO LOURENÇO RG</v>
          </cell>
          <cell r="D405" t="str">
            <v>SINTTEL-MG</v>
          </cell>
          <cell r="J405">
            <v>0.05</v>
          </cell>
          <cell r="K405">
            <v>0.02</v>
          </cell>
        </row>
        <row r="406">
          <cell r="A406" t="str">
            <v>Jaguaraçu</v>
          </cell>
          <cell r="B406" t="str">
            <v>MG</v>
          </cell>
          <cell r="C406" t="str">
            <v>VALE DO AÇO</v>
          </cell>
          <cell r="D406" t="str">
            <v>SINTTEL-MG</v>
          </cell>
          <cell r="J406" t="e">
            <v>#N/A</v>
          </cell>
          <cell r="K406" t="e">
            <v>#N/A</v>
          </cell>
        </row>
        <row r="407">
          <cell r="A407" t="str">
            <v>Jaíba</v>
          </cell>
          <cell r="B407" t="str">
            <v>MG</v>
          </cell>
          <cell r="C407" t="str">
            <v>MONTES CLAROS RG</v>
          </cell>
          <cell r="D407" t="str">
            <v>SINTTEL-MG</v>
          </cell>
          <cell r="J407" t="e">
            <v>#N/A</v>
          </cell>
          <cell r="K407" t="e">
            <v>#N/A</v>
          </cell>
        </row>
        <row r="408">
          <cell r="A408" t="str">
            <v>Jampruca</v>
          </cell>
          <cell r="B408" t="str">
            <v>MG</v>
          </cell>
          <cell r="C408" t="str">
            <v>TEÓFILO OTONI RG</v>
          </cell>
          <cell r="D408" t="str">
            <v>SINTTEL-MG</v>
          </cell>
          <cell r="J408" t="e">
            <v>#N/A</v>
          </cell>
          <cell r="K408" t="e">
            <v>#N/A</v>
          </cell>
        </row>
        <row r="409">
          <cell r="A409" t="str">
            <v>Janaúba</v>
          </cell>
          <cell r="B409" t="str">
            <v>MG</v>
          </cell>
          <cell r="C409" t="str">
            <v>MONTES CLAROS RG</v>
          </cell>
          <cell r="D409" t="str">
            <v>SINTTEL-MG</v>
          </cell>
          <cell r="J409">
            <v>0.02</v>
          </cell>
          <cell r="K409">
            <v>0.02</v>
          </cell>
        </row>
        <row r="410">
          <cell r="A410" t="str">
            <v>Januária</v>
          </cell>
          <cell r="B410" t="str">
            <v>MG</v>
          </cell>
          <cell r="C410" t="str">
            <v>MONTES CLAROS RG</v>
          </cell>
          <cell r="D410" t="str">
            <v>SINTTEL-MG</v>
          </cell>
          <cell r="J410">
            <v>0.03</v>
          </cell>
          <cell r="K410">
            <v>0.03</v>
          </cell>
        </row>
        <row r="411">
          <cell r="A411" t="str">
            <v>Japaraíba</v>
          </cell>
          <cell r="B411" t="str">
            <v>MG</v>
          </cell>
          <cell r="C411" t="str">
            <v>DIVINÓPOLIS RG</v>
          </cell>
          <cell r="D411" t="str">
            <v>SINTTEL-MG</v>
          </cell>
          <cell r="J411" t="e">
            <v>#N/A</v>
          </cell>
          <cell r="K411" t="e">
            <v>#N/A</v>
          </cell>
        </row>
        <row r="412">
          <cell r="A412" t="str">
            <v>Japonvar</v>
          </cell>
          <cell r="B412" t="str">
            <v>MG</v>
          </cell>
          <cell r="C412" t="str">
            <v>FETHEMG</v>
          </cell>
          <cell r="D412" t="str">
            <v>SINTTEL-MG</v>
          </cell>
          <cell r="J412" t="e">
            <v>#N/A</v>
          </cell>
          <cell r="K412" t="e">
            <v>#N/A</v>
          </cell>
        </row>
        <row r="413">
          <cell r="A413" t="str">
            <v>Jeceaba</v>
          </cell>
          <cell r="B413" t="str">
            <v>MG</v>
          </cell>
          <cell r="C413" t="str">
            <v>FETHEMG</v>
          </cell>
          <cell r="D413" t="str">
            <v>SINTTEL-MG</v>
          </cell>
          <cell r="J413" t="e">
            <v>#N/A</v>
          </cell>
          <cell r="K413" t="e">
            <v>#N/A</v>
          </cell>
        </row>
        <row r="414">
          <cell r="A414" t="str">
            <v>Jenipapo de Minas</v>
          </cell>
          <cell r="B414" t="str">
            <v>MG</v>
          </cell>
          <cell r="C414" t="str">
            <v>FETHEMG</v>
          </cell>
          <cell r="D414" t="str">
            <v>SINTTEL-MG</v>
          </cell>
          <cell r="J414" t="e">
            <v>#N/A</v>
          </cell>
          <cell r="K414" t="e">
            <v>#N/A</v>
          </cell>
        </row>
        <row r="415">
          <cell r="A415" t="str">
            <v>Jequeri</v>
          </cell>
          <cell r="B415" t="str">
            <v>MG</v>
          </cell>
          <cell r="C415" t="str">
            <v>FETHEMG</v>
          </cell>
          <cell r="D415" t="str">
            <v>SINTTEL-MG</v>
          </cell>
          <cell r="J415">
            <v>0.03</v>
          </cell>
          <cell r="K415">
            <v>0.03</v>
          </cell>
        </row>
        <row r="416">
          <cell r="A416" t="str">
            <v>Jequitaí</v>
          </cell>
          <cell r="B416" t="str">
            <v>MG</v>
          </cell>
          <cell r="C416" t="str">
            <v>MONTES CLAROS RG</v>
          </cell>
          <cell r="D416" t="str">
            <v>SINTTEL-MG</v>
          </cell>
          <cell r="J416">
            <v>0</v>
          </cell>
          <cell r="K416">
            <v>0</v>
          </cell>
        </row>
        <row r="417">
          <cell r="A417" t="str">
            <v>Jequitibá</v>
          </cell>
          <cell r="B417" t="str">
            <v>MG</v>
          </cell>
          <cell r="C417" t="str">
            <v>SETE LAGOAS</v>
          </cell>
          <cell r="D417" t="str">
            <v>SINTTEL-MG</v>
          </cell>
          <cell r="J417" t="e">
            <v>#N/A</v>
          </cell>
          <cell r="K417" t="e">
            <v>#N/A</v>
          </cell>
        </row>
        <row r="418">
          <cell r="A418" t="str">
            <v>Jequitinhonha</v>
          </cell>
          <cell r="B418" t="str">
            <v>MG</v>
          </cell>
          <cell r="C418" t="str">
            <v>TEÓFILO OTONI RG</v>
          </cell>
          <cell r="D418" t="str">
            <v>SINTTEL-MG</v>
          </cell>
          <cell r="J418">
            <v>0.05</v>
          </cell>
          <cell r="K418">
            <v>0.05</v>
          </cell>
        </row>
        <row r="419">
          <cell r="A419" t="str">
            <v>Jesuânia</v>
          </cell>
          <cell r="B419" t="str">
            <v>MG</v>
          </cell>
          <cell r="C419" t="str">
            <v>SÃO LOURENÇO RG</v>
          </cell>
          <cell r="D419" t="str">
            <v>SINTTEL-MG</v>
          </cell>
          <cell r="J419" t="e">
            <v>#N/A</v>
          </cell>
          <cell r="K419" t="e">
            <v>#N/A</v>
          </cell>
        </row>
        <row r="420">
          <cell r="A420" t="str">
            <v>Joaíma</v>
          </cell>
          <cell r="B420" t="str">
            <v>MG</v>
          </cell>
          <cell r="C420" t="str">
            <v>TEÓFILO OTONI RG</v>
          </cell>
          <cell r="D420" t="str">
            <v>SINTTEL-MG</v>
          </cell>
          <cell r="J420" t="e">
            <v>#N/A</v>
          </cell>
          <cell r="K420" t="e">
            <v>#N/A</v>
          </cell>
        </row>
        <row r="421">
          <cell r="A421" t="str">
            <v>Joanésia</v>
          </cell>
          <cell r="B421" t="str">
            <v>MG</v>
          </cell>
          <cell r="C421" t="str">
            <v>FETHEMG</v>
          </cell>
          <cell r="D421" t="str">
            <v>SINTTEL-MG</v>
          </cell>
          <cell r="J421" t="e">
            <v>#N/A</v>
          </cell>
          <cell r="K421" t="e">
            <v>#N/A</v>
          </cell>
        </row>
        <row r="422">
          <cell r="A422" t="str">
            <v>João Monlevade</v>
          </cell>
          <cell r="B422" t="str">
            <v>MG</v>
          </cell>
          <cell r="C422" t="str">
            <v>JOÃO MONLEVADE</v>
          </cell>
          <cell r="D422" t="str">
            <v>SINTTEL-MG</v>
          </cell>
          <cell r="J422">
            <v>0.05</v>
          </cell>
          <cell r="K422">
            <v>0.05</v>
          </cell>
        </row>
        <row r="423">
          <cell r="A423" t="str">
            <v>João Pinheiro</v>
          </cell>
          <cell r="B423" t="str">
            <v>MG</v>
          </cell>
          <cell r="C423" t="str">
            <v>FETHEMG</v>
          </cell>
          <cell r="D423" t="str">
            <v>SINTTEL-MG</v>
          </cell>
          <cell r="J423">
            <v>0.03</v>
          </cell>
          <cell r="K423">
            <v>0.03</v>
          </cell>
        </row>
        <row r="424">
          <cell r="A424" t="str">
            <v>Joaquim Felício</v>
          </cell>
          <cell r="B424" t="str">
            <v>MG</v>
          </cell>
          <cell r="C424" t="str">
            <v>CURVELO</v>
          </cell>
          <cell r="D424" t="str">
            <v>SINTTEL-MG</v>
          </cell>
          <cell r="J424" t="e">
            <v>#N/A</v>
          </cell>
          <cell r="K424" t="e">
            <v>#N/A</v>
          </cell>
        </row>
        <row r="425">
          <cell r="A425" t="str">
            <v>Jordãnia</v>
          </cell>
          <cell r="B425" t="str">
            <v>MG</v>
          </cell>
          <cell r="C425" t="str">
            <v>FETHEMG</v>
          </cell>
          <cell r="D425" t="str">
            <v>SINTTEL-MG</v>
          </cell>
          <cell r="J425" t="e">
            <v>#N/A</v>
          </cell>
          <cell r="K425" t="e">
            <v>#N/A</v>
          </cell>
        </row>
        <row r="426">
          <cell r="A426" t="str">
            <v>José Gonçalves de Minas</v>
          </cell>
          <cell r="B426" t="str">
            <v>MG</v>
          </cell>
          <cell r="C426" t="str">
            <v>FETHEMG</v>
          </cell>
          <cell r="D426" t="str">
            <v>SINTTEL-MG</v>
          </cell>
          <cell r="J426" t="e">
            <v>#N/A</v>
          </cell>
          <cell r="K426" t="e">
            <v>#N/A</v>
          </cell>
        </row>
        <row r="427">
          <cell r="A427" t="str">
            <v>José Raydan</v>
          </cell>
          <cell r="B427" t="str">
            <v>MG</v>
          </cell>
          <cell r="C427" t="str">
            <v>FETHEMG</v>
          </cell>
          <cell r="D427" t="str">
            <v>SINTTEL-MG</v>
          </cell>
          <cell r="J427" t="e">
            <v>#N/A</v>
          </cell>
          <cell r="K427" t="e">
            <v>#N/A</v>
          </cell>
        </row>
        <row r="428">
          <cell r="A428" t="str">
            <v>Josenópolis</v>
          </cell>
          <cell r="B428" t="str">
            <v>MG</v>
          </cell>
          <cell r="C428" t="str">
            <v>FETHEMG</v>
          </cell>
          <cell r="D428" t="str">
            <v>SINTTEL-MG</v>
          </cell>
          <cell r="J428" t="e">
            <v>#N/A</v>
          </cell>
          <cell r="K428" t="e">
            <v>#N/A</v>
          </cell>
        </row>
        <row r="429">
          <cell r="A429" t="str">
            <v>Juatuba</v>
          </cell>
          <cell r="B429" t="str">
            <v>MG</v>
          </cell>
          <cell r="C429" t="str">
            <v>SIND- ASSEIO</v>
          </cell>
          <cell r="D429" t="str">
            <v>SINTTEL-MG</v>
          </cell>
          <cell r="J429">
            <v>0.02</v>
          </cell>
          <cell r="K429">
            <v>0.02</v>
          </cell>
        </row>
        <row r="430">
          <cell r="A430" t="str">
            <v>Juiz de Fora</v>
          </cell>
          <cell r="B430" t="str">
            <v>MG</v>
          </cell>
          <cell r="C430" t="str">
            <v>JUIZ DE FORA</v>
          </cell>
          <cell r="D430" t="str">
            <v>SINTTEL-MG</v>
          </cell>
          <cell r="J430">
            <v>0.03</v>
          </cell>
          <cell r="K430">
            <v>0.05</v>
          </cell>
        </row>
        <row r="431">
          <cell r="A431" t="str">
            <v>Juramento</v>
          </cell>
          <cell r="B431" t="str">
            <v>MG</v>
          </cell>
          <cell r="C431" t="str">
            <v>MONTES CLAROS RG</v>
          </cell>
          <cell r="D431" t="str">
            <v>SINTTEL-MG</v>
          </cell>
          <cell r="J431" t="e">
            <v>#N/A</v>
          </cell>
          <cell r="K431" t="e">
            <v>#N/A</v>
          </cell>
        </row>
        <row r="432">
          <cell r="A432" t="str">
            <v>Juruaia</v>
          </cell>
          <cell r="B432" t="str">
            <v>MG</v>
          </cell>
          <cell r="C432" t="str">
            <v>SÃO LOURENÇO RG</v>
          </cell>
          <cell r="D432" t="str">
            <v>SINTTEL-MG</v>
          </cell>
          <cell r="J432" t="e">
            <v>#N/A</v>
          </cell>
          <cell r="K432" t="e">
            <v>#N/A</v>
          </cell>
        </row>
        <row r="433">
          <cell r="A433" t="str">
            <v>Juvenília</v>
          </cell>
          <cell r="B433" t="str">
            <v>MG</v>
          </cell>
          <cell r="C433" t="str">
            <v>FETHEMG</v>
          </cell>
          <cell r="D433" t="str">
            <v>SINTTEL-MG</v>
          </cell>
          <cell r="J433" t="e">
            <v>#N/A</v>
          </cell>
          <cell r="K433" t="e">
            <v>#N/A</v>
          </cell>
        </row>
        <row r="434">
          <cell r="A434" t="str">
            <v>Ladainha</v>
          </cell>
          <cell r="B434" t="str">
            <v>MG</v>
          </cell>
          <cell r="C434" t="str">
            <v>TEÓFILO OTONI RG</v>
          </cell>
          <cell r="D434" t="str">
            <v>SINTTEL-MG</v>
          </cell>
          <cell r="J434" t="e">
            <v>#N/A</v>
          </cell>
          <cell r="K434" t="e">
            <v>#N/A</v>
          </cell>
        </row>
        <row r="435">
          <cell r="A435" t="str">
            <v>Lagamar</v>
          </cell>
          <cell r="B435" t="str">
            <v>MG</v>
          </cell>
          <cell r="C435" t="str">
            <v>FETHEMG</v>
          </cell>
          <cell r="D435" t="str">
            <v>SINTTEL-MG</v>
          </cell>
          <cell r="J435" t="e">
            <v>#N/A</v>
          </cell>
          <cell r="K435" t="e">
            <v>#N/A</v>
          </cell>
        </row>
        <row r="436">
          <cell r="A436" t="str">
            <v>Lagoa da Prata</v>
          </cell>
          <cell r="B436" t="str">
            <v>MG</v>
          </cell>
          <cell r="C436" t="str">
            <v>DIVINÓPOLIS RG</v>
          </cell>
          <cell r="D436" t="str">
            <v>SINTTEL-MG</v>
          </cell>
          <cell r="J436">
            <v>0.03</v>
          </cell>
          <cell r="K436">
            <v>0.02</v>
          </cell>
        </row>
        <row r="437">
          <cell r="A437" t="str">
            <v>Lagoa dos Patos</v>
          </cell>
          <cell r="B437" t="str">
            <v>MG</v>
          </cell>
          <cell r="C437" t="str">
            <v>MONTES CLAROS RG</v>
          </cell>
          <cell r="D437" t="str">
            <v>SINTTEL-MG</v>
          </cell>
          <cell r="J437" t="e">
            <v>#N/A</v>
          </cell>
          <cell r="K437" t="e">
            <v>#N/A</v>
          </cell>
        </row>
        <row r="438">
          <cell r="A438" t="str">
            <v>Lagoa Dourada</v>
          </cell>
          <cell r="B438" t="str">
            <v>MG</v>
          </cell>
          <cell r="C438" t="str">
            <v>FETHEMG</v>
          </cell>
          <cell r="D438" t="str">
            <v>SINTTEL-MG</v>
          </cell>
          <cell r="J438" t="e">
            <v>#N/A</v>
          </cell>
          <cell r="K438" t="e">
            <v>#N/A</v>
          </cell>
        </row>
        <row r="439">
          <cell r="A439" t="str">
            <v>Lagoa Formosa</v>
          </cell>
          <cell r="B439" t="str">
            <v>MG</v>
          </cell>
          <cell r="C439" t="str">
            <v>UBERLÂNDIA RG</v>
          </cell>
          <cell r="D439" t="str">
            <v>SINTTEL-MG</v>
          </cell>
          <cell r="J439" t="e">
            <v>#N/A</v>
          </cell>
          <cell r="K439" t="e">
            <v>#N/A</v>
          </cell>
        </row>
        <row r="440">
          <cell r="A440" t="str">
            <v>Lagoa Grande</v>
          </cell>
          <cell r="B440" t="str">
            <v>MG</v>
          </cell>
          <cell r="C440" t="str">
            <v>FETHEMG</v>
          </cell>
          <cell r="D440" t="str">
            <v>SINTTEL-MG</v>
          </cell>
          <cell r="J440" t="e">
            <v>#N/A</v>
          </cell>
          <cell r="K440" t="e">
            <v>#N/A</v>
          </cell>
        </row>
        <row r="441">
          <cell r="A441" t="str">
            <v>Lagoa Santa</v>
          </cell>
          <cell r="B441" t="str">
            <v>MG</v>
          </cell>
          <cell r="C441" t="str">
            <v>SIND- ASSEIO</v>
          </cell>
          <cell r="D441" t="str">
            <v>SINTTEL-MG</v>
          </cell>
          <cell r="J441">
            <v>0.05</v>
          </cell>
          <cell r="K441">
            <v>0.02</v>
          </cell>
        </row>
        <row r="442">
          <cell r="A442" t="str">
            <v>Lajinha</v>
          </cell>
          <cell r="B442" t="str">
            <v>MG</v>
          </cell>
          <cell r="C442" t="str">
            <v>JUIZ DE FORA RG</v>
          </cell>
          <cell r="D442" t="str">
            <v>SINTTEL-MG</v>
          </cell>
          <cell r="J442">
            <v>0.03</v>
          </cell>
          <cell r="K442">
            <v>0.03</v>
          </cell>
        </row>
        <row r="443">
          <cell r="A443" t="str">
            <v>Lambari</v>
          </cell>
          <cell r="B443" t="str">
            <v>MG</v>
          </cell>
          <cell r="C443" t="str">
            <v>SÃO LOURENÇO RG</v>
          </cell>
          <cell r="D443" t="str">
            <v>SINTTEL-MG</v>
          </cell>
          <cell r="J443">
            <v>0.03</v>
          </cell>
          <cell r="K443">
            <v>0.03</v>
          </cell>
        </row>
        <row r="444">
          <cell r="A444" t="str">
            <v>Lameirão do Parauna</v>
          </cell>
          <cell r="B444" t="str">
            <v>MG</v>
          </cell>
          <cell r="D444" t="str">
            <v>SINTTEL-MG</v>
          </cell>
          <cell r="J444" t="e">
            <v>#N/A</v>
          </cell>
          <cell r="K444" t="e">
            <v>#N/A</v>
          </cell>
        </row>
        <row r="445">
          <cell r="A445" t="str">
            <v>Lamim</v>
          </cell>
          <cell r="B445" t="str">
            <v>MG</v>
          </cell>
          <cell r="C445" t="str">
            <v>FETHEMG</v>
          </cell>
          <cell r="D445" t="str">
            <v>SINTTEL-MG</v>
          </cell>
          <cell r="J445" t="e">
            <v>#N/A</v>
          </cell>
          <cell r="K445" t="e">
            <v>#N/A</v>
          </cell>
        </row>
        <row r="446">
          <cell r="A446" t="str">
            <v>Laranjal</v>
          </cell>
          <cell r="B446" t="str">
            <v>MG</v>
          </cell>
          <cell r="C446" t="str">
            <v>JUIZ DE FORA RG</v>
          </cell>
          <cell r="D446" t="str">
            <v>SINTTEL-MG</v>
          </cell>
          <cell r="J446" t="e">
            <v>#N/A</v>
          </cell>
          <cell r="K446" t="e">
            <v>#N/A</v>
          </cell>
        </row>
        <row r="447">
          <cell r="A447" t="str">
            <v>Lassance</v>
          </cell>
          <cell r="B447" t="str">
            <v>MG</v>
          </cell>
          <cell r="C447" t="str">
            <v>CURVELO</v>
          </cell>
          <cell r="D447" t="str">
            <v>SINTTEL-MG</v>
          </cell>
          <cell r="J447" t="e">
            <v>#N/A</v>
          </cell>
          <cell r="K447" t="e">
            <v>#N/A</v>
          </cell>
        </row>
        <row r="448">
          <cell r="A448" t="str">
            <v>Lavras</v>
          </cell>
          <cell r="B448" t="str">
            <v>MG</v>
          </cell>
          <cell r="C448" t="str">
            <v>SÃO LOURENÇO RG</v>
          </cell>
          <cell r="D448" t="str">
            <v>SINTTEL-MG</v>
          </cell>
          <cell r="J448">
            <v>0.03</v>
          </cell>
          <cell r="K448">
            <v>0.05</v>
          </cell>
        </row>
        <row r="449">
          <cell r="A449" t="str">
            <v>Leandro Ferreira</v>
          </cell>
          <cell r="B449" t="str">
            <v>MG</v>
          </cell>
          <cell r="C449" t="str">
            <v>DIVINÓPOLIS RG</v>
          </cell>
          <cell r="D449" t="str">
            <v>SINTTEL-MG</v>
          </cell>
          <cell r="J449" t="e">
            <v>#N/A</v>
          </cell>
          <cell r="K449" t="e">
            <v>#N/A</v>
          </cell>
        </row>
        <row r="450">
          <cell r="A450" t="str">
            <v>Leme do Prado</v>
          </cell>
          <cell r="B450" t="str">
            <v>MG</v>
          </cell>
          <cell r="C450" t="str">
            <v>FETHEMG</v>
          </cell>
          <cell r="D450" t="str">
            <v>SINTTEL-MG</v>
          </cell>
          <cell r="J450" t="e">
            <v>#N/A</v>
          </cell>
          <cell r="K450" t="e">
            <v>#N/A</v>
          </cell>
        </row>
        <row r="451">
          <cell r="A451" t="str">
            <v>Leopoldina</v>
          </cell>
          <cell r="B451" t="str">
            <v>MG</v>
          </cell>
          <cell r="C451" t="str">
            <v>CATAGUASES</v>
          </cell>
          <cell r="D451" t="str">
            <v>SINTTEL-MG</v>
          </cell>
          <cell r="J451">
            <v>0.02</v>
          </cell>
          <cell r="K451">
            <v>0.02</v>
          </cell>
        </row>
        <row r="452">
          <cell r="A452" t="str">
            <v>Liberdade</v>
          </cell>
          <cell r="B452" t="str">
            <v>MG</v>
          </cell>
          <cell r="C452" t="str">
            <v>SÃO LOURENÇO RG</v>
          </cell>
          <cell r="D452" t="str">
            <v>SINTTEL-MG</v>
          </cell>
          <cell r="J452" t="e">
            <v>#N/A</v>
          </cell>
          <cell r="K452" t="e">
            <v>#N/A</v>
          </cell>
        </row>
        <row r="453">
          <cell r="A453" t="str">
            <v>Lima Duarte</v>
          </cell>
          <cell r="B453" t="str">
            <v>MG</v>
          </cell>
          <cell r="C453" t="str">
            <v>JUIZ DE FORA RG</v>
          </cell>
          <cell r="D453" t="str">
            <v>SINTTEL-MG</v>
          </cell>
          <cell r="J453">
            <v>0.02</v>
          </cell>
          <cell r="K453">
            <v>0.02</v>
          </cell>
        </row>
        <row r="454">
          <cell r="A454" t="str">
            <v>Limeira do Oeste</v>
          </cell>
          <cell r="B454" t="str">
            <v>MG</v>
          </cell>
          <cell r="C454" t="str">
            <v>UBERLÂNDIA RG</v>
          </cell>
          <cell r="D454" t="str">
            <v>SINTTEL-MG</v>
          </cell>
          <cell r="J454" t="e">
            <v>#N/A</v>
          </cell>
          <cell r="K454" t="e">
            <v>#N/A</v>
          </cell>
        </row>
        <row r="455">
          <cell r="A455" t="str">
            <v>Lontra</v>
          </cell>
          <cell r="B455" t="str">
            <v>MG</v>
          </cell>
          <cell r="C455" t="str">
            <v>MONTES CLAROS RG</v>
          </cell>
          <cell r="D455" t="str">
            <v>SINTTEL-MG</v>
          </cell>
          <cell r="J455" t="e">
            <v>#N/A</v>
          </cell>
          <cell r="K455" t="e">
            <v>#N/A</v>
          </cell>
        </row>
        <row r="456">
          <cell r="A456" t="str">
            <v>Luisburgo</v>
          </cell>
          <cell r="B456" t="str">
            <v>MG</v>
          </cell>
          <cell r="C456" t="str">
            <v>FETHEMG</v>
          </cell>
          <cell r="D456" t="str">
            <v>SINTTEL-MG</v>
          </cell>
          <cell r="J456" t="e">
            <v>#N/A</v>
          </cell>
          <cell r="K456" t="e">
            <v>#N/A</v>
          </cell>
        </row>
        <row r="457">
          <cell r="A457" t="str">
            <v>Luislândia</v>
          </cell>
          <cell r="B457" t="str">
            <v>MG</v>
          </cell>
          <cell r="C457" t="str">
            <v>FETHEMG</v>
          </cell>
          <cell r="D457" t="str">
            <v>SINTTEL-MG</v>
          </cell>
          <cell r="J457" t="e">
            <v>#N/A</v>
          </cell>
          <cell r="K457" t="e">
            <v>#N/A</v>
          </cell>
        </row>
        <row r="458">
          <cell r="A458" t="str">
            <v>Luminárias</v>
          </cell>
          <cell r="B458" t="str">
            <v>MG</v>
          </cell>
          <cell r="C458" t="str">
            <v>SÃO LOURENÇO RG</v>
          </cell>
          <cell r="D458" t="str">
            <v>SINTTEL-MG</v>
          </cell>
          <cell r="J458" t="e">
            <v>#N/A</v>
          </cell>
          <cell r="K458" t="e">
            <v>#N/A</v>
          </cell>
        </row>
        <row r="459">
          <cell r="A459" t="str">
            <v>Luz</v>
          </cell>
          <cell r="B459" t="str">
            <v>MG</v>
          </cell>
          <cell r="C459" t="str">
            <v>DIVINÓPOLIS RG</v>
          </cell>
          <cell r="D459" t="str">
            <v>SINTTEL-MG</v>
          </cell>
          <cell r="J459">
            <v>0.03</v>
          </cell>
          <cell r="K459">
            <v>0.03</v>
          </cell>
        </row>
        <row r="460">
          <cell r="A460" t="str">
            <v>Machacalis</v>
          </cell>
          <cell r="B460" t="str">
            <v>MG</v>
          </cell>
          <cell r="C460" t="str">
            <v>FETHEMG</v>
          </cell>
          <cell r="D460" t="str">
            <v>SINTTEL-MG</v>
          </cell>
          <cell r="J460">
            <v>0</v>
          </cell>
          <cell r="K460">
            <v>0</v>
          </cell>
        </row>
        <row r="461">
          <cell r="A461" t="str">
            <v>Machado</v>
          </cell>
          <cell r="B461" t="str">
            <v>MG</v>
          </cell>
          <cell r="C461" t="str">
            <v>SÃO LOURENÇO RG</v>
          </cell>
          <cell r="D461" t="str">
            <v>SINTTEL-MG</v>
          </cell>
          <cell r="J461">
            <v>0.02</v>
          </cell>
          <cell r="K461">
            <v>0.02</v>
          </cell>
        </row>
        <row r="462">
          <cell r="A462" t="str">
            <v>Madre de Deus de Minas</v>
          </cell>
          <cell r="B462" t="str">
            <v>MG</v>
          </cell>
          <cell r="C462" t="str">
            <v>JUIZ DE FORA RG</v>
          </cell>
          <cell r="D462" t="str">
            <v>SINTTEL-MG</v>
          </cell>
          <cell r="J462" t="e">
            <v>#N/A</v>
          </cell>
          <cell r="K462" t="e">
            <v>#N/A</v>
          </cell>
        </row>
        <row r="463">
          <cell r="A463" t="str">
            <v>Malacacheta</v>
          </cell>
          <cell r="B463" t="str">
            <v>MG</v>
          </cell>
          <cell r="C463" t="str">
            <v>TEÓFILO OTONI RG</v>
          </cell>
          <cell r="D463" t="str">
            <v>SINTTEL-MG</v>
          </cell>
          <cell r="J463">
            <v>0.05</v>
          </cell>
          <cell r="K463">
            <v>0.03</v>
          </cell>
        </row>
        <row r="464">
          <cell r="A464" t="str">
            <v>Mamonas</v>
          </cell>
          <cell r="B464" t="str">
            <v>MG</v>
          </cell>
          <cell r="C464" t="str">
            <v>MONTES CLAROS RG</v>
          </cell>
          <cell r="D464" t="str">
            <v>SINTTEL-MG</v>
          </cell>
          <cell r="J464" t="e">
            <v>#N/A</v>
          </cell>
          <cell r="K464" t="e">
            <v>#N/A</v>
          </cell>
        </row>
        <row r="465">
          <cell r="A465" t="str">
            <v>Manga</v>
          </cell>
          <cell r="B465" t="str">
            <v>MG</v>
          </cell>
          <cell r="C465" t="str">
            <v>MONTES CLAROS RG</v>
          </cell>
          <cell r="D465" t="str">
            <v>SINTTEL-MG</v>
          </cell>
          <cell r="J465">
            <v>0.02</v>
          </cell>
          <cell r="K465">
            <v>0.04</v>
          </cell>
        </row>
        <row r="466">
          <cell r="A466" t="str">
            <v>Mangabeiras</v>
          </cell>
          <cell r="B466" t="str">
            <v>MG</v>
          </cell>
          <cell r="D466" t="str">
            <v>SINTTEL-MG</v>
          </cell>
          <cell r="J466" t="e">
            <v>#N/A</v>
          </cell>
          <cell r="K466" t="e">
            <v>#N/A</v>
          </cell>
        </row>
        <row r="467">
          <cell r="A467" t="str">
            <v>Manhuaçu</v>
          </cell>
          <cell r="B467" t="str">
            <v>MG</v>
          </cell>
          <cell r="C467" t="str">
            <v>JUIZ DE FORA RG</v>
          </cell>
          <cell r="D467" t="str">
            <v>SINTTEL-MG</v>
          </cell>
          <cell r="J467">
            <v>0.03</v>
          </cell>
          <cell r="K467">
            <v>0.03</v>
          </cell>
        </row>
        <row r="468">
          <cell r="A468" t="str">
            <v>Manhumirim</v>
          </cell>
          <cell r="B468" t="str">
            <v>MG</v>
          </cell>
          <cell r="C468" t="str">
            <v>FETHEMG</v>
          </cell>
          <cell r="D468" t="str">
            <v>SINTTEL-MG</v>
          </cell>
          <cell r="J468">
            <v>0.02</v>
          </cell>
          <cell r="K468">
            <v>0.02</v>
          </cell>
        </row>
        <row r="469">
          <cell r="A469" t="str">
            <v>Mantena</v>
          </cell>
          <cell r="B469" t="str">
            <v>MG</v>
          </cell>
          <cell r="C469" t="str">
            <v>FETHEMG</v>
          </cell>
          <cell r="D469" t="str">
            <v>SINTTEL-MG</v>
          </cell>
          <cell r="J469">
            <v>0.03</v>
          </cell>
          <cell r="K469">
            <v>0.03</v>
          </cell>
        </row>
        <row r="470">
          <cell r="A470" t="str">
            <v>Mar da Espanha</v>
          </cell>
          <cell r="B470" t="str">
            <v>MG</v>
          </cell>
          <cell r="C470" t="str">
            <v>JUIZ DE FORA RG</v>
          </cell>
          <cell r="D470" t="str">
            <v>SINTTEL-MG</v>
          </cell>
          <cell r="J470" t="e">
            <v>#N/A</v>
          </cell>
          <cell r="K470" t="e">
            <v>#N/A</v>
          </cell>
        </row>
        <row r="471">
          <cell r="A471" t="str">
            <v>Maravilhas</v>
          </cell>
          <cell r="B471" t="str">
            <v>MG</v>
          </cell>
          <cell r="C471" t="str">
            <v>SETE LAGOAS</v>
          </cell>
          <cell r="D471" t="str">
            <v>SINTTEL-MG</v>
          </cell>
          <cell r="J471" t="e">
            <v>#N/A</v>
          </cell>
          <cell r="K471" t="e">
            <v>#N/A</v>
          </cell>
        </row>
        <row r="472">
          <cell r="A472" t="str">
            <v>Maria da Fé</v>
          </cell>
          <cell r="B472" t="str">
            <v>MG</v>
          </cell>
          <cell r="C472" t="str">
            <v>SÃO LOURENÇO RG</v>
          </cell>
          <cell r="D472" t="str">
            <v>SINTTEL-MG</v>
          </cell>
          <cell r="J472" t="e">
            <v>#N/A</v>
          </cell>
          <cell r="K472" t="e">
            <v>#N/A</v>
          </cell>
        </row>
        <row r="473">
          <cell r="A473" t="str">
            <v>Mariana</v>
          </cell>
          <cell r="B473" t="str">
            <v>MG</v>
          </cell>
          <cell r="C473" t="str">
            <v>OURO PRETO</v>
          </cell>
          <cell r="D473" t="str">
            <v>SINTTEL-MG</v>
          </cell>
          <cell r="J473">
            <v>0.03</v>
          </cell>
          <cell r="K473">
            <v>0.03</v>
          </cell>
        </row>
        <row r="474">
          <cell r="A474" t="str">
            <v>Marilac</v>
          </cell>
          <cell r="B474" t="str">
            <v>MG</v>
          </cell>
          <cell r="C474" t="str">
            <v>FETHEMG</v>
          </cell>
          <cell r="D474" t="str">
            <v>SINTTEL-MG</v>
          </cell>
          <cell r="J474" t="e">
            <v>#N/A</v>
          </cell>
          <cell r="K474" t="e">
            <v>#N/A</v>
          </cell>
        </row>
        <row r="475">
          <cell r="A475" t="str">
            <v>Mário Campos</v>
          </cell>
          <cell r="B475" t="str">
            <v>MG</v>
          </cell>
          <cell r="C475" t="str">
            <v>FETHEMG RM</v>
          </cell>
          <cell r="D475" t="str">
            <v>SINTTEL-MG</v>
          </cell>
          <cell r="J475" t="e">
            <v>#N/A</v>
          </cell>
          <cell r="K475" t="e">
            <v>#N/A</v>
          </cell>
        </row>
        <row r="476">
          <cell r="A476" t="str">
            <v>Maripá de Minas</v>
          </cell>
          <cell r="B476" t="str">
            <v>MG</v>
          </cell>
          <cell r="C476" t="str">
            <v>JUIZ DE FORA RG</v>
          </cell>
          <cell r="D476" t="str">
            <v>SINTTEL-MG</v>
          </cell>
          <cell r="J476" t="e">
            <v>#N/A</v>
          </cell>
          <cell r="K476" t="e">
            <v>#N/A</v>
          </cell>
        </row>
        <row r="477">
          <cell r="A477" t="str">
            <v>Marliéria</v>
          </cell>
          <cell r="B477" t="str">
            <v>MG</v>
          </cell>
          <cell r="C477" t="str">
            <v>VALE DO AÇO</v>
          </cell>
          <cell r="D477" t="str">
            <v>SINTTEL-MG</v>
          </cell>
          <cell r="J477" t="e">
            <v>#N/A</v>
          </cell>
          <cell r="K477" t="e">
            <v>#N/A</v>
          </cell>
        </row>
        <row r="478">
          <cell r="A478" t="str">
            <v>Marmelópolis</v>
          </cell>
          <cell r="B478" t="str">
            <v>MG</v>
          </cell>
          <cell r="C478" t="str">
            <v>SÃO LOURENÇO RG</v>
          </cell>
          <cell r="D478" t="str">
            <v>SINTTEL-MG</v>
          </cell>
          <cell r="J478" t="e">
            <v>#N/A</v>
          </cell>
          <cell r="K478" t="e">
            <v>#N/A</v>
          </cell>
        </row>
        <row r="479">
          <cell r="A479" t="str">
            <v>Martinho Campos</v>
          </cell>
          <cell r="B479" t="str">
            <v>MG</v>
          </cell>
          <cell r="C479" t="str">
            <v>DIVINÓPOLIS RG</v>
          </cell>
          <cell r="D479" t="str">
            <v>SINTTEL-MG</v>
          </cell>
          <cell r="J479">
            <v>0.03</v>
          </cell>
          <cell r="K479">
            <v>0.02</v>
          </cell>
        </row>
        <row r="480">
          <cell r="A480" t="str">
            <v>Martins Soares</v>
          </cell>
          <cell r="B480" t="str">
            <v>MG</v>
          </cell>
          <cell r="C480" t="str">
            <v>FETHEMG</v>
          </cell>
          <cell r="D480" t="str">
            <v>SINTTEL-MG</v>
          </cell>
          <cell r="J480" t="e">
            <v>#N/A</v>
          </cell>
          <cell r="K480" t="e">
            <v>#N/A</v>
          </cell>
        </row>
        <row r="481">
          <cell r="A481" t="str">
            <v>Mascarenhas</v>
          </cell>
          <cell r="B481" t="str">
            <v>MG</v>
          </cell>
          <cell r="D481" t="str">
            <v>SINTTEL-MG</v>
          </cell>
          <cell r="J481" t="e">
            <v>#N/A</v>
          </cell>
          <cell r="K481" t="e">
            <v>#N/A</v>
          </cell>
        </row>
        <row r="482">
          <cell r="A482" t="str">
            <v>Mata Verde</v>
          </cell>
          <cell r="B482" t="str">
            <v>MG</v>
          </cell>
          <cell r="D482" t="str">
            <v>SINTTEL-MG</v>
          </cell>
          <cell r="J482" t="e">
            <v>#N/A</v>
          </cell>
          <cell r="K482" t="e">
            <v>#N/A</v>
          </cell>
        </row>
        <row r="483">
          <cell r="A483" t="str">
            <v>Materlândia</v>
          </cell>
          <cell r="B483" t="str">
            <v>MG</v>
          </cell>
          <cell r="C483" t="str">
            <v>FETHEMG</v>
          </cell>
          <cell r="D483" t="str">
            <v>SINTTEL-MG</v>
          </cell>
          <cell r="J483" t="e">
            <v>#N/A</v>
          </cell>
          <cell r="K483" t="e">
            <v>#N/A</v>
          </cell>
        </row>
        <row r="484">
          <cell r="A484" t="str">
            <v>Mateus Leme</v>
          </cell>
          <cell r="B484" t="str">
            <v>MG</v>
          </cell>
          <cell r="C484" t="str">
            <v>SIND- ASSEIO</v>
          </cell>
          <cell r="D484" t="str">
            <v>SINTTEL-MG</v>
          </cell>
          <cell r="J484">
            <v>0.02</v>
          </cell>
          <cell r="K484">
            <v>0.02</v>
          </cell>
        </row>
        <row r="485">
          <cell r="A485" t="str">
            <v>Mathias Lobato</v>
          </cell>
          <cell r="B485" t="str">
            <v>MG</v>
          </cell>
          <cell r="C485" t="str">
            <v>FETHEMG</v>
          </cell>
          <cell r="D485" t="str">
            <v>SINTTEL-MG</v>
          </cell>
          <cell r="J485" t="e">
            <v>#N/A</v>
          </cell>
          <cell r="K485" t="e">
            <v>#N/A</v>
          </cell>
        </row>
        <row r="486">
          <cell r="A486" t="str">
            <v>Matias Barbosa</v>
          </cell>
          <cell r="B486" t="str">
            <v>MG</v>
          </cell>
          <cell r="C486" t="str">
            <v>JUIZ DE FORA RG</v>
          </cell>
          <cell r="D486" t="str">
            <v>SINTTEL-MG</v>
          </cell>
          <cell r="J486">
            <v>0.02</v>
          </cell>
          <cell r="K486">
            <v>0.02</v>
          </cell>
        </row>
        <row r="487">
          <cell r="A487" t="str">
            <v>Matias Cardoso</v>
          </cell>
          <cell r="B487" t="str">
            <v>MG</v>
          </cell>
          <cell r="C487" t="str">
            <v>MONTES CLAROS RG</v>
          </cell>
          <cell r="D487" t="str">
            <v>SINTTEL-MG</v>
          </cell>
          <cell r="J487" t="e">
            <v>#N/A</v>
          </cell>
          <cell r="K487" t="e">
            <v>#N/A</v>
          </cell>
        </row>
        <row r="488">
          <cell r="A488" t="str">
            <v>Matipó</v>
          </cell>
          <cell r="B488" t="str">
            <v>MG</v>
          </cell>
          <cell r="C488" t="str">
            <v>FETHEMG</v>
          </cell>
          <cell r="D488" t="str">
            <v>SINTTEL-MG</v>
          </cell>
          <cell r="J488" t="e">
            <v>#N/A</v>
          </cell>
          <cell r="K488" t="e">
            <v>#N/A</v>
          </cell>
        </row>
        <row r="489">
          <cell r="A489" t="str">
            <v>Mato verde</v>
          </cell>
          <cell r="B489" t="str">
            <v>MG</v>
          </cell>
          <cell r="C489" t="str">
            <v>MONTES CLAROS RG</v>
          </cell>
          <cell r="D489" t="str">
            <v>SINTTEL-MG</v>
          </cell>
          <cell r="J489" t="e">
            <v>#N/A</v>
          </cell>
          <cell r="K489" t="e">
            <v>#N/A</v>
          </cell>
        </row>
        <row r="490">
          <cell r="A490" t="str">
            <v>Matozinhos</v>
          </cell>
          <cell r="B490" t="str">
            <v>MG</v>
          </cell>
          <cell r="C490" t="str">
            <v>SIND- ASSEIO</v>
          </cell>
          <cell r="D490" t="str">
            <v>SINTTEL-MG</v>
          </cell>
          <cell r="J490">
            <v>0.02</v>
          </cell>
          <cell r="K490">
            <v>0.02</v>
          </cell>
        </row>
        <row r="491">
          <cell r="A491" t="str">
            <v>Matutina</v>
          </cell>
          <cell r="B491" t="str">
            <v>MG</v>
          </cell>
          <cell r="C491" t="str">
            <v>UBERLÂNDIA RG</v>
          </cell>
          <cell r="D491" t="str">
            <v>SINTTEL-MG</v>
          </cell>
          <cell r="J491" t="e">
            <v>#N/A</v>
          </cell>
          <cell r="K491" t="e">
            <v>#N/A</v>
          </cell>
        </row>
        <row r="492">
          <cell r="A492" t="str">
            <v>Medeiros</v>
          </cell>
          <cell r="B492" t="str">
            <v>MG</v>
          </cell>
          <cell r="C492" t="str">
            <v>DIVINÓPOLIS RG</v>
          </cell>
          <cell r="D492" t="str">
            <v>SINTTEL-MG</v>
          </cell>
          <cell r="J492" t="e">
            <v>#N/A</v>
          </cell>
          <cell r="K492" t="e">
            <v>#N/A</v>
          </cell>
        </row>
        <row r="493">
          <cell r="A493" t="str">
            <v>Medina</v>
          </cell>
          <cell r="B493" t="str">
            <v>MG</v>
          </cell>
          <cell r="C493" t="str">
            <v>TEÓFILO OTONI RG</v>
          </cell>
          <cell r="D493" t="str">
            <v>SINTTEL-MG</v>
          </cell>
          <cell r="J493">
            <v>0.03</v>
          </cell>
          <cell r="K493">
            <v>0.03</v>
          </cell>
        </row>
        <row r="494">
          <cell r="A494" t="str">
            <v>Mendes Pimentel</v>
          </cell>
          <cell r="B494" t="str">
            <v>MG</v>
          </cell>
          <cell r="C494" t="str">
            <v>FETHEMG</v>
          </cell>
          <cell r="D494" t="str">
            <v>SINTTEL-MG</v>
          </cell>
          <cell r="J494" t="e">
            <v>#N/A</v>
          </cell>
          <cell r="K494" t="e">
            <v>#N/A</v>
          </cell>
        </row>
        <row r="495">
          <cell r="A495" t="str">
            <v>Mercês</v>
          </cell>
          <cell r="B495" t="str">
            <v>MG</v>
          </cell>
          <cell r="C495" t="str">
            <v>JUIZ DE FORA RG</v>
          </cell>
          <cell r="D495" t="str">
            <v>SINTTEL-MG</v>
          </cell>
          <cell r="J495">
            <v>0.03</v>
          </cell>
          <cell r="K495">
            <v>0.03</v>
          </cell>
        </row>
        <row r="496">
          <cell r="A496" t="str">
            <v>Mesquita</v>
          </cell>
          <cell r="B496" t="str">
            <v>MG</v>
          </cell>
          <cell r="C496" t="str">
            <v>FETHEMG</v>
          </cell>
          <cell r="D496" t="str">
            <v>SINTTEL-MG</v>
          </cell>
          <cell r="J496">
            <v>0.03</v>
          </cell>
          <cell r="K496">
            <v>0.03</v>
          </cell>
        </row>
        <row r="497">
          <cell r="A497" t="str">
            <v>Milho Verde</v>
          </cell>
          <cell r="B497" t="str">
            <v>MG</v>
          </cell>
          <cell r="D497" t="str">
            <v>SINTTEL-MG</v>
          </cell>
          <cell r="J497" t="e">
            <v>#N/A</v>
          </cell>
          <cell r="K497" t="e">
            <v>#N/A</v>
          </cell>
        </row>
        <row r="498">
          <cell r="A498" t="str">
            <v>Minas Novas</v>
          </cell>
          <cell r="B498" t="str">
            <v>MG</v>
          </cell>
          <cell r="C498" t="str">
            <v>FETHEMG</v>
          </cell>
          <cell r="D498" t="str">
            <v>SINTTEL-MG</v>
          </cell>
          <cell r="J498">
            <v>0.03</v>
          </cell>
          <cell r="K498">
            <v>0.03</v>
          </cell>
        </row>
        <row r="499">
          <cell r="A499" t="str">
            <v>Minduri</v>
          </cell>
          <cell r="B499" t="str">
            <v>MG</v>
          </cell>
          <cell r="C499" t="str">
            <v>SÃO LOURENÇO RG</v>
          </cell>
          <cell r="D499" t="str">
            <v>SINTTEL-MG</v>
          </cell>
          <cell r="J499" t="e">
            <v>#N/A</v>
          </cell>
          <cell r="K499" t="e">
            <v>#N/A</v>
          </cell>
        </row>
        <row r="500">
          <cell r="A500" t="str">
            <v>Mirabela</v>
          </cell>
          <cell r="B500" t="str">
            <v>MG</v>
          </cell>
          <cell r="C500" t="str">
            <v>MONTES CLAROS RG</v>
          </cell>
          <cell r="D500" t="str">
            <v>SINTTEL-MG</v>
          </cell>
          <cell r="J500" t="e">
            <v>#N/A</v>
          </cell>
          <cell r="K500" t="e">
            <v>#N/A</v>
          </cell>
        </row>
        <row r="501">
          <cell r="A501" t="str">
            <v>Miradouro</v>
          </cell>
          <cell r="B501" t="str">
            <v>MG</v>
          </cell>
          <cell r="C501" t="str">
            <v>JUIZ DE FORA RG</v>
          </cell>
          <cell r="D501" t="str">
            <v>SINTTEL-MG</v>
          </cell>
          <cell r="J501">
            <v>0.03</v>
          </cell>
          <cell r="K501">
            <v>0.03</v>
          </cell>
        </row>
        <row r="502">
          <cell r="A502" t="str">
            <v>Miraí</v>
          </cell>
          <cell r="B502" t="str">
            <v>MG</v>
          </cell>
          <cell r="C502" t="str">
            <v>JUIZ DE FORA RG</v>
          </cell>
          <cell r="D502" t="str">
            <v>SINTTEL-MG</v>
          </cell>
          <cell r="J502">
            <v>0.03</v>
          </cell>
          <cell r="K502">
            <v>0.03</v>
          </cell>
        </row>
        <row r="503">
          <cell r="A503" t="str">
            <v>Miravânia</v>
          </cell>
          <cell r="B503" t="str">
            <v>MG</v>
          </cell>
          <cell r="C503" t="str">
            <v>FETHEMG</v>
          </cell>
          <cell r="D503" t="str">
            <v>SINTTEL-MG</v>
          </cell>
          <cell r="J503" t="e">
            <v>#N/A</v>
          </cell>
          <cell r="K503" t="e">
            <v>#N/A</v>
          </cell>
        </row>
        <row r="504">
          <cell r="A504" t="str">
            <v>Moeda</v>
          </cell>
          <cell r="B504" t="str">
            <v>MG</v>
          </cell>
          <cell r="C504" t="str">
            <v>FETHEMG</v>
          </cell>
          <cell r="D504" t="str">
            <v>SINTTEL-MG</v>
          </cell>
          <cell r="J504" t="e">
            <v>#N/A</v>
          </cell>
          <cell r="K504" t="e">
            <v>#N/A</v>
          </cell>
        </row>
        <row r="505">
          <cell r="A505" t="str">
            <v>Moema</v>
          </cell>
          <cell r="B505" t="str">
            <v>MG</v>
          </cell>
          <cell r="C505" t="str">
            <v>DIVINÓPOLIS RG</v>
          </cell>
          <cell r="D505" t="str">
            <v>SINTTEL-MG</v>
          </cell>
          <cell r="J505" t="e">
            <v>#N/A</v>
          </cell>
          <cell r="K505" t="e">
            <v>#N/A</v>
          </cell>
        </row>
        <row r="506">
          <cell r="A506" t="str">
            <v>Moncambinho</v>
          </cell>
          <cell r="B506" t="str">
            <v>MG</v>
          </cell>
          <cell r="D506" t="str">
            <v>SINTTEL-MG</v>
          </cell>
          <cell r="J506" t="e">
            <v>#N/A</v>
          </cell>
          <cell r="K506" t="e">
            <v>#N/A</v>
          </cell>
        </row>
        <row r="507">
          <cell r="A507" t="str">
            <v>Monjolos</v>
          </cell>
          <cell r="B507" t="str">
            <v>MG</v>
          </cell>
          <cell r="C507" t="str">
            <v>CURVELO</v>
          </cell>
          <cell r="D507" t="str">
            <v>SINTTEL-MG</v>
          </cell>
          <cell r="J507" t="e">
            <v>#N/A</v>
          </cell>
          <cell r="K507" t="e">
            <v>#N/A</v>
          </cell>
        </row>
        <row r="508">
          <cell r="A508" t="str">
            <v>Monsenhor Paulo</v>
          </cell>
          <cell r="B508" t="str">
            <v>MG</v>
          </cell>
          <cell r="C508" t="str">
            <v>SÃO LOURENÇO RG</v>
          </cell>
          <cell r="D508" t="str">
            <v>SINTTEL-MG</v>
          </cell>
          <cell r="J508" t="e">
            <v>#N/A</v>
          </cell>
          <cell r="K508" t="e">
            <v>#N/A</v>
          </cell>
        </row>
        <row r="509">
          <cell r="A509" t="str">
            <v>Montalvânia</v>
          </cell>
          <cell r="B509" t="str">
            <v>MG</v>
          </cell>
          <cell r="C509" t="str">
            <v>MONTES CLAROS RG</v>
          </cell>
          <cell r="D509" t="str">
            <v>SINTTEL-MG</v>
          </cell>
          <cell r="J509">
            <v>0.03</v>
          </cell>
          <cell r="K509">
            <v>0.03</v>
          </cell>
        </row>
        <row r="510">
          <cell r="A510" t="str">
            <v>Monte Alegre de Minas</v>
          </cell>
          <cell r="B510" t="str">
            <v>MG</v>
          </cell>
          <cell r="C510" t="str">
            <v>UBERLÂNDIA RG</v>
          </cell>
          <cell r="D510" t="str">
            <v>SINTTEL-MG</v>
          </cell>
          <cell r="J510">
            <v>0.04</v>
          </cell>
          <cell r="K510">
            <v>0.04</v>
          </cell>
        </row>
        <row r="511">
          <cell r="A511" t="str">
            <v>Monte Azul</v>
          </cell>
          <cell r="B511" t="str">
            <v>MG</v>
          </cell>
          <cell r="C511" t="str">
            <v>MONTES CLAROS RG</v>
          </cell>
          <cell r="D511" t="str">
            <v>SINTTEL-MG</v>
          </cell>
          <cell r="J511">
            <v>0.03</v>
          </cell>
          <cell r="K511">
            <v>0.03</v>
          </cell>
        </row>
        <row r="512">
          <cell r="A512" t="str">
            <v>Monte Belo</v>
          </cell>
          <cell r="B512" t="str">
            <v>MG</v>
          </cell>
          <cell r="C512" t="str">
            <v>SÃO LOURENÇO RG</v>
          </cell>
          <cell r="D512" t="str">
            <v>SINTTEL-MG</v>
          </cell>
          <cell r="J512">
            <v>0.03</v>
          </cell>
          <cell r="K512">
            <v>0.03</v>
          </cell>
        </row>
        <row r="513">
          <cell r="A513" t="str">
            <v>Monte Carmelo</v>
          </cell>
          <cell r="B513" t="str">
            <v>MG</v>
          </cell>
          <cell r="C513" t="str">
            <v>UBERLÂNDIA RG</v>
          </cell>
          <cell r="D513" t="str">
            <v>SINTTEL-MG</v>
          </cell>
          <cell r="J513">
            <v>0.03</v>
          </cell>
          <cell r="K513">
            <v>0.03</v>
          </cell>
        </row>
        <row r="514">
          <cell r="A514" t="str">
            <v>Monte Formoso</v>
          </cell>
          <cell r="B514" t="str">
            <v>MG</v>
          </cell>
          <cell r="C514" t="str">
            <v>FETHEMG</v>
          </cell>
          <cell r="D514" t="str">
            <v>SINTTEL-MG</v>
          </cell>
          <cell r="J514" t="e">
            <v>#N/A</v>
          </cell>
          <cell r="K514" t="e">
            <v>#N/A</v>
          </cell>
        </row>
        <row r="515">
          <cell r="A515" t="str">
            <v>Monte Santo de Minas</v>
          </cell>
          <cell r="B515" t="str">
            <v>MG</v>
          </cell>
          <cell r="C515" t="str">
            <v>SÃO LOURENÇO RG</v>
          </cell>
          <cell r="D515" t="str">
            <v>SINTTEL-MG</v>
          </cell>
          <cell r="J515">
            <v>0.03</v>
          </cell>
          <cell r="K515">
            <v>0.02</v>
          </cell>
        </row>
        <row r="516">
          <cell r="A516" t="str">
            <v>Monte Sião</v>
          </cell>
          <cell r="B516" t="str">
            <v>MG</v>
          </cell>
          <cell r="C516" t="str">
            <v>FETHEMG</v>
          </cell>
          <cell r="D516" t="str">
            <v>SINTTEL-MG</v>
          </cell>
          <cell r="J516">
            <v>0.05</v>
          </cell>
          <cell r="K516">
            <v>0.03</v>
          </cell>
        </row>
        <row r="517">
          <cell r="A517" t="str">
            <v>Monte Verde</v>
          </cell>
          <cell r="B517" t="str">
            <v>MG</v>
          </cell>
          <cell r="D517" t="str">
            <v>SINTTEL-MG</v>
          </cell>
          <cell r="J517" t="e">
            <v>#N/A</v>
          </cell>
          <cell r="K517" t="e">
            <v>#N/A</v>
          </cell>
        </row>
        <row r="518">
          <cell r="A518" t="str">
            <v>Montes Claros</v>
          </cell>
          <cell r="B518" t="str">
            <v>MG</v>
          </cell>
          <cell r="C518" t="str">
            <v>MONTES CLAROS</v>
          </cell>
          <cell r="D518" t="str">
            <v>SINTTEL-MG</v>
          </cell>
          <cell r="J518">
            <v>0.03</v>
          </cell>
          <cell r="K518">
            <v>0.03</v>
          </cell>
        </row>
        <row r="519">
          <cell r="A519" t="str">
            <v>Montezuma</v>
          </cell>
          <cell r="B519" t="str">
            <v>MG</v>
          </cell>
          <cell r="C519" t="str">
            <v>FETHEMG</v>
          </cell>
          <cell r="D519" t="str">
            <v>SINTTEL-MG</v>
          </cell>
          <cell r="J519" t="e">
            <v>#N/A</v>
          </cell>
          <cell r="K519" t="e">
            <v>#N/A</v>
          </cell>
        </row>
        <row r="520">
          <cell r="A520" t="str">
            <v>Morada Nova de Minas</v>
          </cell>
          <cell r="B520" t="str">
            <v>MG</v>
          </cell>
          <cell r="C520" t="str">
            <v>CURVELO</v>
          </cell>
          <cell r="D520" t="str">
            <v>SINTTEL-MG</v>
          </cell>
          <cell r="J520">
            <v>0.02</v>
          </cell>
          <cell r="K520">
            <v>0.02</v>
          </cell>
        </row>
        <row r="521">
          <cell r="A521" t="str">
            <v>Morro da Garça</v>
          </cell>
          <cell r="B521" t="str">
            <v>MG</v>
          </cell>
          <cell r="C521" t="str">
            <v>CURVELO</v>
          </cell>
          <cell r="D521" t="str">
            <v>SINTTEL-MG</v>
          </cell>
          <cell r="J521" t="e">
            <v>#N/A</v>
          </cell>
          <cell r="K521" t="e">
            <v>#N/A</v>
          </cell>
        </row>
        <row r="522">
          <cell r="A522" t="str">
            <v>Morro das Praças</v>
          </cell>
          <cell r="B522" t="str">
            <v>MG</v>
          </cell>
          <cell r="D522" t="str">
            <v>SINTTEL-MG</v>
          </cell>
          <cell r="J522" t="e">
            <v>#N/A</v>
          </cell>
          <cell r="K522" t="e">
            <v>#N/A</v>
          </cell>
        </row>
        <row r="523">
          <cell r="A523" t="str">
            <v>Morro do Pilar</v>
          </cell>
          <cell r="B523" t="str">
            <v>MG</v>
          </cell>
          <cell r="C523" t="str">
            <v>FETHEMG</v>
          </cell>
          <cell r="D523" t="str">
            <v>SINTTEL-MG</v>
          </cell>
          <cell r="J523" t="e">
            <v>#N/A</v>
          </cell>
          <cell r="K523" t="e">
            <v>#N/A</v>
          </cell>
        </row>
        <row r="524">
          <cell r="A524" t="str">
            <v>Munhoz</v>
          </cell>
          <cell r="B524" t="str">
            <v>MG</v>
          </cell>
          <cell r="C524" t="str">
            <v>FETHEMG</v>
          </cell>
          <cell r="D524" t="str">
            <v>SINTTEL-MG</v>
          </cell>
          <cell r="J524" t="e">
            <v>#N/A</v>
          </cell>
          <cell r="K524" t="e">
            <v>#N/A</v>
          </cell>
        </row>
        <row r="525">
          <cell r="A525" t="str">
            <v>Muquem</v>
          </cell>
          <cell r="B525" t="str">
            <v>MG</v>
          </cell>
          <cell r="D525" t="str">
            <v>SINTTEL-MG</v>
          </cell>
          <cell r="J525" t="e">
            <v>#N/A</v>
          </cell>
          <cell r="K525" t="e">
            <v>#N/A</v>
          </cell>
        </row>
        <row r="526">
          <cell r="A526" t="str">
            <v>Muriaé</v>
          </cell>
          <cell r="B526" t="str">
            <v>MG</v>
          </cell>
          <cell r="C526" t="str">
            <v>CATAGUASES</v>
          </cell>
          <cell r="D526" t="str">
            <v>SINTTEL-MG</v>
          </cell>
          <cell r="J526">
            <v>0.03</v>
          </cell>
          <cell r="K526">
            <v>0.03</v>
          </cell>
        </row>
        <row r="527">
          <cell r="A527" t="str">
            <v>Mutum</v>
          </cell>
          <cell r="B527" t="str">
            <v>MG</v>
          </cell>
          <cell r="C527" t="str">
            <v>FETHEMG</v>
          </cell>
          <cell r="D527" t="str">
            <v>SINTTEL-MG</v>
          </cell>
          <cell r="J527">
            <v>0.05</v>
          </cell>
          <cell r="K527">
            <v>0.05</v>
          </cell>
        </row>
        <row r="528">
          <cell r="A528" t="str">
            <v>Muzambinho</v>
          </cell>
          <cell r="B528" t="str">
            <v>MG</v>
          </cell>
          <cell r="C528" t="str">
            <v>FETHEMG</v>
          </cell>
          <cell r="D528" t="str">
            <v>SINTTEL-MG</v>
          </cell>
          <cell r="J528">
            <v>0.03</v>
          </cell>
          <cell r="K528">
            <v>0.03</v>
          </cell>
        </row>
        <row r="529">
          <cell r="A529" t="str">
            <v>Nacip Raydan</v>
          </cell>
          <cell r="B529" t="str">
            <v>MG</v>
          </cell>
          <cell r="C529" t="str">
            <v>FETHEMG</v>
          </cell>
          <cell r="D529" t="str">
            <v>SINTTEL-MG</v>
          </cell>
          <cell r="J529" t="e">
            <v>#N/A</v>
          </cell>
          <cell r="K529" t="e">
            <v>#N/A</v>
          </cell>
        </row>
        <row r="530">
          <cell r="A530" t="str">
            <v>Nanuque</v>
          </cell>
          <cell r="B530" t="str">
            <v>MG</v>
          </cell>
          <cell r="C530" t="str">
            <v>TEÓFILO OTONI RG</v>
          </cell>
          <cell r="D530" t="str">
            <v>SINTTEL-MG</v>
          </cell>
          <cell r="J530">
            <v>0.03</v>
          </cell>
          <cell r="K530">
            <v>0.03</v>
          </cell>
        </row>
        <row r="531">
          <cell r="A531" t="str">
            <v>Naque</v>
          </cell>
          <cell r="B531" t="str">
            <v>MG</v>
          </cell>
          <cell r="C531" t="str">
            <v>FETHEMG</v>
          </cell>
          <cell r="D531" t="str">
            <v>SINTTEL-MG</v>
          </cell>
          <cell r="J531" t="e">
            <v>#N/A</v>
          </cell>
          <cell r="K531" t="e">
            <v>#N/A</v>
          </cell>
        </row>
        <row r="532">
          <cell r="A532" t="str">
            <v>Natalândia</v>
          </cell>
          <cell r="B532" t="str">
            <v>MG</v>
          </cell>
          <cell r="C532" t="str">
            <v>FETHEMG</v>
          </cell>
          <cell r="D532" t="str">
            <v>SINTTEL-MG</v>
          </cell>
          <cell r="J532" t="e">
            <v>#N/A</v>
          </cell>
          <cell r="K532" t="e">
            <v>#N/A</v>
          </cell>
        </row>
        <row r="533">
          <cell r="A533" t="str">
            <v>Natércia</v>
          </cell>
          <cell r="B533" t="str">
            <v>MG</v>
          </cell>
          <cell r="C533" t="str">
            <v>SÃO LOURENÇO RG</v>
          </cell>
          <cell r="D533" t="str">
            <v>SINTTEL-MG</v>
          </cell>
          <cell r="J533">
            <v>0.02</v>
          </cell>
          <cell r="K533">
            <v>0.02</v>
          </cell>
        </row>
        <row r="534">
          <cell r="A534" t="str">
            <v>Nazareno</v>
          </cell>
          <cell r="B534" t="str">
            <v>MG</v>
          </cell>
          <cell r="C534" t="str">
            <v>SÃO LOURENÇO RG</v>
          </cell>
          <cell r="D534" t="str">
            <v>SINTTEL-MG</v>
          </cell>
          <cell r="J534" t="e">
            <v>#N/A</v>
          </cell>
          <cell r="K534" t="e">
            <v>#N/A</v>
          </cell>
        </row>
        <row r="535">
          <cell r="A535" t="str">
            <v>Nepomuceno</v>
          </cell>
          <cell r="B535" t="str">
            <v>MG</v>
          </cell>
          <cell r="C535" t="str">
            <v>SÃO LOURENÇO RG</v>
          </cell>
          <cell r="D535" t="str">
            <v>SINTTEL-MG</v>
          </cell>
          <cell r="J535">
            <v>0.02</v>
          </cell>
          <cell r="K535">
            <v>0.02</v>
          </cell>
        </row>
        <row r="536">
          <cell r="A536" t="str">
            <v>Ninheira</v>
          </cell>
          <cell r="B536" t="str">
            <v>MG</v>
          </cell>
          <cell r="C536" t="str">
            <v>FETHEMG</v>
          </cell>
          <cell r="D536" t="str">
            <v>SINTTEL-MG</v>
          </cell>
          <cell r="J536" t="e">
            <v>#N/A</v>
          </cell>
          <cell r="K536" t="e">
            <v>#N/A</v>
          </cell>
        </row>
        <row r="537">
          <cell r="A537" t="str">
            <v>Nova Belém</v>
          </cell>
          <cell r="B537" t="str">
            <v>MG</v>
          </cell>
          <cell r="C537" t="str">
            <v>FETHEMG</v>
          </cell>
          <cell r="D537" t="str">
            <v>SINTTEL-MG</v>
          </cell>
          <cell r="J537" t="e">
            <v>#N/A</v>
          </cell>
          <cell r="K537" t="e">
            <v>#N/A</v>
          </cell>
        </row>
        <row r="538">
          <cell r="A538" t="str">
            <v>Nova Era</v>
          </cell>
          <cell r="B538" t="str">
            <v>MG</v>
          </cell>
          <cell r="C538" t="str">
            <v>JOÃO MONLEVADE RG</v>
          </cell>
          <cell r="D538" t="str">
            <v>SINTTEL-MG</v>
          </cell>
          <cell r="J538">
            <v>0.02</v>
          </cell>
          <cell r="K538">
            <v>0.02</v>
          </cell>
        </row>
        <row r="539">
          <cell r="A539" t="str">
            <v>Nova Lima</v>
          </cell>
          <cell r="B539" t="str">
            <v>MG</v>
          </cell>
          <cell r="C539" t="str">
            <v>SIND- ASSEIO</v>
          </cell>
          <cell r="D539" t="str">
            <v>SINTTEL-MG</v>
          </cell>
          <cell r="J539">
            <v>0.03</v>
          </cell>
          <cell r="K539">
            <v>0.03</v>
          </cell>
        </row>
        <row r="540">
          <cell r="A540" t="str">
            <v>Nova Módica</v>
          </cell>
          <cell r="B540" t="str">
            <v>MG</v>
          </cell>
          <cell r="C540" t="str">
            <v>TEÓFILO OTONI RG</v>
          </cell>
          <cell r="D540" t="str">
            <v>SINTTEL-MG</v>
          </cell>
          <cell r="J540" t="e">
            <v>#N/A</v>
          </cell>
          <cell r="K540" t="e">
            <v>#N/A</v>
          </cell>
        </row>
        <row r="541">
          <cell r="A541" t="str">
            <v>Nova Ponte</v>
          </cell>
          <cell r="B541" t="str">
            <v>MG</v>
          </cell>
          <cell r="C541" t="str">
            <v>UBERLÂNDIA RG</v>
          </cell>
          <cell r="D541" t="str">
            <v>SINTTEL-MG</v>
          </cell>
          <cell r="J541">
            <v>0.02</v>
          </cell>
          <cell r="K541">
            <v>0.02</v>
          </cell>
        </row>
        <row r="542">
          <cell r="A542" t="str">
            <v>Nova Porteirinha</v>
          </cell>
          <cell r="B542" t="str">
            <v>MG</v>
          </cell>
          <cell r="C542" t="str">
            <v>FETHEMG</v>
          </cell>
          <cell r="D542" t="str">
            <v>SINTTEL-MG</v>
          </cell>
          <cell r="J542" t="e">
            <v>#N/A</v>
          </cell>
          <cell r="K542" t="e">
            <v>#N/A</v>
          </cell>
        </row>
        <row r="543">
          <cell r="A543" t="str">
            <v>Nova Resende</v>
          </cell>
          <cell r="B543" t="str">
            <v>MG</v>
          </cell>
          <cell r="C543" t="str">
            <v>SÃO LOURENÇO RG</v>
          </cell>
          <cell r="D543" t="str">
            <v>SINTTEL-MG</v>
          </cell>
          <cell r="J543">
            <v>0.02</v>
          </cell>
          <cell r="K543">
            <v>0.02</v>
          </cell>
        </row>
        <row r="544">
          <cell r="A544" t="str">
            <v>Nova Serrana</v>
          </cell>
          <cell r="B544" t="str">
            <v>MG</v>
          </cell>
          <cell r="C544" t="str">
            <v>DIVINÓPOLIS RG</v>
          </cell>
          <cell r="D544" t="str">
            <v>SINTTEL-MG</v>
          </cell>
          <cell r="J544">
            <v>0.02</v>
          </cell>
          <cell r="K544">
            <v>0.02</v>
          </cell>
        </row>
        <row r="545">
          <cell r="A545" t="str">
            <v>Nova União</v>
          </cell>
          <cell r="B545" t="str">
            <v>MG</v>
          </cell>
          <cell r="C545" t="str">
            <v>FETHEMG</v>
          </cell>
          <cell r="D545" t="str">
            <v>SINTTEL-MG</v>
          </cell>
          <cell r="J545">
            <v>0.02</v>
          </cell>
          <cell r="K545">
            <v>0.02</v>
          </cell>
        </row>
        <row r="546">
          <cell r="A546" t="str">
            <v>Novo Cruzeiro</v>
          </cell>
          <cell r="B546" t="str">
            <v>MG</v>
          </cell>
          <cell r="C546" t="str">
            <v>TEÓFILO OTONI RG</v>
          </cell>
          <cell r="D546" t="str">
            <v>SINTTEL-MG</v>
          </cell>
          <cell r="J546">
            <v>0.05</v>
          </cell>
          <cell r="K546">
            <v>0.05</v>
          </cell>
        </row>
        <row r="547">
          <cell r="A547" t="str">
            <v>Novo Oriente de Minas</v>
          </cell>
          <cell r="B547" t="str">
            <v>MG</v>
          </cell>
          <cell r="C547" t="str">
            <v>FETHEMG</v>
          </cell>
          <cell r="D547" t="str">
            <v>SINTTEL-MG</v>
          </cell>
          <cell r="J547" t="e">
            <v>#N/A</v>
          </cell>
          <cell r="K547" t="e">
            <v>#N/A</v>
          </cell>
        </row>
        <row r="548">
          <cell r="A548" t="str">
            <v>Novorizonte</v>
          </cell>
          <cell r="B548" t="str">
            <v>MG</v>
          </cell>
          <cell r="C548" t="str">
            <v>FETHEMG</v>
          </cell>
          <cell r="D548" t="str">
            <v>SINTTEL-MG</v>
          </cell>
          <cell r="J548" t="e">
            <v>#N/A</v>
          </cell>
          <cell r="K548" t="e">
            <v>#N/A</v>
          </cell>
        </row>
        <row r="549">
          <cell r="A549" t="str">
            <v>Olaria</v>
          </cell>
          <cell r="B549" t="str">
            <v>MG</v>
          </cell>
          <cell r="C549" t="str">
            <v>JUIZ DE FORA RG</v>
          </cell>
          <cell r="D549" t="str">
            <v>SINTTEL-MG</v>
          </cell>
          <cell r="J549" t="e">
            <v>#N/A</v>
          </cell>
          <cell r="K549" t="e">
            <v>#N/A</v>
          </cell>
        </row>
        <row r="550">
          <cell r="A550" t="str">
            <v>Olhos d'Água</v>
          </cell>
          <cell r="B550" t="str">
            <v>MG</v>
          </cell>
          <cell r="C550" t="str">
            <v>FETHEMG</v>
          </cell>
          <cell r="D550" t="str">
            <v>SINTTEL-MG</v>
          </cell>
          <cell r="J550" t="e">
            <v>#N/A</v>
          </cell>
          <cell r="K550" t="e">
            <v>#N/A</v>
          </cell>
        </row>
        <row r="551">
          <cell r="A551" t="str">
            <v>Olímpio Noronha</v>
          </cell>
          <cell r="B551" t="str">
            <v>MG</v>
          </cell>
          <cell r="C551" t="str">
            <v>SÃO LOURENÇO RG</v>
          </cell>
          <cell r="D551" t="str">
            <v>SINTTEL-MG</v>
          </cell>
          <cell r="J551" t="e">
            <v>#N/A</v>
          </cell>
          <cell r="K551" t="e">
            <v>#N/A</v>
          </cell>
        </row>
        <row r="552">
          <cell r="A552" t="str">
            <v>Oliveira</v>
          </cell>
          <cell r="B552" t="str">
            <v>MG</v>
          </cell>
          <cell r="C552" t="str">
            <v>DIVINÓPOLIS RG</v>
          </cell>
          <cell r="D552" t="str">
            <v>SINTTEL-MG</v>
          </cell>
          <cell r="J552">
            <v>0.03</v>
          </cell>
          <cell r="K552">
            <v>0.03</v>
          </cell>
        </row>
        <row r="553">
          <cell r="A553" t="str">
            <v>Oliveira Fortes</v>
          </cell>
          <cell r="B553" t="str">
            <v>MG</v>
          </cell>
          <cell r="C553" t="str">
            <v>JUIZ DE FORA RG</v>
          </cell>
          <cell r="D553" t="str">
            <v>SINTTEL-MG</v>
          </cell>
          <cell r="J553" t="e">
            <v>#N/A</v>
          </cell>
          <cell r="K553" t="e">
            <v>#N/A</v>
          </cell>
        </row>
        <row r="554">
          <cell r="A554" t="str">
            <v>Onça de Pitangui</v>
          </cell>
          <cell r="B554" t="str">
            <v>MG</v>
          </cell>
          <cell r="C554" t="str">
            <v>DIVINÓPOLIS RG</v>
          </cell>
          <cell r="D554" t="str">
            <v>SINTTEL-MG</v>
          </cell>
          <cell r="J554" t="e">
            <v>#N/A</v>
          </cell>
          <cell r="K554" t="e">
            <v>#N/A</v>
          </cell>
        </row>
        <row r="555">
          <cell r="A555" t="str">
            <v>Oratórios</v>
          </cell>
          <cell r="B555" t="str">
            <v>MG</v>
          </cell>
          <cell r="C555" t="str">
            <v>FETHEMG</v>
          </cell>
          <cell r="D555" t="str">
            <v>SINTTEL-MG</v>
          </cell>
          <cell r="J555" t="e">
            <v>#N/A</v>
          </cell>
          <cell r="K555" t="e">
            <v>#N/A</v>
          </cell>
        </row>
        <row r="556">
          <cell r="A556" t="str">
            <v>Orizânia</v>
          </cell>
          <cell r="B556" t="str">
            <v>MG</v>
          </cell>
          <cell r="C556" t="str">
            <v>FETHEMG</v>
          </cell>
          <cell r="D556" t="str">
            <v>SINTTEL-MG</v>
          </cell>
          <cell r="J556" t="e">
            <v>#N/A</v>
          </cell>
          <cell r="K556" t="e">
            <v>#N/A</v>
          </cell>
        </row>
        <row r="557">
          <cell r="A557" t="str">
            <v>Ouro Branco</v>
          </cell>
          <cell r="B557" t="str">
            <v>MG</v>
          </cell>
          <cell r="C557" t="str">
            <v>OURO PRETO</v>
          </cell>
          <cell r="D557" t="str">
            <v>SINTTEL-MG</v>
          </cell>
          <cell r="J557">
            <v>0.04</v>
          </cell>
          <cell r="K557">
            <v>0.02</v>
          </cell>
        </row>
        <row r="558">
          <cell r="A558" t="str">
            <v>Ouro Fino</v>
          </cell>
          <cell r="B558" t="str">
            <v>MG</v>
          </cell>
          <cell r="C558" t="str">
            <v>SÃO LOURENÇO RG</v>
          </cell>
          <cell r="D558" t="str">
            <v>SINTTEL-MG</v>
          </cell>
          <cell r="J558">
            <v>0.05</v>
          </cell>
          <cell r="K558">
            <v>0.02</v>
          </cell>
        </row>
        <row r="559">
          <cell r="A559" t="str">
            <v>Ouro Preto</v>
          </cell>
          <cell r="B559" t="str">
            <v>MG</v>
          </cell>
          <cell r="C559" t="str">
            <v>OURO PRETO</v>
          </cell>
          <cell r="D559" t="str">
            <v>SINTTEL-MG</v>
          </cell>
          <cell r="J559">
            <v>0.02</v>
          </cell>
          <cell r="K559">
            <v>0.02</v>
          </cell>
        </row>
        <row r="560">
          <cell r="A560" t="str">
            <v>Ouro Verde de Minas</v>
          </cell>
          <cell r="B560" t="str">
            <v>MG</v>
          </cell>
          <cell r="C560" t="str">
            <v>TEÓFILO OTONI RG</v>
          </cell>
          <cell r="D560" t="str">
            <v>SINTTEL-MG</v>
          </cell>
          <cell r="J560" t="e">
            <v>#N/A</v>
          </cell>
          <cell r="K560" t="e">
            <v>#N/A</v>
          </cell>
        </row>
        <row r="561">
          <cell r="A561" t="str">
            <v>Padre Carvalho</v>
          </cell>
          <cell r="B561" t="str">
            <v>MG</v>
          </cell>
          <cell r="C561" t="str">
            <v>FETHEMG</v>
          </cell>
          <cell r="D561" t="str">
            <v>SINTTEL-MG</v>
          </cell>
          <cell r="J561" t="e">
            <v>#N/A</v>
          </cell>
          <cell r="K561" t="e">
            <v>#N/A</v>
          </cell>
        </row>
        <row r="562">
          <cell r="A562" t="str">
            <v>Padre Paraíso</v>
          </cell>
          <cell r="B562" t="str">
            <v>MG</v>
          </cell>
          <cell r="C562" t="str">
            <v>TEÓFILO OTONI RG</v>
          </cell>
          <cell r="D562" t="str">
            <v>SINTTEL-MG</v>
          </cell>
          <cell r="J562" t="e">
            <v>#N/A</v>
          </cell>
          <cell r="K562" t="e">
            <v>#N/A</v>
          </cell>
        </row>
        <row r="563">
          <cell r="A563" t="str">
            <v>Pai Pedro</v>
          </cell>
          <cell r="B563" t="str">
            <v>MG</v>
          </cell>
          <cell r="C563" t="str">
            <v>FETHEMG</v>
          </cell>
          <cell r="D563" t="str">
            <v>SINTTEL-MG</v>
          </cell>
          <cell r="J563" t="e">
            <v>#N/A</v>
          </cell>
          <cell r="K563" t="e">
            <v>#N/A</v>
          </cell>
        </row>
        <row r="564">
          <cell r="A564" t="str">
            <v>Paineiras</v>
          </cell>
          <cell r="B564" t="str">
            <v>MG</v>
          </cell>
          <cell r="C564" t="str">
            <v>FETHEMG</v>
          </cell>
          <cell r="D564" t="str">
            <v>SINTTEL-MG</v>
          </cell>
          <cell r="J564" t="e">
            <v>#N/A</v>
          </cell>
          <cell r="K564" t="e">
            <v>#N/A</v>
          </cell>
        </row>
        <row r="565">
          <cell r="A565" t="str">
            <v>Pains</v>
          </cell>
          <cell r="B565" t="str">
            <v>MG</v>
          </cell>
          <cell r="C565" t="str">
            <v>DIVINÓPOLIS RG</v>
          </cell>
          <cell r="D565" t="str">
            <v>SINTTEL-MG</v>
          </cell>
          <cell r="J565" t="e">
            <v>#N/A</v>
          </cell>
          <cell r="K565" t="e">
            <v>#N/A</v>
          </cell>
        </row>
        <row r="566">
          <cell r="A566" t="str">
            <v>Paiol de Baixo/ Paiol de Cima</v>
          </cell>
          <cell r="B566" t="str">
            <v>MG</v>
          </cell>
          <cell r="D566" t="str">
            <v>SINTTEL-MG</v>
          </cell>
          <cell r="J566" t="e">
            <v>#N/A</v>
          </cell>
          <cell r="K566" t="e">
            <v>#N/A</v>
          </cell>
        </row>
        <row r="567">
          <cell r="A567" t="str">
            <v>Paiva</v>
          </cell>
          <cell r="B567" t="str">
            <v>MG</v>
          </cell>
          <cell r="C567" t="str">
            <v>JUIZ DE FORA RG</v>
          </cell>
          <cell r="D567" t="str">
            <v>SINTTEL-MG</v>
          </cell>
          <cell r="J567" t="e">
            <v>#N/A</v>
          </cell>
          <cell r="K567" t="e">
            <v>#N/A</v>
          </cell>
        </row>
        <row r="568">
          <cell r="A568" t="str">
            <v>Palma</v>
          </cell>
          <cell r="B568" t="str">
            <v>MG</v>
          </cell>
          <cell r="C568" t="str">
            <v>JUIZ DE FORA RG</v>
          </cell>
          <cell r="D568" t="str">
            <v>SINTTEL-MG</v>
          </cell>
          <cell r="J568">
            <v>0.03</v>
          </cell>
          <cell r="K568">
            <v>0.03</v>
          </cell>
        </row>
        <row r="569">
          <cell r="A569" t="str">
            <v>Palmópolis</v>
          </cell>
          <cell r="B569" t="str">
            <v>MG</v>
          </cell>
          <cell r="C569" t="str">
            <v>FETHEMG</v>
          </cell>
          <cell r="D569" t="str">
            <v>SINTTEL-MG</v>
          </cell>
          <cell r="J569" t="e">
            <v>#N/A</v>
          </cell>
          <cell r="K569" t="e">
            <v>#N/A</v>
          </cell>
        </row>
        <row r="570">
          <cell r="A570" t="str">
            <v>Papagaios</v>
          </cell>
          <cell r="B570" t="str">
            <v>MG</v>
          </cell>
          <cell r="C570" t="str">
            <v>SETE LAGOAS</v>
          </cell>
          <cell r="D570" t="str">
            <v>SINTTEL-MG</v>
          </cell>
          <cell r="J570" t="e">
            <v>#N/A</v>
          </cell>
          <cell r="K570" t="e">
            <v>#N/A</v>
          </cell>
        </row>
        <row r="571">
          <cell r="A571" t="str">
            <v>Pará de Minas</v>
          </cell>
          <cell r="B571" t="str">
            <v>MG</v>
          </cell>
          <cell r="C571" t="str">
            <v>FETHEMG</v>
          </cell>
          <cell r="D571" t="str">
            <v>SINTTEL-MG</v>
          </cell>
          <cell r="J571">
            <v>0.02</v>
          </cell>
          <cell r="K571">
            <v>0.02</v>
          </cell>
        </row>
        <row r="572">
          <cell r="A572" t="str">
            <v>Paracatu</v>
          </cell>
          <cell r="B572" t="str">
            <v>MG</v>
          </cell>
          <cell r="C572" t="str">
            <v>FETHEMG</v>
          </cell>
          <cell r="D572" t="str">
            <v>SINTTEL-MG</v>
          </cell>
          <cell r="J572">
            <v>0.02</v>
          </cell>
          <cell r="K572">
            <v>2.5000000000000001E-2</v>
          </cell>
        </row>
        <row r="573">
          <cell r="A573" t="str">
            <v>Paraguaçu</v>
          </cell>
          <cell r="B573" t="str">
            <v>MG</v>
          </cell>
          <cell r="C573" t="str">
            <v>SÃO LOURENÇO RG</v>
          </cell>
          <cell r="D573" t="str">
            <v>SINTTEL-MG</v>
          </cell>
          <cell r="J573">
            <v>0.03</v>
          </cell>
          <cell r="K573">
            <v>0.03</v>
          </cell>
        </row>
        <row r="574">
          <cell r="A574" t="str">
            <v>Paraisópolis</v>
          </cell>
          <cell r="B574" t="str">
            <v>MG</v>
          </cell>
          <cell r="C574" t="str">
            <v>SÃO LOURENÇO RG</v>
          </cell>
          <cell r="D574" t="str">
            <v>SINTTEL-MG</v>
          </cell>
          <cell r="J574">
            <v>0.03</v>
          </cell>
          <cell r="K574">
            <v>0.03</v>
          </cell>
        </row>
        <row r="575">
          <cell r="A575" t="str">
            <v>Paraopeba</v>
          </cell>
          <cell r="B575" t="str">
            <v>MG</v>
          </cell>
          <cell r="C575" t="str">
            <v>SETE LAGOAS</v>
          </cell>
          <cell r="D575" t="str">
            <v>SINTTEL-MG</v>
          </cell>
          <cell r="J575">
            <v>0.03</v>
          </cell>
          <cell r="K575">
            <v>0.03</v>
          </cell>
        </row>
        <row r="576">
          <cell r="A576" t="str">
            <v>Passa Quatro</v>
          </cell>
          <cell r="B576" t="str">
            <v>MG</v>
          </cell>
          <cell r="C576" t="str">
            <v>SÃO LOURENÇO RG</v>
          </cell>
          <cell r="D576" t="str">
            <v>SINTTEL-MG</v>
          </cell>
          <cell r="J576">
            <v>0.03</v>
          </cell>
          <cell r="K576">
            <v>0.03</v>
          </cell>
        </row>
        <row r="577">
          <cell r="A577" t="str">
            <v>Passa Tempo</v>
          </cell>
          <cell r="B577" t="str">
            <v>MG</v>
          </cell>
          <cell r="C577" t="str">
            <v>DIVINÓPOLIS RG</v>
          </cell>
          <cell r="D577" t="str">
            <v>SINTTEL-MG</v>
          </cell>
          <cell r="J577">
            <v>0.03</v>
          </cell>
          <cell r="K577">
            <v>0.04</v>
          </cell>
        </row>
        <row r="578">
          <cell r="A578" t="str">
            <v>Passabém</v>
          </cell>
          <cell r="B578" t="str">
            <v>MG</v>
          </cell>
          <cell r="C578" t="str">
            <v>ITABIRA RG</v>
          </cell>
          <cell r="D578" t="str">
            <v>SINTTEL-MG</v>
          </cell>
          <cell r="J578" t="e">
            <v>#N/A</v>
          </cell>
          <cell r="K578" t="e">
            <v>#N/A</v>
          </cell>
        </row>
        <row r="579">
          <cell r="A579" t="str">
            <v>Passa-Vinte</v>
          </cell>
          <cell r="B579" t="str">
            <v>MG</v>
          </cell>
          <cell r="C579" t="str">
            <v>SÃO LOURENÇO RG</v>
          </cell>
          <cell r="D579" t="str">
            <v>SINTTEL-MG</v>
          </cell>
          <cell r="J579" t="e">
            <v>#N/A</v>
          </cell>
          <cell r="K579" t="e">
            <v>#N/A</v>
          </cell>
        </row>
        <row r="580">
          <cell r="A580" t="str">
            <v>Passos</v>
          </cell>
          <cell r="B580" t="str">
            <v>MG</v>
          </cell>
          <cell r="C580" t="str">
            <v>SÃO LOURENÇO RG</v>
          </cell>
          <cell r="D580" t="str">
            <v>SINTTEL-MG</v>
          </cell>
          <cell r="J580">
            <v>0.03</v>
          </cell>
          <cell r="K580">
            <v>0.03</v>
          </cell>
        </row>
        <row r="581">
          <cell r="A581" t="str">
            <v>Patis</v>
          </cell>
          <cell r="B581" t="str">
            <v>MG</v>
          </cell>
          <cell r="C581" t="str">
            <v>FETHEMG</v>
          </cell>
          <cell r="D581" t="str">
            <v>SINTTEL-MG</v>
          </cell>
          <cell r="J581" t="e">
            <v>#N/A</v>
          </cell>
          <cell r="K581" t="e">
            <v>#N/A</v>
          </cell>
        </row>
        <row r="582">
          <cell r="A582" t="str">
            <v>Patos de Minas</v>
          </cell>
          <cell r="B582" t="str">
            <v>MG</v>
          </cell>
          <cell r="C582" t="str">
            <v>UBERABA RG</v>
          </cell>
          <cell r="D582" t="str">
            <v>SINTTEL-MG</v>
          </cell>
          <cell r="J582">
            <v>0.02</v>
          </cell>
          <cell r="K582">
            <v>0.02</v>
          </cell>
        </row>
        <row r="583">
          <cell r="A583" t="str">
            <v>Patrocínio</v>
          </cell>
          <cell r="B583" t="str">
            <v>MG</v>
          </cell>
          <cell r="C583" t="str">
            <v>UBERABA RG</v>
          </cell>
          <cell r="D583" t="str">
            <v>SINTTEL-MG</v>
          </cell>
          <cell r="J583">
            <v>0.02</v>
          </cell>
          <cell r="K583">
            <v>0.02</v>
          </cell>
        </row>
        <row r="584">
          <cell r="A584" t="str">
            <v>Patrocínio de Muriaé</v>
          </cell>
          <cell r="B584" t="str">
            <v>MG</v>
          </cell>
          <cell r="C584" t="str">
            <v>FETHEMG</v>
          </cell>
          <cell r="D584" t="str">
            <v>SINTTEL-MG</v>
          </cell>
          <cell r="J584" t="e">
            <v>#N/A</v>
          </cell>
          <cell r="K584" t="e">
            <v>#N/A</v>
          </cell>
        </row>
        <row r="585">
          <cell r="A585" t="str">
            <v>Paula Cândido</v>
          </cell>
          <cell r="B585" t="str">
            <v>MG</v>
          </cell>
          <cell r="C585" t="str">
            <v>JUIZ DE FORA RG</v>
          </cell>
          <cell r="D585" t="str">
            <v>SINTTEL-MG</v>
          </cell>
          <cell r="J585" t="e">
            <v>#N/A</v>
          </cell>
          <cell r="K585" t="e">
            <v>#N/A</v>
          </cell>
        </row>
        <row r="586">
          <cell r="A586" t="str">
            <v>Paulistas</v>
          </cell>
          <cell r="B586" t="str">
            <v>MG</v>
          </cell>
          <cell r="C586" t="str">
            <v>FETHEMG</v>
          </cell>
          <cell r="D586" t="str">
            <v>SINTTEL-MG</v>
          </cell>
          <cell r="J586" t="e">
            <v>#N/A</v>
          </cell>
          <cell r="K586" t="e">
            <v>#N/A</v>
          </cell>
        </row>
        <row r="587">
          <cell r="A587" t="str">
            <v>Pavão</v>
          </cell>
          <cell r="B587" t="str">
            <v>MG</v>
          </cell>
          <cell r="C587" t="str">
            <v>TEÓFILO OTONI RG</v>
          </cell>
          <cell r="D587" t="str">
            <v>SINTTEL-MG</v>
          </cell>
          <cell r="J587" t="e">
            <v>#N/A</v>
          </cell>
          <cell r="K587" t="e">
            <v>#N/A</v>
          </cell>
        </row>
        <row r="588">
          <cell r="A588" t="str">
            <v>Peçanha</v>
          </cell>
          <cell r="B588" t="str">
            <v>MG</v>
          </cell>
          <cell r="C588" t="str">
            <v>FETHEMG</v>
          </cell>
          <cell r="D588" t="str">
            <v>SINTTEL-MG</v>
          </cell>
          <cell r="J588">
            <v>0.05</v>
          </cell>
          <cell r="K588">
            <v>0.05</v>
          </cell>
        </row>
        <row r="589">
          <cell r="A589" t="str">
            <v>Pedra Azul</v>
          </cell>
          <cell r="B589" t="str">
            <v>MG</v>
          </cell>
          <cell r="C589" t="str">
            <v>TEÓFILO OTONI RG</v>
          </cell>
          <cell r="D589" t="str">
            <v>SINTTEL-MG</v>
          </cell>
          <cell r="J589">
            <v>0.03</v>
          </cell>
          <cell r="K589">
            <v>0.03</v>
          </cell>
        </row>
        <row r="590">
          <cell r="A590" t="str">
            <v>Pedra Bonita</v>
          </cell>
          <cell r="B590" t="str">
            <v>MG</v>
          </cell>
          <cell r="C590" t="str">
            <v>FETHEMG</v>
          </cell>
          <cell r="D590" t="str">
            <v>SINTTEL-MG</v>
          </cell>
          <cell r="J590" t="e">
            <v>#N/A</v>
          </cell>
          <cell r="K590" t="e">
            <v>#N/A</v>
          </cell>
        </row>
        <row r="591">
          <cell r="A591" t="str">
            <v>Pedra do Anta</v>
          </cell>
          <cell r="B591" t="str">
            <v>MG</v>
          </cell>
          <cell r="C591" t="str">
            <v>FETHEMG</v>
          </cell>
          <cell r="D591" t="str">
            <v>SINTTEL-MG</v>
          </cell>
          <cell r="J591" t="e">
            <v>#N/A</v>
          </cell>
          <cell r="K591" t="e">
            <v>#N/A</v>
          </cell>
        </row>
        <row r="592">
          <cell r="A592" t="str">
            <v>Pedra do Indaiá</v>
          </cell>
          <cell r="B592" t="str">
            <v>MG</v>
          </cell>
          <cell r="C592" t="str">
            <v>DIVINÓPOLIS RG</v>
          </cell>
          <cell r="D592" t="str">
            <v>SINTTEL-MG</v>
          </cell>
          <cell r="J592" t="e">
            <v>#N/A</v>
          </cell>
          <cell r="K592" t="e">
            <v>#N/A</v>
          </cell>
        </row>
        <row r="593">
          <cell r="A593" t="str">
            <v>Pedra Dourada</v>
          </cell>
          <cell r="B593" t="str">
            <v>MG</v>
          </cell>
          <cell r="C593" t="str">
            <v>JUIZ DE FORA RG</v>
          </cell>
          <cell r="D593" t="str">
            <v>SINTTEL-MG</v>
          </cell>
          <cell r="J593" t="e">
            <v>#N/A</v>
          </cell>
          <cell r="K593" t="e">
            <v>#N/A</v>
          </cell>
        </row>
        <row r="594">
          <cell r="A594" t="str">
            <v>Pedralva</v>
          </cell>
          <cell r="B594" t="str">
            <v>MG</v>
          </cell>
          <cell r="C594" t="str">
            <v>SÃO LOURENÇO RG</v>
          </cell>
          <cell r="D594" t="str">
            <v>SINTTEL-MG</v>
          </cell>
          <cell r="J594">
            <v>0.02</v>
          </cell>
          <cell r="K594">
            <v>0.02</v>
          </cell>
        </row>
        <row r="595">
          <cell r="A595" t="str">
            <v>Pedras de Maria da Cruz</v>
          </cell>
          <cell r="B595" t="str">
            <v>MG</v>
          </cell>
          <cell r="C595" t="str">
            <v>MONTES CLAROS RG</v>
          </cell>
          <cell r="D595" t="str">
            <v>SINTTEL-MG</v>
          </cell>
          <cell r="J595" t="e">
            <v>#N/A</v>
          </cell>
          <cell r="K595" t="e">
            <v>#N/A</v>
          </cell>
        </row>
        <row r="596">
          <cell r="A596" t="str">
            <v>Pedrinópolis</v>
          </cell>
          <cell r="B596" t="str">
            <v>MG</v>
          </cell>
          <cell r="C596" t="str">
            <v>UBERLÂNDIA RG</v>
          </cell>
          <cell r="D596" t="str">
            <v>SINTTEL-MG</v>
          </cell>
          <cell r="J596" t="e">
            <v>#N/A</v>
          </cell>
          <cell r="K596" t="e">
            <v>#N/A</v>
          </cell>
        </row>
        <row r="597">
          <cell r="A597" t="str">
            <v>Pedro Leopoldo</v>
          </cell>
          <cell r="B597" t="str">
            <v>MG</v>
          </cell>
          <cell r="C597" t="str">
            <v>FETHEMG RG</v>
          </cell>
          <cell r="D597" t="str">
            <v>SINTTEL-MG</v>
          </cell>
          <cell r="J597">
            <v>0.02</v>
          </cell>
          <cell r="K597">
            <v>0.02</v>
          </cell>
        </row>
        <row r="598">
          <cell r="A598" t="str">
            <v>Pedro Teixeira</v>
          </cell>
          <cell r="B598" t="str">
            <v>MG</v>
          </cell>
          <cell r="C598" t="str">
            <v>JUIZ DE FORA RG</v>
          </cell>
          <cell r="D598" t="str">
            <v>SINTTEL-MG</v>
          </cell>
          <cell r="J598" t="e">
            <v>#N/A</v>
          </cell>
          <cell r="K598" t="e">
            <v>#N/A</v>
          </cell>
        </row>
        <row r="599">
          <cell r="A599" t="str">
            <v>Pequeri</v>
          </cell>
          <cell r="B599" t="str">
            <v>MG</v>
          </cell>
          <cell r="C599" t="str">
            <v>JUIZ DE FORA RG</v>
          </cell>
          <cell r="D599" t="str">
            <v>SINTTEL-MG</v>
          </cell>
          <cell r="J599" t="e">
            <v>#N/A</v>
          </cell>
          <cell r="K599" t="e">
            <v>#N/A</v>
          </cell>
        </row>
        <row r="600">
          <cell r="A600" t="str">
            <v>Pequi</v>
          </cell>
          <cell r="B600" t="str">
            <v>MG</v>
          </cell>
          <cell r="C600" t="str">
            <v>SETE LAGOAS</v>
          </cell>
          <cell r="D600" t="str">
            <v>SINTTEL-MG</v>
          </cell>
          <cell r="J600" t="e">
            <v>#N/A</v>
          </cell>
          <cell r="K600" t="e">
            <v>#N/A</v>
          </cell>
        </row>
        <row r="601">
          <cell r="A601" t="str">
            <v>Perdigão</v>
          </cell>
          <cell r="B601" t="str">
            <v>MG</v>
          </cell>
          <cell r="C601" t="str">
            <v>DIVINÓPOLIS RG</v>
          </cell>
          <cell r="D601" t="str">
            <v>SINTTEL-MG</v>
          </cell>
          <cell r="J601" t="e">
            <v>#N/A</v>
          </cell>
          <cell r="K601" t="e">
            <v>#N/A</v>
          </cell>
        </row>
        <row r="602">
          <cell r="A602" t="str">
            <v>Perdizes</v>
          </cell>
          <cell r="B602" t="str">
            <v>MG</v>
          </cell>
          <cell r="D602" t="str">
            <v>SINTTEL-MG</v>
          </cell>
          <cell r="J602">
            <v>0.03</v>
          </cell>
          <cell r="K602">
            <v>0.03</v>
          </cell>
        </row>
        <row r="603">
          <cell r="A603" t="str">
            <v>Perdões</v>
          </cell>
          <cell r="B603" t="str">
            <v>MG</v>
          </cell>
          <cell r="C603" t="str">
            <v>SÃO LOURENÇO RG</v>
          </cell>
          <cell r="D603" t="str">
            <v>SINTTEL-MG</v>
          </cell>
          <cell r="J603">
            <v>0.03</v>
          </cell>
          <cell r="K603">
            <v>0.03</v>
          </cell>
        </row>
        <row r="604">
          <cell r="A604" t="str">
            <v>Periquito</v>
          </cell>
          <cell r="B604" t="str">
            <v>MG</v>
          </cell>
          <cell r="C604" t="str">
            <v>FETHEMG</v>
          </cell>
          <cell r="D604" t="str">
            <v>SINTTEL-MG</v>
          </cell>
          <cell r="J604" t="e">
            <v>#N/A</v>
          </cell>
          <cell r="K604" t="e">
            <v>#N/A</v>
          </cell>
        </row>
        <row r="605">
          <cell r="A605" t="str">
            <v>Pescador</v>
          </cell>
          <cell r="B605" t="str">
            <v>MG</v>
          </cell>
          <cell r="C605" t="str">
            <v>FETHEMG</v>
          </cell>
          <cell r="D605" t="str">
            <v>SINTTEL-MG</v>
          </cell>
          <cell r="J605" t="e">
            <v>#N/A</v>
          </cell>
          <cell r="K605" t="e">
            <v>#N/A</v>
          </cell>
        </row>
        <row r="606">
          <cell r="A606" t="str">
            <v>Piancó</v>
          </cell>
          <cell r="B606" t="str">
            <v>MG</v>
          </cell>
          <cell r="D606" t="str">
            <v>SINTTEL-MG</v>
          </cell>
          <cell r="J606" t="e">
            <v>#N/A</v>
          </cell>
          <cell r="K606" t="e">
            <v>#N/A</v>
          </cell>
        </row>
        <row r="607">
          <cell r="A607" t="str">
            <v>Piau</v>
          </cell>
          <cell r="B607" t="str">
            <v>MG</v>
          </cell>
          <cell r="C607" t="str">
            <v>JUIZ DE FORA RG</v>
          </cell>
          <cell r="D607" t="str">
            <v>SINTTEL-MG</v>
          </cell>
          <cell r="J607" t="e">
            <v>#N/A</v>
          </cell>
          <cell r="K607" t="e">
            <v>#N/A</v>
          </cell>
        </row>
        <row r="608">
          <cell r="A608" t="str">
            <v>Piedade de Caratinga</v>
          </cell>
          <cell r="B608" t="str">
            <v>MG</v>
          </cell>
          <cell r="C608" t="str">
            <v>FETHEMG</v>
          </cell>
          <cell r="D608" t="str">
            <v>SINTTEL-MG</v>
          </cell>
          <cell r="J608" t="e">
            <v>#N/A</v>
          </cell>
          <cell r="K608" t="e">
            <v>#N/A</v>
          </cell>
        </row>
        <row r="609">
          <cell r="A609" t="str">
            <v>Piedade de Ponte Nova</v>
          </cell>
          <cell r="B609" t="str">
            <v>MG</v>
          </cell>
          <cell r="C609" t="str">
            <v>FETHEMG</v>
          </cell>
          <cell r="D609" t="str">
            <v>SINTTEL-MG</v>
          </cell>
          <cell r="J609" t="e">
            <v>#N/A</v>
          </cell>
          <cell r="K609" t="e">
            <v>#N/A</v>
          </cell>
        </row>
        <row r="610">
          <cell r="A610" t="str">
            <v>Piedade do Rio Grande</v>
          </cell>
          <cell r="B610" t="str">
            <v>MG</v>
          </cell>
          <cell r="C610" t="str">
            <v>JUIZ DE FORA RG</v>
          </cell>
          <cell r="D610" t="str">
            <v>SINTTEL-MG</v>
          </cell>
          <cell r="J610" t="e">
            <v>#N/A</v>
          </cell>
          <cell r="K610" t="e">
            <v>#N/A</v>
          </cell>
        </row>
        <row r="611">
          <cell r="A611" t="str">
            <v>Piedade dos Gerais</v>
          </cell>
          <cell r="B611" t="str">
            <v>MG</v>
          </cell>
          <cell r="C611" t="str">
            <v>DIVINÓPOLIS RG</v>
          </cell>
          <cell r="D611" t="str">
            <v>SINTTEL-MG</v>
          </cell>
          <cell r="J611" t="e">
            <v>#N/A</v>
          </cell>
          <cell r="K611" t="e">
            <v>#N/A</v>
          </cell>
        </row>
        <row r="612">
          <cell r="A612" t="str">
            <v>Pimenta</v>
          </cell>
          <cell r="B612" t="str">
            <v>MG</v>
          </cell>
          <cell r="C612" t="str">
            <v>SÃO LOURENÇO RG</v>
          </cell>
          <cell r="D612" t="str">
            <v>SINTTEL-MG</v>
          </cell>
          <cell r="J612" t="e">
            <v>#N/A</v>
          </cell>
          <cell r="K612" t="e">
            <v>#N/A</v>
          </cell>
        </row>
        <row r="613">
          <cell r="A613" t="str">
            <v>Pingo-d'Água</v>
          </cell>
          <cell r="B613" t="str">
            <v>MG</v>
          </cell>
          <cell r="C613" t="str">
            <v>FETHEMG</v>
          </cell>
          <cell r="D613" t="str">
            <v>SINTTEL-MG</v>
          </cell>
          <cell r="J613" t="e">
            <v>#N/A</v>
          </cell>
          <cell r="K613" t="e">
            <v>#N/A</v>
          </cell>
        </row>
        <row r="614">
          <cell r="A614" t="str">
            <v>Pintópolis</v>
          </cell>
          <cell r="B614" t="str">
            <v>MG</v>
          </cell>
          <cell r="C614" t="str">
            <v>FETHEMG</v>
          </cell>
          <cell r="D614" t="str">
            <v>SINTTEL-MG</v>
          </cell>
          <cell r="J614" t="e">
            <v>#N/A</v>
          </cell>
          <cell r="K614" t="e">
            <v>#N/A</v>
          </cell>
        </row>
        <row r="615">
          <cell r="A615" t="str">
            <v>Piracema</v>
          </cell>
          <cell r="B615" t="str">
            <v>MG</v>
          </cell>
          <cell r="C615" t="str">
            <v>DIVINÓPOLIS RG</v>
          </cell>
          <cell r="D615" t="str">
            <v>SINTTEL-MG</v>
          </cell>
          <cell r="J615" t="e">
            <v>#N/A</v>
          </cell>
          <cell r="K615" t="e">
            <v>#N/A</v>
          </cell>
        </row>
        <row r="616">
          <cell r="A616" t="str">
            <v>Pirajuba</v>
          </cell>
          <cell r="B616" t="str">
            <v>MG</v>
          </cell>
          <cell r="C616" t="str">
            <v>UBERLÂNDIA RG</v>
          </cell>
          <cell r="D616" t="str">
            <v>SINTTEL-MG</v>
          </cell>
          <cell r="J616" t="e">
            <v>#N/A</v>
          </cell>
          <cell r="K616" t="e">
            <v>#N/A</v>
          </cell>
        </row>
        <row r="617">
          <cell r="A617" t="str">
            <v>Piranga</v>
          </cell>
          <cell r="B617" t="str">
            <v>MG</v>
          </cell>
          <cell r="C617" t="str">
            <v>OURO PRETO</v>
          </cell>
          <cell r="D617" t="str">
            <v>SINTTEL-MG</v>
          </cell>
          <cell r="J617">
            <v>0.03</v>
          </cell>
          <cell r="K617">
            <v>0.04</v>
          </cell>
        </row>
        <row r="618">
          <cell r="A618" t="str">
            <v>Piranguçu</v>
          </cell>
          <cell r="B618" t="str">
            <v>MG</v>
          </cell>
          <cell r="C618" t="str">
            <v>SÃO LOURENÇO RG</v>
          </cell>
          <cell r="D618" t="str">
            <v>SINTTEL-MG</v>
          </cell>
          <cell r="J618" t="e">
            <v>#N/A</v>
          </cell>
          <cell r="K618" t="e">
            <v>#N/A</v>
          </cell>
        </row>
        <row r="619">
          <cell r="A619" t="str">
            <v>Piranguinho</v>
          </cell>
          <cell r="B619" t="str">
            <v>MG</v>
          </cell>
          <cell r="C619" t="str">
            <v>SÃO LOURENÇO RG</v>
          </cell>
          <cell r="D619" t="str">
            <v>SINTTEL-MG</v>
          </cell>
          <cell r="J619" t="e">
            <v>#N/A</v>
          </cell>
          <cell r="K619" t="e">
            <v>#N/A</v>
          </cell>
        </row>
        <row r="620">
          <cell r="A620" t="str">
            <v>Pirapetinga</v>
          </cell>
          <cell r="B620" t="str">
            <v>MG</v>
          </cell>
          <cell r="C620" t="str">
            <v>JUIZ DE FORA RG</v>
          </cell>
          <cell r="D620" t="str">
            <v>SINTTEL-MG</v>
          </cell>
          <cell r="J620">
            <v>0.01</v>
          </cell>
          <cell r="K620">
            <v>0.01</v>
          </cell>
        </row>
        <row r="621">
          <cell r="A621" t="str">
            <v>Pirapora</v>
          </cell>
          <cell r="B621" t="str">
            <v>MG</v>
          </cell>
          <cell r="C621" t="str">
            <v>MONTES CLAROS RG</v>
          </cell>
          <cell r="D621" t="str">
            <v>SINTTEL-MG</v>
          </cell>
          <cell r="J621">
            <v>0.03</v>
          </cell>
          <cell r="K621">
            <v>0.03</v>
          </cell>
        </row>
        <row r="622">
          <cell r="A622" t="str">
            <v>Piraúba</v>
          </cell>
          <cell r="B622" t="str">
            <v>MG</v>
          </cell>
          <cell r="C622" t="str">
            <v>JUIZ DE FORA RG</v>
          </cell>
          <cell r="D622" t="str">
            <v>SINTTEL-MG</v>
          </cell>
          <cell r="J622" t="e">
            <v>#N/A</v>
          </cell>
          <cell r="K622" t="e">
            <v>#N/A</v>
          </cell>
        </row>
        <row r="623">
          <cell r="A623" t="str">
            <v>Pitangui</v>
          </cell>
          <cell r="B623" t="str">
            <v>MG</v>
          </cell>
          <cell r="C623" t="str">
            <v>DIVINÓPOLIS RG</v>
          </cell>
          <cell r="D623" t="str">
            <v>SINTTEL-MG</v>
          </cell>
          <cell r="J623">
            <v>0.02</v>
          </cell>
          <cell r="K623">
            <v>0.02</v>
          </cell>
        </row>
        <row r="624">
          <cell r="A624" t="str">
            <v>Piumhi</v>
          </cell>
          <cell r="B624" t="str">
            <v>MG</v>
          </cell>
          <cell r="C624" t="str">
            <v>SÃO LOURENÇO RG</v>
          </cell>
          <cell r="D624" t="str">
            <v>SINTTEL-MG</v>
          </cell>
          <cell r="J624">
            <v>0.05</v>
          </cell>
          <cell r="K624">
            <v>0.05</v>
          </cell>
        </row>
        <row r="625">
          <cell r="A625" t="str">
            <v>Planura</v>
          </cell>
          <cell r="B625" t="str">
            <v>MG</v>
          </cell>
          <cell r="C625" t="str">
            <v>UBERABA RG</v>
          </cell>
          <cell r="D625" t="str">
            <v>SINTTEL-MG</v>
          </cell>
          <cell r="J625">
            <v>0</v>
          </cell>
          <cell r="K625">
            <v>0</v>
          </cell>
        </row>
        <row r="626">
          <cell r="A626" t="str">
            <v>Poço Fundo</v>
          </cell>
          <cell r="B626" t="str">
            <v>MG</v>
          </cell>
          <cell r="C626" t="str">
            <v>SÃO LOURENÇO RG</v>
          </cell>
          <cell r="D626" t="str">
            <v>SINTTEL-MG</v>
          </cell>
          <cell r="J626">
            <v>0.03</v>
          </cell>
          <cell r="K626">
            <v>0.03</v>
          </cell>
        </row>
        <row r="627">
          <cell r="A627" t="str">
            <v>Poços de Caldas</v>
          </cell>
          <cell r="B627" t="str">
            <v>MG</v>
          </cell>
          <cell r="C627" t="str">
            <v>FETHEMG</v>
          </cell>
          <cell r="D627" t="str">
            <v>SINTTEL-MG</v>
          </cell>
          <cell r="J627">
            <v>0.05</v>
          </cell>
          <cell r="K627">
            <v>0.05</v>
          </cell>
        </row>
        <row r="628">
          <cell r="A628" t="str">
            <v>Pocrane</v>
          </cell>
          <cell r="B628" t="str">
            <v>MG</v>
          </cell>
          <cell r="C628" t="str">
            <v>FETHEMG</v>
          </cell>
          <cell r="D628" t="str">
            <v>SINTTEL-MG</v>
          </cell>
          <cell r="J628" t="e">
            <v>#N/A</v>
          </cell>
          <cell r="K628" t="e">
            <v>#N/A</v>
          </cell>
        </row>
        <row r="629">
          <cell r="A629" t="str">
            <v>Pompéu</v>
          </cell>
          <cell r="B629" t="str">
            <v>MG</v>
          </cell>
          <cell r="C629" t="str">
            <v>CURVELO</v>
          </cell>
          <cell r="D629" t="str">
            <v>SINTTEL-MG</v>
          </cell>
          <cell r="J629">
            <v>0.02</v>
          </cell>
          <cell r="K629">
            <v>0.02</v>
          </cell>
        </row>
        <row r="630">
          <cell r="A630" t="str">
            <v>Ponte Nova</v>
          </cell>
          <cell r="B630" t="str">
            <v>MG</v>
          </cell>
          <cell r="C630" t="str">
            <v>FETHEMG</v>
          </cell>
          <cell r="D630" t="str">
            <v>SINTTEL-MG</v>
          </cell>
          <cell r="J630">
            <v>0.03</v>
          </cell>
          <cell r="K630">
            <v>0.03</v>
          </cell>
        </row>
        <row r="631">
          <cell r="A631" t="str">
            <v>Ponto Chique</v>
          </cell>
          <cell r="B631" t="str">
            <v>MG</v>
          </cell>
          <cell r="C631" t="str">
            <v>FETHEMG</v>
          </cell>
          <cell r="D631" t="str">
            <v>SINTTEL-MG</v>
          </cell>
          <cell r="J631" t="e">
            <v>#N/A</v>
          </cell>
          <cell r="K631" t="e">
            <v>#N/A</v>
          </cell>
        </row>
        <row r="632">
          <cell r="A632" t="str">
            <v>Ponto dos Volantes</v>
          </cell>
          <cell r="B632" t="str">
            <v>MG</v>
          </cell>
          <cell r="C632" t="str">
            <v>FETHEMG</v>
          </cell>
          <cell r="D632" t="str">
            <v>SINTTEL-MG</v>
          </cell>
          <cell r="J632" t="e">
            <v>#N/A</v>
          </cell>
          <cell r="K632" t="e">
            <v>#N/A</v>
          </cell>
        </row>
        <row r="633">
          <cell r="A633" t="str">
            <v>Porteirinha</v>
          </cell>
          <cell r="B633" t="str">
            <v>MG</v>
          </cell>
          <cell r="C633" t="str">
            <v>MONTES CLAROS RG</v>
          </cell>
          <cell r="D633" t="str">
            <v>SINTTEL-MG</v>
          </cell>
          <cell r="J633">
            <v>0.03</v>
          </cell>
          <cell r="K633">
            <v>0.03</v>
          </cell>
        </row>
        <row r="634">
          <cell r="A634" t="str">
            <v>Porto Firme</v>
          </cell>
          <cell r="B634" t="str">
            <v>MG</v>
          </cell>
          <cell r="C634" t="str">
            <v>OURO PRETO</v>
          </cell>
          <cell r="D634" t="str">
            <v>SINTTEL-MG</v>
          </cell>
          <cell r="J634" t="e">
            <v>#N/A</v>
          </cell>
          <cell r="K634" t="e">
            <v>#N/A</v>
          </cell>
        </row>
        <row r="635">
          <cell r="A635" t="str">
            <v>Poté</v>
          </cell>
          <cell r="B635" t="str">
            <v>MG</v>
          </cell>
          <cell r="C635" t="str">
            <v>TEÓFILO OTONI RG</v>
          </cell>
          <cell r="D635" t="str">
            <v>SINTTEL-MG</v>
          </cell>
          <cell r="J635" t="e">
            <v>#N/A</v>
          </cell>
          <cell r="K635" t="e">
            <v>#N/A</v>
          </cell>
        </row>
        <row r="636">
          <cell r="A636" t="str">
            <v>Pouso Alegre</v>
          </cell>
          <cell r="B636" t="str">
            <v>MG</v>
          </cell>
          <cell r="C636" t="str">
            <v>SÃO LOURENÇO RG</v>
          </cell>
          <cell r="D636" t="str">
            <v>SINTTEL-MG</v>
          </cell>
          <cell r="J636">
            <v>0.02</v>
          </cell>
          <cell r="K636">
            <v>0.02</v>
          </cell>
        </row>
        <row r="637">
          <cell r="A637" t="str">
            <v>Pouso Alto</v>
          </cell>
          <cell r="B637" t="str">
            <v>MG</v>
          </cell>
          <cell r="C637" t="str">
            <v>SÃO LOURENÇO RG</v>
          </cell>
          <cell r="D637" t="str">
            <v>SINTTEL-MG</v>
          </cell>
          <cell r="J637" t="e">
            <v>#N/A</v>
          </cell>
          <cell r="K637" t="e">
            <v>#N/A</v>
          </cell>
        </row>
        <row r="638">
          <cell r="A638" t="str">
            <v>Prados</v>
          </cell>
          <cell r="B638" t="str">
            <v>MG</v>
          </cell>
          <cell r="C638" t="str">
            <v>JUIZ DE FORA RG</v>
          </cell>
          <cell r="D638" t="str">
            <v>SINTTEL-MG</v>
          </cell>
          <cell r="J638">
            <v>2.5000000000000001E-2</v>
          </cell>
          <cell r="K638">
            <v>2.5000000000000001E-2</v>
          </cell>
        </row>
        <row r="639">
          <cell r="A639" t="str">
            <v>Prata</v>
          </cell>
          <cell r="B639" t="str">
            <v>MG</v>
          </cell>
          <cell r="D639" t="str">
            <v>SINTTEL-MG</v>
          </cell>
          <cell r="J639">
            <v>0.03</v>
          </cell>
          <cell r="K639">
            <v>0.03</v>
          </cell>
        </row>
        <row r="640">
          <cell r="A640" t="str">
            <v>Pratápolis</v>
          </cell>
          <cell r="B640" t="str">
            <v>MG</v>
          </cell>
          <cell r="C640" t="str">
            <v>SÃO LOURENÇO RG</v>
          </cell>
          <cell r="D640" t="str">
            <v>SINTTEL-MG</v>
          </cell>
          <cell r="J640">
            <v>0.02</v>
          </cell>
          <cell r="K640">
            <v>0.02</v>
          </cell>
        </row>
        <row r="641">
          <cell r="A641" t="str">
            <v>Pratinha</v>
          </cell>
          <cell r="B641" t="str">
            <v>MG</v>
          </cell>
          <cell r="D641" t="str">
            <v>SINTTEL-MG</v>
          </cell>
          <cell r="J641" t="e">
            <v>#N/A</v>
          </cell>
          <cell r="K641" t="e">
            <v>#N/A</v>
          </cell>
        </row>
        <row r="642">
          <cell r="A642" t="str">
            <v>Presidente Bernardes</v>
          </cell>
          <cell r="B642" t="str">
            <v>MG</v>
          </cell>
          <cell r="C642" t="str">
            <v>JUIZ DE FORA RG</v>
          </cell>
          <cell r="D642" t="str">
            <v>SINTTEL-MG</v>
          </cell>
          <cell r="J642" t="e">
            <v>#N/A</v>
          </cell>
          <cell r="K642" t="e">
            <v>#N/A</v>
          </cell>
        </row>
        <row r="643">
          <cell r="A643" t="str">
            <v>Presidente Juscelino</v>
          </cell>
          <cell r="B643" t="str">
            <v>MG</v>
          </cell>
          <cell r="C643" t="str">
            <v>CURVELO</v>
          </cell>
          <cell r="D643" t="str">
            <v>SINTTEL-MG</v>
          </cell>
          <cell r="J643" t="e">
            <v>#N/A</v>
          </cell>
          <cell r="K643" t="e">
            <v>#N/A</v>
          </cell>
        </row>
        <row r="644">
          <cell r="A644" t="str">
            <v>Presidente Kubitschek</v>
          </cell>
          <cell r="B644" t="str">
            <v>MG</v>
          </cell>
          <cell r="C644" t="str">
            <v>CURVELO</v>
          </cell>
          <cell r="D644" t="str">
            <v>SINTTEL-MG</v>
          </cell>
          <cell r="J644" t="e">
            <v>#N/A</v>
          </cell>
          <cell r="K644" t="e">
            <v>#N/A</v>
          </cell>
        </row>
        <row r="645">
          <cell r="A645" t="str">
            <v>Presidente Olegário</v>
          </cell>
          <cell r="B645" t="str">
            <v>MG</v>
          </cell>
          <cell r="C645" t="str">
            <v>UBERLÂNDIA RG</v>
          </cell>
          <cell r="D645" t="str">
            <v>SINTTEL-MG</v>
          </cell>
          <cell r="J645">
            <v>0.03</v>
          </cell>
          <cell r="K645">
            <v>0.02</v>
          </cell>
        </row>
        <row r="646">
          <cell r="A646" t="str">
            <v>Prudente de Morais</v>
          </cell>
          <cell r="B646" t="str">
            <v>MG</v>
          </cell>
          <cell r="C646" t="str">
            <v>SETE LAGOAS</v>
          </cell>
          <cell r="D646" t="str">
            <v>SINTTEL-MG</v>
          </cell>
          <cell r="J646">
            <v>0.01</v>
          </cell>
          <cell r="K646">
            <v>0.01</v>
          </cell>
        </row>
        <row r="647">
          <cell r="A647" t="str">
            <v>Quartel Geral</v>
          </cell>
          <cell r="B647" t="str">
            <v>MG</v>
          </cell>
          <cell r="C647" t="str">
            <v>FETHEMG</v>
          </cell>
          <cell r="D647" t="str">
            <v>SINTTEL-MG</v>
          </cell>
          <cell r="J647" t="e">
            <v>#N/A</v>
          </cell>
          <cell r="K647" t="e">
            <v>#N/A</v>
          </cell>
        </row>
        <row r="648">
          <cell r="A648" t="str">
            <v>Queluzito</v>
          </cell>
          <cell r="B648" t="str">
            <v>MG</v>
          </cell>
          <cell r="C648" t="str">
            <v>FETHEMG</v>
          </cell>
          <cell r="D648" t="str">
            <v>SINTTEL-MG</v>
          </cell>
          <cell r="J648" t="e">
            <v>#N/A</v>
          </cell>
          <cell r="K648" t="e">
            <v>#N/A</v>
          </cell>
        </row>
        <row r="649">
          <cell r="A649" t="str">
            <v>Raiz</v>
          </cell>
          <cell r="B649" t="str">
            <v>MG</v>
          </cell>
          <cell r="D649" t="str">
            <v>SINTTEL-MG</v>
          </cell>
          <cell r="J649" t="e">
            <v>#N/A</v>
          </cell>
          <cell r="K649" t="e">
            <v>#N/A</v>
          </cell>
        </row>
        <row r="650">
          <cell r="A650" t="str">
            <v>Raposos</v>
          </cell>
          <cell r="B650" t="str">
            <v>MG</v>
          </cell>
          <cell r="C650" t="str">
            <v>FETHEMG RG</v>
          </cell>
          <cell r="D650" t="str">
            <v>SINTTEL-MG</v>
          </cell>
          <cell r="J650" t="e">
            <v>#N/A</v>
          </cell>
          <cell r="K650" t="e">
            <v>#N/A</v>
          </cell>
        </row>
        <row r="651">
          <cell r="A651" t="str">
            <v>Raul Soares</v>
          </cell>
          <cell r="B651" t="str">
            <v>MG</v>
          </cell>
          <cell r="C651" t="str">
            <v>FETHEMG</v>
          </cell>
          <cell r="D651" t="str">
            <v>SINTTEL-MG</v>
          </cell>
          <cell r="J651">
            <v>0.03</v>
          </cell>
          <cell r="K651">
            <v>0.03</v>
          </cell>
        </row>
        <row r="652">
          <cell r="A652" t="str">
            <v>Recreio</v>
          </cell>
          <cell r="B652" t="str">
            <v>MG</v>
          </cell>
          <cell r="C652" t="str">
            <v>JUIZ DE FORA RG</v>
          </cell>
          <cell r="D652" t="str">
            <v>SINTTEL-MG</v>
          </cell>
          <cell r="J652" t="e">
            <v>#N/A</v>
          </cell>
          <cell r="K652" t="e">
            <v>#N/A</v>
          </cell>
        </row>
        <row r="653">
          <cell r="A653" t="str">
            <v>Reduto</v>
          </cell>
          <cell r="B653" t="str">
            <v>MG</v>
          </cell>
          <cell r="C653" t="str">
            <v>FETHEMG</v>
          </cell>
          <cell r="D653" t="str">
            <v>SINTTEL-MG</v>
          </cell>
          <cell r="J653" t="e">
            <v>#N/A</v>
          </cell>
          <cell r="K653" t="e">
            <v>#N/A</v>
          </cell>
        </row>
        <row r="654">
          <cell r="A654" t="str">
            <v>Resende Costa</v>
          </cell>
          <cell r="B654" t="str">
            <v>MG</v>
          </cell>
          <cell r="C654" t="str">
            <v>FETHEMG</v>
          </cell>
          <cell r="D654" t="str">
            <v>SINTTEL-MG</v>
          </cell>
          <cell r="J654">
            <v>0.03</v>
          </cell>
          <cell r="K654">
            <v>0.03</v>
          </cell>
        </row>
        <row r="655">
          <cell r="A655" t="str">
            <v>Resplendor</v>
          </cell>
          <cell r="B655" t="str">
            <v>MG</v>
          </cell>
          <cell r="C655" t="str">
            <v>FETHEMG</v>
          </cell>
          <cell r="D655" t="str">
            <v>SINTTEL-MG</v>
          </cell>
          <cell r="J655">
            <v>0.05</v>
          </cell>
          <cell r="K655">
            <v>0.05</v>
          </cell>
        </row>
        <row r="656">
          <cell r="A656" t="str">
            <v>Ressaquinha</v>
          </cell>
          <cell r="B656" t="str">
            <v>MG</v>
          </cell>
          <cell r="C656" t="str">
            <v>FETHEMG</v>
          </cell>
          <cell r="D656" t="str">
            <v>SINTTEL-MG</v>
          </cell>
          <cell r="J656" t="e">
            <v>#N/A</v>
          </cell>
          <cell r="K656" t="e">
            <v>#N/A</v>
          </cell>
        </row>
        <row r="657">
          <cell r="A657" t="str">
            <v>Riachinho</v>
          </cell>
          <cell r="B657" t="str">
            <v>MG</v>
          </cell>
          <cell r="C657" t="str">
            <v>FETHEMG</v>
          </cell>
          <cell r="D657" t="str">
            <v>SINTTEL-MG</v>
          </cell>
          <cell r="J657" t="e">
            <v>#N/A</v>
          </cell>
          <cell r="K657" t="e">
            <v>#N/A</v>
          </cell>
        </row>
        <row r="658">
          <cell r="A658" t="str">
            <v>Riacho dos Machados</v>
          </cell>
          <cell r="B658" t="str">
            <v>MG</v>
          </cell>
          <cell r="C658" t="str">
            <v>MONTES CLAROS RG</v>
          </cell>
          <cell r="D658" t="str">
            <v>SINTTEL-MG</v>
          </cell>
          <cell r="J658" t="e">
            <v>#N/A</v>
          </cell>
          <cell r="K658" t="e">
            <v>#N/A</v>
          </cell>
        </row>
        <row r="659">
          <cell r="A659" t="str">
            <v>Ribeirão das Neves</v>
          </cell>
          <cell r="B659" t="str">
            <v>MG</v>
          </cell>
          <cell r="C659" t="str">
            <v>SIND- ASSEIO</v>
          </cell>
          <cell r="D659" t="str">
            <v>SINTTEL-MG</v>
          </cell>
          <cell r="J659">
            <v>0.02</v>
          </cell>
          <cell r="K659">
            <v>0.02</v>
          </cell>
        </row>
        <row r="660">
          <cell r="A660" t="str">
            <v>Ribeirão Vermelho</v>
          </cell>
          <cell r="B660" t="str">
            <v>MG</v>
          </cell>
          <cell r="C660" t="str">
            <v>SÃO LOURENÇO RG</v>
          </cell>
          <cell r="D660" t="str">
            <v>SINTTEL-MG</v>
          </cell>
          <cell r="J660" t="e">
            <v>#N/A</v>
          </cell>
          <cell r="K660" t="e">
            <v>#N/A</v>
          </cell>
        </row>
        <row r="661">
          <cell r="A661" t="str">
            <v>Rio Acima</v>
          </cell>
          <cell r="B661" t="str">
            <v>MG</v>
          </cell>
          <cell r="C661" t="str">
            <v>SIND- ASSEIO</v>
          </cell>
          <cell r="D661" t="str">
            <v>SINTTEL-MG</v>
          </cell>
          <cell r="J661" t="e">
            <v>#N/A</v>
          </cell>
          <cell r="K661" t="e">
            <v>#N/A</v>
          </cell>
        </row>
        <row r="662">
          <cell r="A662" t="str">
            <v>Rio Casca</v>
          </cell>
          <cell r="B662" t="str">
            <v>MG</v>
          </cell>
          <cell r="C662" t="str">
            <v>FETHEMG</v>
          </cell>
          <cell r="D662" t="str">
            <v>SINTTEL-MG</v>
          </cell>
          <cell r="J662">
            <v>0.05</v>
          </cell>
          <cell r="K662">
            <v>0.05</v>
          </cell>
        </row>
        <row r="663">
          <cell r="A663" t="str">
            <v>Rio do Prado</v>
          </cell>
          <cell r="B663" t="str">
            <v>MG</v>
          </cell>
          <cell r="C663" t="str">
            <v>FETHEMG</v>
          </cell>
          <cell r="D663" t="str">
            <v>SINTTEL-MG</v>
          </cell>
          <cell r="J663" t="e">
            <v>#N/A</v>
          </cell>
          <cell r="K663" t="e">
            <v>#N/A</v>
          </cell>
        </row>
        <row r="664">
          <cell r="A664" t="str">
            <v>Rio Doce</v>
          </cell>
          <cell r="B664" t="str">
            <v>MG</v>
          </cell>
          <cell r="C664" t="str">
            <v>FETHEMG</v>
          </cell>
          <cell r="D664" t="str">
            <v>SINTTEL-MG</v>
          </cell>
          <cell r="J664" t="e">
            <v>#N/A</v>
          </cell>
          <cell r="K664" t="e">
            <v>#N/A</v>
          </cell>
        </row>
        <row r="665">
          <cell r="A665" t="str">
            <v>Rio Espera</v>
          </cell>
          <cell r="B665" t="str">
            <v>MG</v>
          </cell>
          <cell r="C665" t="str">
            <v>FETHEMG</v>
          </cell>
          <cell r="D665" t="str">
            <v>SINTTEL-MG</v>
          </cell>
          <cell r="J665" t="e">
            <v>#N/A</v>
          </cell>
          <cell r="K665" t="e">
            <v>#N/A</v>
          </cell>
        </row>
        <row r="666">
          <cell r="A666" t="str">
            <v>Rio Manso</v>
          </cell>
          <cell r="B666" t="str">
            <v>MG</v>
          </cell>
          <cell r="C666" t="str">
            <v>FETHEMG RG</v>
          </cell>
          <cell r="D666" t="str">
            <v>SINTTEL-MG</v>
          </cell>
          <cell r="J666" t="e">
            <v>#N/A</v>
          </cell>
          <cell r="K666" t="e">
            <v>#N/A</v>
          </cell>
        </row>
        <row r="667">
          <cell r="A667" t="str">
            <v>Rio Novo</v>
          </cell>
          <cell r="B667" t="str">
            <v>MG</v>
          </cell>
          <cell r="C667" t="str">
            <v>JUIZ DE FORA RG</v>
          </cell>
          <cell r="D667" t="str">
            <v>SINTTEL-MG</v>
          </cell>
          <cell r="J667">
            <v>0.02</v>
          </cell>
          <cell r="K667">
            <v>0.02</v>
          </cell>
        </row>
        <row r="668">
          <cell r="A668" t="str">
            <v>Rio Paranaíba</v>
          </cell>
          <cell r="B668" t="str">
            <v>MG</v>
          </cell>
          <cell r="C668" t="str">
            <v>UBERLÂNDIA RG</v>
          </cell>
          <cell r="D668" t="str">
            <v>SINTTEL-MG</v>
          </cell>
          <cell r="J668">
            <v>0.02</v>
          </cell>
          <cell r="K668">
            <v>0.02</v>
          </cell>
        </row>
        <row r="669">
          <cell r="A669" t="str">
            <v>Rio Pardo de Minas</v>
          </cell>
          <cell r="B669" t="str">
            <v>MG</v>
          </cell>
          <cell r="C669" t="str">
            <v>MONTES CLAROS RG</v>
          </cell>
          <cell r="D669" t="str">
            <v>SINTTEL-MG</v>
          </cell>
          <cell r="J669">
            <v>0.03</v>
          </cell>
          <cell r="K669">
            <v>0.03</v>
          </cell>
        </row>
        <row r="670">
          <cell r="A670" t="str">
            <v>Rio Piracicaba</v>
          </cell>
          <cell r="B670" t="str">
            <v>MG</v>
          </cell>
          <cell r="C670" t="str">
            <v>JOÃO MONLEVADE RG</v>
          </cell>
          <cell r="D670" t="str">
            <v>SINTTEL-MG</v>
          </cell>
          <cell r="J670">
            <v>0.02</v>
          </cell>
          <cell r="K670">
            <v>0.02</v>
          </cell>
        </row>
        <row r="671">
          <cell r="A671" t="str">
            <v>Rio Pomba</v>
          </cell>
          <cell r="B671" t="str">
            <v>MG</v>
          </cell>
          <cell r="C671" t="str">
            <v>JUIZ DE FORA RG</v>
          </cell>
          <cell r="D671" t="str">
            <v>SINTTEL-MG</v>
          </cell>
          <cell r="J671">
            <v>0.03</v>
          </cell>
          <cell r="K671">
            <v>0.03</v>
          </cell>
        </row>
        <row r="672">
          <cell r="A672" t="str">
            <v>Rio Preto</v>
          </cell>
          <cell r="B672" t="str">
            <v>MG</v>
          </cell>
          <cell r="C672" t="str">
            <v>FETHEMG</v>
          </cell>
          <cell r="D672" t="str">
            <v>SINTTEL-MG</v>
          </cell>
          <cell r="J672">
            <v>3.5000000000000003E-2</v>
          </cell>
          <cell r="K672">
            <v>3.5000000000000003E-2</v>
          </cell>
        </row>
        <row r="673">
          <cell r="A673" t="str">
            <v>Rio Vermelho</v>
          </cell>
          <cell r="B673" t="str">
            <v>MG</v>
          </cell>
          <cell r="C673" t="str">
            <v>FETHEMG</v>
          </cell>
          <cell r="D673" t="str">
            <v>SINTTEL-MG</v>
          </cell>
          <cell r="J673">
            <v>0.03</v>
          </cell>
          <cell r="K673">
            <v>0.03</v>
          </cell>
        </row>
        <row r="674">
          <cell r="A674" t="str">
            <v>Ritápolis</v>
          </cell>
          <cell r="B674" t="str">
            <v>MG</v>
          </cell>
          <cell r="C674" t="str">
            <v>JUIZ DE FORA RG</v>
          </cell>
          <cell r="D674" t="str">
            <v>SINTTEL-MG</v>
          </cell>
          <cell r="J674" t="e">
            <v>#N/A</v>
          </cell>
          <cell r="K674" t="e">
            <v>#N/A</v>
          </cell>
        </row>
        <row r="675">
          <cell r="A675" t="str">
            <v>Roça do Brejo</v>
          </cell>
          <cell r="B675" t="str">
            <v>MG</v>
          </cell>
          <cell r="D675" t="str">
            <v>SINTTEL-MG</v>
          </cell>
          <cell r="J675" t="e">
            <v>#N/A</v>
          </cell>
          <cell r="K675" t="e">
            <v>#N/A</v>
          </cell>
        </row>
        <row r="676">
          <cell r="A676" t="str">
            <v>Rochedo de Minas</v>
          </cell>
          <cell r="B676" t="str">
            <v>MG</v>
          </cell>
          <cell r="C676" t="str">
            <v>JUIZ DE FORA RG</v>
          </cell>
          <cell r="D676" t="str">
            <v>SINTTEL-MG</v>
          </cell>
          <cell r="J676" t="e">
            <v>#N/A</v>
          </cell>
          <cell r="K676" t="e">
            <v>#N/A</v>
          </cell>
        </row>
        <row r="677">
          <cell r="A677" t="str">
            <v>Rodeador</v>
          </cell>
          <cell r="B677" t="str">
            <v>MG</v>
          </cell>
          <cell r="D677" t="str">
            <v>SINTTEL-MG</v>
          </cell>
          <cell r="J677" t="e">
            <v>#N/A</v>
          </cell>
          <cell r="K677" t="e">
            <v>#N/A</v>
          </cell>
        </row>
        <row r="678">
          <cell r="A678" t="str">
            <v>Rodeiro</v>
          </cell>
          <cell r="B678" t="str">
            <v>MG</v>
          </cell>
          <cell r="C678" t="str">
            <v>JUIZ DE FORA RG</v>
          </cell>
          <cell r="D678" t="str">
            <v>SINTTEL-MG</v>
          </cell>
          <cell r="J678" t="e">
            <v>#N/A</v>
          </cell>
          <cell r="K678" t="e">
            <v>#N/A</v>
          </cell>
        </row>
        <row r="679">
          <cell r="A679" t="str">
            <v>Romaria</v>
          </cell>
          <cell r="B679" t="str">
            <v>MG</v>
          </cell>
          <cell r="C679" t="str">
            <v>UBERLÂNDIA RG</v>
          </cell>
          <cell r="D679" t="str">
            <v>SINTTEL-MG</v>
          </cell>
          <cell r="J679" t="e">
            <v>#N/A</v>
          </cell>
          <cell r="K679" t="e">
            <v>#N/A</v>
          </cell>
        </row>
        <row r="680">
          <cell r="A680" t="str">
            <v>Rosário da Limeira</v>
          </cell>
          <cell r="B680" t="str">
            <v>MG</v>
          </cell>
          <cell r="C680" t="str">
            <v>FETHEMG</v>
          </cell>
          <cell r="D680" t="str">
            <v>SINTTEL-MG</v>
          </cell>
          <cell r="J680" t="e">
            <v>#N/A</v>
          </cell>
          <cell r="K680" t="e">
            <v>#N/A</v>
          </cell>
        </row>
        <row r="681">
          <cell r="A681" t="str">
            <v>Rubelita</v>
          </cell>
          <cell r="B681" t="str">
            <v>MG</v>
          </cell>
          <cell r="C681" t="str">
            <v>MONTES CLAROS RG</v>
          </cell>
          <cell r="D681" t="str">
            <v>SINTTEL-MG</v>
          </cell>
          <cell r="J681" t="e">
            <v>#N/A</v>
          </cell>
          <cell r="K681" t="e">
            <v>#N/A</v>
          </cell>
        </row>
        <row r="682">
          <cell r="A682" t="str">
            <v>Rubim</v>
          </cell>
          <cell r="B682" t="str">
            <v>MG</v>
          </cell>
          <cell r="C682" t="str">
            <v>FETHEMG</v>
          </cell>
          <cell r="D682" t="str">
            <v>SINTTEL-MG</v>
          </cell>
          <cell r="J682" t="e">
            <v>#N/A</v>
          </cell>
          <cell r="K682" t="e">
            <v>#N/A</v>
          </cell>
        </row>
        <row r="683">
          <cell r="A683" t="str">
            <v>Sabará</v>
          </cell>
          <cell r="B683" t="str">
            <v>MG</v>
          </cell>
          <cell r="C683" t="str">
            <v>SIND- ASSEIO</v>
          </cell>
          <cell r="D683" t="str">
            <v>SINTTEL-MG</v>
          </cell>
          <cell r="J683">
            <v>0.02</v>
          </cell>
          <cell r="K683">
            <v>0.02</v>
          </cell>
        </row>
        <row r="684">
          <cell r="A684" t="str">
            <v>Sabinópolis</v>
          </cell>
          <cell r="B684" t="str">
            <v>MG</v>
          </cell>
          <cell r="C684" t="str">
            <v>FETHEMG</v>
          </cell>
          <cell r="D684" t="str">
            <v>SINTTEL-MG</v>
          </cell>
          <cell r="J684">
            <v>0.03</v>
          </cell>
          <cell r="K684">
            <v>0.03</v>
          </cell>
        </row>
        <row r="685">
          <cell r="A685" t="str">
            <v>Saco Novo</v>
          </cell>
          <cell r="B685" t="str">
            <v>MG</v>
          </cell>
          <cell r="D685" t="str">
            <v>SINTTEL-MG</v>
          </cell>
          <cell r="J685" t="e">
            <v>#N/A</v>
          </cell>
          <cell r="K685" t="e">
            <v>#N/A</v>
          </cell>
        </row>
        <row r="686">
          <cell r="A686" t="str">
            <v>Sacramento</v>
          </cell>
          <cell r="B686" t="str">
            <v>MG</v>
          </cell>
          <cell r="C686" t="str">
            <v>UBERABA RG</v>
          </cell>
          <cell r="D686" t="str">
            <v>SINTTEL-MG</v>
          </cell>
          <cell r="J686">
            <v>0.03</v>
          </cell>
          <cell r="K686">
            <v>0.03</v>
          </cell>
        </row>
        <row r="687">
          <cell r="A687" t="str">
            <v>Salinas</v>
          </cell>
          <cell r="B687" t="str">
            <v>MG</v>
          </cell>
          <cell r="C687" t="str">
            <v>MONTES CLAROS RG</v>
          </cell>
          <cell r="D687" t="str">
            <v>SINTTEL-MG</v>
          </cell>
          <cell r="J687">
            <v>0.03</v>
          </cell>
          <cell r="K687">
            <v>0.03</v>
          </cell>
        </row>
        <row r="688">
          <cell r="A688" t="str">
            <v>Salobo</v>
          </cell>
          <cell r="B688" t="str">
            <v>MG</v>
          </cell>
          <cell r="D688" t="str">
            <v>SINTTEL-MG</v>
          </cell>
          <cell r="J688" t="e">
            <v>#N/A</v>
          </cell>
          <cell r="K688" t="e">
            <v>#N/A</v>
          </cell>
        </row>
        <row r="689">
          <cell r="A689" t="str">
            <v>Salto</v>
          </cell>
          <cell r="B689" t="str">
            <v>MG</v>
          </cell>
          <cell r="D689" t="str">
            <v>SINTTEL-MG</v>
          </cell>
          <cell r="J689" t="e">
            <v>#N/A</v>
          </cell>
          <cell r="K689" t="e">
            <v>#N/A</v>
          </cell>
        </row>
        <row r="690">
          <cell r="A690" t="str">
            <v>Salto da Divisa</v>
          </cell>
          <cell r="B690" t="str">
            <v>MG</v>
          </cell>
          <cell r="C690" t="str">
            <v>FETHEMG</v>
          </cell>
          <cell r="D690" t="str">
            <v>SINTTEL-MG</v>
          </cell>
          <cell r="J690" t="e">
            <v>#N/A</v>
          </cell>
          <cell r="K690" t="e">
            <v>#N/A</v>
          </cell>
        </row>
        <row r="691">
          <cell r="A691" t="str">
            <v>Santa Bárbara</v>
          </cell>
          <cell r="B691" t="str">
            <v>MG</v>
          </cell>
          <cell r="C691" t="str">
            <v>JOÃO MONLEVADE RG</v>
          </cell>
          <cell r="D691" t="str">
            <v>SINTTEL-MG</v>
          </cell>
          <cell r="J691">
            <v>0.03</v>
          </cell>
          <cell r="K691">
            <v>0.02</v>
          </cell>
        </row>
        <row r="692">
          <cell r="A692" t="str">
            <v>Santa Bárbara do Leste</v>
          </cell>
          <cell r="B692" t="str">
            <v>MG</v>
          </cell>
          <cell r="C692" t="str">
            <v>FETHEMG</v>
          </cell>
          <cell r="D692" t="str">
            <v>SINTTEL-MG</v>
          </cell>
          <cell r="J692" t="e">
            <v>#N/A</v>
          </cell>
          <cell r="K692" t="e">
            <v>#N/A</v>
          </cell>
        </row>
        <row r="693">
          <cell r="A693" t="str">
            <v>Santa Bárbara do Monte Verde</v>
          </cell>
          <cell r="B693" t="str">
            <v>MG</v>
          </cell>
          <cell r="C693" t="str">
            <v>FETHEMG</v>
          </cell>
          <cell r="D693" t="str">
            <v>SINTTEL-MG</v>
          </cell>
          <cell r="J693" t="e">
            <v>#N/A</v>
          </cell>
          <cell r="K693" t="e">
            <v>#N/A</v>
          </cell>
        </row>
        <row r="694">
          <cell r="A694" t="str">
            <v>Santa Bárbara do Tugúrio</v>
          </cell>
          <cell r="B694" t="str">
            <v>MG</v>
          </cell>
          <cell r="C694" t="str">
            <v>JUIZ DE FORA RG</v>
          </cell>
          <cell r="D694" t="str">
            <v>SINTTEL-MG</v>
          </cell>
          <cell r="J694" t="e">
            <v>#N/A</v>
          </cell>
          <cell r="K694" t="e">
            <v>#N/A</v>
          </cell>
        </row>
        <row r="695">
          <cell r="A695" t="str">
            <v>Santa Cruz de Minas</v>
          </cell>
          <cell r="B695" t="str">
            <v>MG</v>
          </cell>
          <cell r="C695" t="str">
            <v>FETHEMG</v>
          </cell>
          <cell r="D695" t="str">
            <v>SINTTEL-MG</v>
          </cell>
          <cell r="J695" t="e">
            <v>#N/A</v>
          </cell>
          <cell r="K695" t="e">
            <v>#N/A</v>
          </cell>
        </row>
        <row r="696">
          <cell r="A696" t="str">
            <v>Santa Cruz de Salinas</v>
          </cell>
          <cell r="B696" t="str">
            <v>MG</v>
          </cell>
          <cell r="C696" t="str">
            <v>FETHEMG</v>
          </cell>
          <cell r="D696" t="str">
            <v>SINTTEL-MG</v>
          </cell>
          <cell r="J696" t="e">
            <v>#N/A</v>
          </cell>
          <cell r="K696" t="e">
            <v>#N/A</v>
          </cell>
        </row>
        <row r="697">
          <cell r="A697" t="str">
            <v>Santa Cruz do Escalvado</v>
          </cell>
          <cell r="B697" t="str">
            <v>MG</v>
          </cell>
          <cell r="C697" t="str">
            <v>FETHEMG</v>
          </cell>
          <cell r="D697" t="str">
            <v>SINTTEL-MG</v>
          </cell>
          <cell r="J697" t="e">
            <v>#N/A</v>
          </cell>
          <cell r="K697" t="e">
            <v>#N/A</v>
          </cell>
        </row>
        <row r="698">
          <cell r="A698" t="str">
            <v>Santa do Deserto</v>
          </cell>
          <cell r="B698" t="str">
            <v>MG</v>
          </cell>
          <cell r="C698" t="str">
            <v>JUIZ DE FORA RG</v>
          </cell>
          <cell r="D698" t="str">
            <v>SINTTEL-MG</v>
          </cell>
          <cell r="J698" t="e">
            <v>#N/A</v>
          </cell>
          <cell r="K698" t="e">
            <v>#N/A</v>
          </cell>
        </row>
        <row r="699">
          <cell r="A699" t="str">
            <v>Santa Efigênia de Minas</v>
          </cell>
          <cell r="B699" t="str">
            <v>MG</v>
          </cell>
          <cell r="C699" t="str">
            <v>FETHEMG</v>
          </cell>
          <cell r="D699" t="str">
            <v>SINTTEL-MG</v>
          </cell>
          <cell r="J699" t="e">
            <v>#N/A</v>
          </cell>
          <cell r="K699" t="e">
            <v>#N/A</v>
          </cell>
        </row>
        <row r="700">
          <cell r="A700" t="str">
            <v>Santa Fé de Minas</v>
          </cell>
          <cell r="B700" t="str">
            <v>MG</v>
          </cell>
          <cell r="C700" t="str">
            <v>FETHEMG</v>
          </cell>
          <cell r="D700" t="str">
            <v>SINTTEL-MG</v>
          </cell>
          <cell r="J700" t="e">
            <v>#N/A</v>
          </cell>
          <cell r="K700" t="e">
            <v>#N/A</v>
          </cell>
        </row>
        <row r="701">
          <cell r="A701" t="str">
            <v>Santa Helena de Minas</v>
          </cell>
          <cell r="B701" t="str">
            <v>MG</v>
          </cell>
          <cell r="C701" t="str">
            <v>FETHEMG</v>
          </cell>
          <cell r="D701" t="str">
            <v>SINTTEL-MG</v>
          </cell>
          <cell r="J701" t="e">
            <v>#N/A</v>
          </cell>
          <cell r="K701" t="e">
            <v>#N/A</v>
          </cell>
        </row>
        <row r="702">
          <cell r="A702" t="str">
            <v>Santa Juliana</v>
          </cell>
          <cell r="B702" t="str">
            <v>MG</v>
          </cell>
          <cell r="C702" t="str">
            <v>UBERLÂNDIA RG</v>
          </cell>
          <cell r="D702" t="str">
            <v>SINTTEL-MG</v>
          </cell>
          <cell r="J702" t="e">
            <v>#N/A</v>
          </cell>
          <cell r="K702" t="e">
            <v>#N/A</v>
          </cell>
        </row>
        <row r="703">
          <cell r="A703" t="str">
            <v>Santa Luzia</v>
          </cell>
          <cell r="B703" t="str">
            <v>MG</v>
          </cell>
          <cell r="C703" t="str">
            <v>SIND- ASSEIO</v>
          </cell>
          <cell r="D703" t="str">
            <v>SINTTEL-MG</v>
          </cell>
          <cell r="J703">
            <v>0.05</v>
          </cell>
          <cell r="K703">
            <v>0.02</v>
          </cell>
        </row>
        <row r="704">
          <cell r="A704" t="str">
            <v>Santa Margarida</v>
          </cell>
          <cell r="B704" t="str">
            <v>MG</v>
          </cell>
          <cell r="C704" t="str">
            <v>FETHEMG</v>
          </cell>
          <cell r="D704" t="str">
            <v>SINTTEL-MG</v>
          </cell>
          <cell r="J704" t="e">
            <v>#N/A</v>
          </cell>
          <cell r="K704" t="e">
            <v>#N/A</v>
          </cell>
        </row>
        <row r="705">
          <cell r="A705" t="str">
            <v>Santa Maria</v>
          </cell>
          <cell r="B705" t="str">
            <v>MG</v>
          </cell>
          <cell r="D705" t="str">
            <v>SINTTEL-MG</v>
          </cell>
          <cell r="J705" t="e">
            <v>#N/A</v>
          </cell>
          <cell r="K705" t="e">
            <v>#N/A</v>
          </cell>
        </row>
        <row r="706">
          <cell r="A706" t="str">
            <v>Santa Maria de Itabira</v>
          </cell>
          <cell r="B706" t="str">
            <v>MG</v>
          </cell>
          <cell r="C706" t="str">
            <v>ITABIRA RG</v>
          </cell>
          <cell r="D706" t="str">
            <v>SINTTEL-MG</v>
          </cell>
          <cell r="J706" t="e">
            <v>#N/A</v>
          </cell>
          <cell r="K706" t="e">
            <v>#N/A</v>
          </cell>
        </row>
        <row r="707">
          <cell r="A707" t="str">
            <v>Santa Maria do Salto</v>
          </cell>
          <cell r="B707" t="str">
            <v>MG</v>
          </cell>
          <cell r="C707" t="str">
            <v>FETHEMG</v>
          </cell>
          <cell r="D707" t="str">
            <v>SINTTEL-MG</v>
          </cell>
          <cell r="J707" t="e">
            <v>#N/A</v>
          </cell>
          <cell r="K707" t="e">
            <v>#N/A</v>
          </cell>
        </row>
        <row r="708">
          <cell r="A708" t="str">
            <v>Santa Maria do Suaçui</v>
          </cell>
          <cell r="B708" t="str">
            <v>MG</v>
          </cell>
          <cell r="C708" t="str">
            <v>FETHEMG</v>
          </cell>
          <cell r="D708" t="str">
            <v>SINTTEL-MG</v>
          </cell>
          <cell r="J708" t="e">
            <v>#N/A</v>
          </cell>
          <cell r="K708" t="e">
            <v>#N/A</v>
          </cell>
        </row>
        <row r="709">
          <cell r="A709" t="str">
            <v>Santa Rita de Caldas</v>
          </cell>
          <cell r="B709" t="str">
            <v>MG</v>
          </cell>
          <cell r="C709" t="str">
            <v>SÃO LOURENÇO RG</v>
          </cell>
          <cell r="D709" t="str">
            <v>SINTTEL-MG</v>
          </cell>
          <cell r="J709">
            <v>0.03</v>
          </cell>
          <cell r="K709">
            <v>0.03</v>
          </cell>
        </row>
        <row r="710">
          <cell r="A710" t="str">
            <v>Santa Rita de Ibitipoca</v>
          </cell>
          <cell r="B710" t="str">
            <v>MG</v>
          </cell>
          <cell r="C710" t="str">
            <v>JUIZ DE FORA RG</v>
          </cell>
          <cell r="D710" t="str">
            <v>SINTTEL-MG</v>
          </cell>
          <cell r="J710" t="e">
            <v>#N/A</v>
          </cell>
          <cell r="K710" t="e">
            <v>#N/A</v>
          </cell>
        </row>
        <row r="711">
          <cell r="A711" t="str">
            <v>Santa Rita de Jacutinga</v>
          </cell>
          <cell r="B711" t="str">
            <v>MG</v>
          </cell>
          <cell r="C711" t="str">
            <v>JUIZ DE FORA RG</v>
          </cell>
          <cell r="D711" t="str">
            <v>SINTTEL-MG</v>
          </cell>
          <cell r="J711" t="e">
            <v>#N/A</v>
          </cell>
          <cell r="K711" t="e">
            <v>#N/A</v>
          </cell>
        </row>
        <row r="712">
          <cell r="A712" t="str">
            <v>Santa Rita de Minas</v>
          </cell>
          <cell r="B712" t="str">
            <v>MG</v>
          </cell>
          <cell r="C712" t="str">
            <v>FETHEMG</v>
          </cell>
          <cell r="D712" t="str">
            <v>SINTTEL-MG</v>
          </cell>
          <cell r="J712" t="e">
            <v>#N/A</v>
          </cell>
          <cell r="K712" t="e">
            <v>#N/A</v>
          </cell>
        </row>
        <row r="713">
          <cell r="A713" t="str">
            <v>Santa Rita do Cedro</v>
          </cell>
          <cell r="B713" t="str">
            <v>MG</v>
          </cell>
          <cell r="D713" t="str">
            <v>SINTTEL-MG</v>
          </cell>
          <cell r="J713" t="e">
            <v>#N/A</v>
          </cell>
          <cell r="K713" t="e">
            <v>#N/A</v>
          </cell>
        </row>
        <row r="714">
          <cell r="A714" t="str">
            <v>Santa Rita do Itueto</v>
          </cell>
          <cell r="B714" t="str">
            <v>MG</v>
          </cell>
          <cell r="C714" t="str">
            <v>FETHEMG</v>
          </cell>
          <cell r="D714" t="str">
            <v>SINTTEL-MG</v>
          </cell>
          <cell r="J714" t="e">
            <v>#N/A</v>
          </cell>
          <cell r="K714" t="e">
            <v>#N/A</v>
          </cell>
        </row>
        <row r="715">
          <cell r="A715" t="str">
            <v>Santa Rita do Sapucai</v>
          </cell>
          <cell r="B715" t="str">
            <v>MG</v>
          </cell>
          <cell r="C715" t="str">
            <v>SÃO LOURENÇO RG</v>
          </cell>
          <cell r="D715" t="str">
            <v>SINTTEL-MG</v>
          </cell>
          <cell r="J715" t="e">
            <v>#N/A</v>
          </cell>
          <cell r="K715" t="e">
            <v>#N/A</v>
          </cell>
        </row>
        <row r="716">
          <cell r="A716" t="str">
            <v>Santa Rosa da Serra</v>
          </cell>
          <cell r="B716" t="str">
            <v>MG</v>
          </cell>
          <cell r="C716" t="str">
            <v>UBERLÂNDIA RG</v>
          </cell>
          <cell r="D716" t="str">
            <v>SINTTEL-MG</v>
          </cell>
          <cell r="J716" t="e">
            <v>#N/A</v>
          </cell>
          <cell r="K716" t="e">
            <v>#N/A</v>
          </cell>
        </row>
        <row r="717">
          <cell r="A717" t="str">
            <v>Santa Vitória</v>
          </cell>
          <cell r="B717" t="str">
            <v>MG</v>
          </cell>
          <cell r="C717" t="str">
            <v>UBERLÂNDIA RG</v>
          </cell>
          <cell r="D717" t="str">
            <v>SINTTEL-MG</v>
          </cell>
          <cell r="J717">
            <v>0.02</v>
          </cell>
          <cell r="K717">
            <v>0.02</v>
          </cell>
        </row>
        <row r="718">
          <cell r="A718" t="str">
            <v>Santana da Vargem</v>
          </cell>
          <cell r="B718" t="str">
            <v>MG</v>
          </cell>
          <cell r="C718" t="str">
            <v>SÃO LOURENÇO RG</v>
          </cell>
          <cell r="D718" t="str">
            <v>SINTTEL-MG</v>
          </cell>
          <cell r="J718" t="e">
            <v>#N/A</v>
          </cell>
          <cell r="K718" t="e">
            <v>#N/A</v>
          </cell>
        </row>
        <row r="719">
          <cell r="A719" t="str">
            <v>Santana de Cataguases</v>
          </cell>
          <cell r="B719" t="str">
            <v>MG</v>
          </cell>
          <cell r="C719" t="str">
            <v>CATAGUASES</v>
          </cell>
          <cell r="D719" t="str">
            <v>SINTTEL-MG</v>
          </cell>
          <cell r="J719" t="e">
            <v>#N/A</v>
          </cell>
          <cell r="K719" t="e">
            <v>#N/A</v>
          </cell>
        </row>
        <row r="720">
          <cell r="A720" t="str">
            <v>Santana de Pirapama</v>
          </cell>
          <cell r="B720" t="str">
            <v>MG</v>
          </cell>
          <cell r="C720" t="str">
            <v>SETE LAGOAS</v>
          </cell>
          <cell r="D720" t="str">
            <v>SINTTEL-MG</v>
          </cell>
          <cell r="J720" t="e">
            <v>#N/A</v>
          </cell>
          <cell r="K720" t="e">
            <v>#N/A</v>
          </cell>
        </row>
        <row r="721">
          <cell r="A721" t="str">
            <v>Santana do Guarambéu</v>
          </cell>
          <cell r="B721" t="str">
            <v>MG</v>
          </cell>
          <cell r="C721" t="str">
            <v>JUIZ DE FORA RG</v>
          </cell>
          <cell r="D721" t="str">
            <v>SINTTEL-MG</v>
          </cell>
          <cell r="J721" t="e">
            <v>#N/A</v>
          </cell>
          <cell r="K721" t="e">
            <v>#N/A</v>
          </cell>
        </row>
        <row r="722">
          <cell r="A722" t="str">
            <v>Santana do Jararé</v>
          </cell>
          <cell r="B722" t="str">
            <v>MG</v>
          </cell>
          <cell r="C722" t="str">
            <v>SÃO LOURENÇO RG</v>
          </cell>
          <cell r="D722" t="str">
            <v>SINTTEL-MG</v>
          </cell>
          <cell r="J722" t="e">
            <v>#N/A</v>
          </cell>
          <cell r="K722" t="e">
            <v>#N/A</v>
          </cell>
        </row>
        <row r="723">
          <cell r="A723" t="str">
            <v>Santana do Manhuaçu</v>
          </cell>
          <cell r="B723" t="str">
            <v>MG</v>
          </cell>
          <cell r="C723" t="str">
            <v>JUIZ DE FORA RG</v>
          </cell>
          <cell r="D723" t="str">
            <v>SINTTEL-MG</v>
          </cell>
          <cell r="J723" t="e">
            <v>#N/A</v>
          </cell>
          <cell r="K723" t="e">
            <v>#N/A</v>
          </cell>
        </row>
        <row r="724">
          <cell r="A724" t="str">
            <v>Santana do Paraiso</v>
          </cell>
          <cell r="B724" t="str">
            <v>MG</v>
          </cell>
          <cell r="C724" t="str">
            <v>VALE DO AÇO</v>
          </cell>
          <cell r="D724" t="str">
            <v>SINTTEL-MG</v>
          </cell>
          <cell r="J724" t="e">
            <v>#N/A</v>
          </cell>
          <cell r="K724" t="e">
            <v>#N/A</v>
          </cell>
        </row>
        <row r="725">
          <cell r="A725" t="str">
            <v>Santana do Riacho</v>
          </cell>
          <cell r="B725" t="str">
            <v>MG</v>
          </cell>
          <cell r="C725" t="str">
            <v>FETHEMG</v>
          </cell>
          <cell r="D725" t="str">
            <v>SINTTEL-MG</v>
          </cell>
          <cell r="J725" t="e">
            <v>#N/A</v>
          </cell>
          <cell r="K725" t="e">
            <v>#N/A</v>
          </cell>
        </row>
        <row r="726">
          <cell r="A726" t="str">
            <v>Santana dos Montes</v>
          </cell>
          <cell r="B726" t="str">
            <v>MG</v>
          </cell>
          <cell r="C726" t="str">
            <v>FETHEMG</v>
          </cell>
          <cell r="D726" t="str">
            <v>SINTTEL-MG</v>
          </cell>
          <cell r="J726" t="e">
            <v>#N/A</v>
          </cell>
          <cell r="K726" t="e">
            <v>#N/A</v>
          </cell>
        </row>
        <row r="727">
          <cell r="A727" t="str">
            <v>Santo Antônio do Amparo</v>
          </cell>
          <cell r="B727" t="str">
            <v>MG</v>
          </cell>
          <cell r="C727" t="str">
            <v>SÃO LOURENÇO RG</v>
          </cell>
          <cell r="D727" t="str">
            <v>SINTTEL-MG</v>
          </cell>
          <cell r="J727" t="e">
            <v>#N/A</v>
          </cell>
          <cell r="K727" t="e">
            <v>#N/A</v>
          </cell>
        </row>
        <row r="728">
          <cell r="A728" t="str">
            <v>Santo Antônio do Aventureiro</v>
          </cell>
          <cell r="B728" t="str">
            <v>MG</v>
          </cell>
          <cell r="C728" t="str">
            <v>JUIZ DE FORA RG</v>
          </cell>
          <cell r="D728" t="str">
            <v>SINTTEL-MG</v>
          </cell>
          <cell r="J728" t="e">
            <v>#N/A</v>
          </cell>
          <cell r="K728" t="e">
            <v>#N/A</v>
          </cell>
        </row>
        <row r="729">
          <cell r="A729" t="str">
            <v>Santo Antônio do Grama</v>
          </cell>
          <cell r="B729" t="str">
            <v>MG</v>
          </cell>
          <cell r="C729" t="str">
            <v>FETHEMG</v>
          </cell>
          <cell r="D729" t="str">
            <v>SINTTEL-MG</v>
          </cell>
          <cell r="J729" t="e">
            <v>#N/A</v>
          </cell>
          <cell r="K729" t="e">
            <v>#N/A</v>
          </cell>
        </row>
        <row r="730">
          <cell r="A730" t="str">
            <v>Santo Antônio do Itambé</v>
          </cell>
          <cell r="B730" t="str">
            <v>MG</v>
          </cell>
          <cell r="C730" t="str">
            <v>FETHEMG</v>
          </cell>
          <cell r="D730" t="str">
            <v>SINTTEL-MG</v>
          </cell>
          <cell r="J730" t="e">
            <v>#N/A</v>
          </cell>
          <cell r="K730" t="e">
            <v>#N/A</v>
          </cell>
        </row>
        <row r="731">
          <cell r="A731" t="str">
            <v>Santo Antônio do Jacinto</v>
          </cell>
          <cell r="B731" t="str">
            <v>MG</v>
          </cell>
          <cell r="C731" t="str">
            <v>FETHEMG</v>
          </cell>
          <cell r="D731" t="str">
            <v>SINTTEL-MG</v>
          </cell>
          <cell r="J731" t="e">
            <v>#N/A</v>
          </cell>
          <cell r="K731" t="e">
            <v>#N/A</v>
          </cell>
        </row>
        <row r="732">
          <cell r="A732" t="str">
            <v>Santo Antônio do Monte</v>
          </cell>
          <cell r="B732" t="str">
            <v>MG</v>
          </cell>
          <cell r="C732" t="str">
            <v>DIVINÓPOLIS RG</v>
          </cell>
          <cell r="D732" t="str">
            <v>SINTTEL-MG</v>
          </cell>
          <cell r="J732">
            <v>0.03</v>
          </cell>
          <cell r="K732">
            <v>0.03</v>
          </cell>
        </row>
        <row r="733">
          <cell r="A733" t="str">
            <v>Santo Antônio do Retiro</v>
          </cell>
          <cell r="B733" t="str">
            <v>MG</v>
          </cell>
          <cell r="C733" t="str">
            <v>FETHEMG</v>
          </cell>
          <cell r="D733" t="str">
            <v>SINTTEL-MG</v>
          </cell>
          <cell r="J733" t="e">
            <v>#N/A</v>
          </cell>
          <cell r="K733" t="e">
            <v>#N/A</v>
          </cell>
        </row>
        <row r="734">
          <cell r="A734" t="str">
            <v>Santo Antônio Rio Abaixo</v>
          </cell>
          <cell r="B734" t="str">
            <v>MG</v>
          </cell>
          <cell r="C734" t="str">
            <v>FETHEMG</v>
          </cell>
          <cell r="D734" t="str">
            <v>SINTTEL-MG</v>
          </cell>
          <cell r="J734" t="e">
            <v>#N/A</v>
          </cell>
          <cell r="K734" t="e">
            <v>#N/A</v>
          </cell>
        </row>
        <row r="735">
          <cell r="A735" t="str">
            <v>Santo das Flores</v>
          </cell>
          <cell r="B735" t="str">
            <v>MG</v>
          </cell>
          <cell r="D735" t="str">
            <v>SINTTEL-MG</v>
          </cell>
          <cell r="J735" t="e">
            <v>#N/A</v>
          </cell>
          <cell r="K735" t="e">
            <v>#N/A</v>
          </cell>
        </row>
        <row r="736">
          <cell r="A736" t="str">
            <v>Santo Hipólito</v>
          </cell>
          <cell r="B736" t="str">
            <v>MG</v>
          </cell>
          <cell r="C736" t="str">
            <v>CURVELO</v>
          </cell>
          <cell r="D736" t="str">
            <v>SINTTEL-MG</v>
          </cell>
          <cell r="J736" t="e">
            <v>#N/A</v>
          </cell>
          <cell r="K736" t="e">
            <v>#N/A</v>
          </cell>
        </row>
        <row r="737">
          <cell r="A737" t="str">
            <v>Santos Dumont</v>
          </cell>
          <cell r="B737" t="str">
            <v>MG</v>
          </cell>
          <cell r="C737" t="str">
            <v>JUIZ DE FORA RG</v>
          </cell>
          <cell r="D737" t="str">
            <v>SINTTEL-MG</v>
          </cell>
          <cell r="J737">
            <v>0.05</v>
          </cell>
          <cell r="K737">
            <v>0.05</v>
          </cell>
        </row>
        <row r="738">
          <cell r="A738" t="str">
            <v>São Bento Abade</v>
          </cell>
          <cell r="B738" t="str">
            <v>MG</v>
          </cell>
          <cell r="C738" t="str">
            <v>SÃO LOURENÇO RG</v>
          </cell>
          <cell r="D738" t="str">
            <v>SINTTEL-MG</v>
          </cell>
          <cell r="J738" t="e">
            <v>#N/A</v>
          </cell>
          <cell r="K738" t="e">
            <v>#N/A</v>
          </cell>
        </row>
        <row r="739">
          <cell r="A739" t="str">
            <v>São Brás do Suaçui</v>
          </cell>
          <cell r="B739" t="str">
            <v>MG</v>
          </cell>
          <cell r="C739" t="str">
            <v>FETHEMG</v>
          </cell>
          <cell r="D739" t="str">
            <v>SINTTEL-MG</v>
          </cell>
          <cell r="J739" t="e">
            <v>#N/A</v>
          </cell>
          <cell r="K739" t="e">
            <v>#N/A</v>
          </cell>
        </row>
        <row r="740">
          <cell r="A740" t="str">
            <v>São Domingos das Dores</v>
          </cell>
          <cell r="B740" t="str">
            <v>MG</v>
          </cell>
          <cell r="C740" t="str">
            <v>FETHEMG</v>
          </cell>
          <cell r="D740" t="str">
            <v>SINTTEL-MG</v>
          </cell>
          <cell r="J740" t="e">
            <v>#N/A</v>
          </cell>
          <cell r="K740" t="e">
            <v>#N/A</v>
          </cell>
        </row>
        <row r="741">
          <cell r="A741" t="str">
            <v>São Domingos do Prata</v>
          </cell>
          <cell r="B741" t="str">
            <v>MG</v>
          </cell>
          <cell r="C741" t="str">
            <v>JOÃO MONLEVADE RG</v>
          </cell>
          <cell r="D741" t="str">
            <v>SINTTEL-MG</v>
          </cell>
          <cell r="J741">
            <v>0.03</v>
          </cell>
          <cell r="K741">
            <v>0.03</v>
          </cell>
        </row>
        <row r="742">
          <cell r="A742" t="str">
            <v>São Felix de Minas</v>
          </cell>
          <cell r="B742" t="str">
            <v>MG</v>
          </cell>
          <cell r="C742" t="str">
            <v>FETHEMG</v>
          </cell>
          <cell r="D742" t="str">
            <v>SINTTEL-MG</v>
          </cell>
          <cell r="J742" t="e">
            <v>#N/A</v>
          </cell>
          <cell r="K742" t="e">
            <v>#N/A</v>
          </cell>
        </row>
        <row r="743">
          <cell r="A743" t="str">
            <v>São Francisco</v>
          </cell>
          <cell r="B743" t="str">
            <v>MG</v>
          </cell>
          <cell r="C743" t="str">
            <v>MONTES CLAROS RG</v>
          </cell>
          <cell r="D743" t="str">
            <v>SINTTEL-MG</v>
          </cell>
          <cell r="J743">
            <v>0.02</v>
          </cell>
          <cell r="K743">
            <v>0.03</v>
          </cell>
        </row>
        <row r="744">
          <cell r="A744" t="str">
            <v>São Francisco de Paula</v>
          </cell>
          <cell r="B744" t="str">
            <v>MG</v>
          </cell>
          <cell r="C744" t="str">
            <v>DIVINÓPOLIS RG</v>
          </cell>
          <cell r="D744" t="str">
            <v>SINTTEL-MG</v>
          </cell>
          <cell r="J744" t="e">
            <v>#N/A</v>
          </cell>
          <cell r="K744" t="e">
            <v>#N/A</v>
          </cell>
        </row>
        <row r="745">
          <cell r="A745" t="str">
            <v>São Francisco de Sales</v>
          </cell>
          <cell r="B745" t="str">
            <v>MG</v>
          </cell>
          <cell r="D745" t="str">
            <v>SINTTEL-MG</v>
          </cell>
          <cell r="J745" t="e">
            <v>#N/A</v>
          </cell>
          <cell r="K745" t="e">
            <v>#N/A</v>
          </cell>
        </row>
        <row r="746">
          <cell r="A746" t="str">
            <v>São Francisco do Glória</v>
          </cell>
          <cell r="B746" t="str">
            <v>MG</v>
          </cell>
          <cell r="C746" t="str">
            <v>JUIZ DE FORA RG</v>
          </cell>
          <cell r="D746" t="str">
            <v>SINTTEL-MG</v>
          </cell>
          <cell r="J746" t="e">
            <v>#N/A</v>
          </cell>
          <cell r="K746" t="e">
            <v>#N/A</v>
          </cell>
        </row>
        <row r="747">
          <cell r="A747" t="str">
            <v>São Geraldo</v>
          </cell>
          <cell r="B747" t="str">
            <v>MG</v>
          </cell>
          <cell r="C747" t="str">
            <v>JUIZ DE FORA RG</v>
          </cell>
          <cell r="D747" t="str">
            <v>SINTTEL-MG</v>
          </cell>
          <cell r="J747" t="e">
            <v>#N/A</v>
          </cell>
          <cell r="K747" t="e">
            <v>#N/A</v>
          </cell>
        </row>
        <row r="748">
          <cell r="A748" t="str">
            <v>São Geraldo da Piedade</v>
          </cell>
          <cell r="B748" t="str">
            <v>MG</v>
          </cell>
          <cell r="C748" t="str">
            <v>FETHEMG</v>
          </cell>
          <cell r="D748" t="str">
            <v>SINTTEL-MG</v>
          </cell>
          <cell r="J748" t="e">
            <v>#N/A</v>
          </cell>
          <cell r="K748" t="e">
            <v>#N/A</v>
          </cell>
        </row>
        <row r="749">
          <cell r="A749" t="str">
            <v>São Geraldo do Baixio</v>
          </cell>
          <cell r="B749" t="str">
            <v>MG</v>
          </cell>
          <cell r="C749" t="str">
            <v>FETHEMG</v>
          </cell>
          <cell r="D749" t="str">
            <v>SINTTEL-MG</v>
          </cell>
          <cell r="J749" t="e">
            <v>#N/A</v>
          </cell>
          <cell r="K749" t="e">
            <v>#N/A</v>
          </cell>
        </row>
        <row r="750">
          <cell r="A750" t="str">
            <v>São Gonçalo do Abaeté</v>
          </cell>
          <cell r="B750" t="str">
            <v>MG</v>
          </cell>
          <cell r="C750" t="str">
            <v>FETHEMG</v>
          </cell>
          <cell r="D750" t="str">
            <v>SINTTEL-MG</v>
          </cell>
          <cell r="J750" t="e">
            <v>#N/A</v>
          </cell>
          <cell r="K750" t="e">
            <v>#N/A</v>
          </cell>
        </row>
        <row r="751">
          <cell r="A751" t="str">
            <v>São Gonçalo do Pará</v>
          </cell>
          <cell r="B751" t="str">
            <v>MG</v>
          </cell>
          <cell r="C751" t="str">
            <v>DIVINÓPOLIS RG</v>
          </cell>
          <cell r="D751" t="str">
            <v>SINTTEL-MG</v>
          </cell>
          <cell r="J751" t="e">
            <v>#N/A</v>
          </cell>
          <cell r="K751" t="e">
            <v>#N/A</v>
          </cell>
        </row>
        <row r="752">
          <cell r="A752" t="str">
            <v>São Gonçalo do Rio Abaixo</v>
          </cell>
          <cell r="B752" t="str">
            <v>MG</v>
          </cell>
          <cell r="C752" t="str">
            <v>JOÃO MONLEVADE RG</v>
          </cell>
          <cell r="D752" t="str">
            <v>SINTTEL-MG</v>
          </cell>
          <cell r="J752" t="e">
            <v>#N/A</v>
          </cell>
          <cell r="K752" t="e">
            <v>#N/A</v>
          </cell>
        </row>
        <row r="753">
          <cell r="A753" t="str">
            <v>São Gonçalo do Rio Preto</v>
          </cell>
          <cell r="B753" t="str">
            <v>MG</v>
          </cell>
          <cell r="C753" t="str">
            <v>FETHEMG</v>
          </cell>
          <cell r="D753" t="str">
            <v>SINTTEL-MG</v>
          </cell>
          <cell r="J753" t="e">
            <v>#N/A</v>
          </cell>
          <cell r="K753" t="e">
            <v>#N/A</v>
          </cell>
        </row>
        <row r="754">
          <cell r="A754" t="str">
            <v>São Gonçalo do Sapucaí</v>
          </cell>
          <cell r="B754" t="str">
            <v>MG</v>
          </cell>
          <cell r="C754" t="str">
            <v>SÃO LOURENÇO RG</v>
          </cell>
          <cell r="D754" t="str">
            <v>SINTTEL-MG</v>
          </cell>
          <cell r="J754">
            <v>0.02</v>
          </cell>
          <cell r="K754">
            <v>0.02</v>
          </cell>
        </row>
        <row r="755">
          <cell r="A755" t="str">
            <v>São Gotardo</v>
          </cell>
          <cell r="B755" t="str">
            <v>MG</v>
          </cell>
          <cell r="C755" t="str">
            <v>UBERLÂNDIA RG</v>
          </cell>
          <cell r="D755" t="str">
            <v>SINTTEL-MG</v>
          </cell>
          <cell r="J755">
            <v>0.02</v>
          </cell>
          <cell r="K755">
            <v>0.02</v>
          </cell>
        </row>
        <row r="756">
          <cell r="A756" t="str">
            <v>São João Batista do Glória</v>
          </cell>
          <cell r="B756" t="str">
            <v>MG</v>
          </cell>
          <cell r="C756" t="str">
            <v>UBERLÂNDIA RG</v>
          </cell>
          <cell r="D756" t="str">
            <v>SINTTEL-MG</v>
          </cell>
          <cell r="J756" t="e">
            <v>#N/A</v>
          </cell>
          <cell r="K756" t="e">
            <v>#N/A</v>
          </cell>
        </row>
        <row r="757">
          <cell r="A757" t="str">
            <v>São João da Lagoa</v>
          </cell>
          <cell r="B757" t="str">
            <v>MG</v>
          </cell>
          <cell r="C757" t="str">
            <v>FETHEMG</v>
          </cell>
          <cell r="D757" t="str">
            <v>SINTTEL-MG</v>
          </cell>
          <cell r="J757" t="e">
            <v>#N/A</v>
          </cell>
          <cell r="K757" t="e">
            <v>#N/A</v>
          </cell>
        </row>
        <row r="758">
          <cell r="A758" t="str">
            <v>São João da Lapa</v>
          </cell>
          <cell r="B758" t="str">
            <v>MG</v>
          </cell>
          <cell r="D758" t="str">
            <v>SINTTEL-MG</v>
          </cell>
          <cell r="J758" t="e">
            <v>#N/A</v>
          </cell>
          <cell r="K758" t="e">
            <v>#N/A</v>
          </cell>
        </row>
        <row r="759">
          <cell r="A759" t="str">
            <v>São João da Mata</v>
          </cell>
          <cell r="B759" t="str">
            <v>MG</v>
          </cell>
          <cell r="C759" t="str">
            <v>SÃO LOURENÇO RG</v>
          </cell>
          <cell r="D759" t="str">
            <v>SINTTEL-MG</v>
          </cell>
          <cell r="J759" t="e">
            <v>#N/A</v>
          </cell>
          <cell r="K759" t="e">
            <v>#N/A</v>
          </cell>
        </row>
        <row r="760">
          <cell r="A760" t="str">
            <v>São João da Ponte</v>
          </cell>
          <cell r="B760" t="str">
            <v>MG</v>
          </cell>
          <cell r="C760" t="str">
            <v>MONTES CLAROS RG</v>
          </cell>
          <cell r="D760" t="str">
            <v>SINTTEL-MG</v>
          </cell>
          <cell r="J760">
            <v>0.03</v>
          </cell>
          <cell r="K760">
            <v>0.03</v>
          </cell>
        </row>
        <row r="761">
          <cell r="A761" t="str">
            <v>São João das Missões</v>
          </cell>
          <cell r="B761" t="str">
            <v>MG</v>
          </cell>
          <cell r="C761" t="str">
            <v>FETHEMG</v>
          </cell>
          <cell r="D761" t="str">
            <v>SINTTEL-MG</v>
          </cell>
          <cell r="J761">
            <v>0.03</v>
          </cell>
          <cell r="K761" t="str">
            <v>?</v>
          </cell>
        </row>
        <row r="762">
          <cell r="A762" t="str">
            <v>São João de Bicas</v>
          </cell>
          <cell r="B762" t="str">
            <v>MG</v>
          </cell>
          <cell r="D762" t="str">
            <v>SINTTEL-MG</v>
          </cell>
          <cell r="J762" t="e">
            <v>#N/A</v>
          </cell>
          <cell r="K762" t="e">
            <v>#N/A</v>
          </cell>
        </row>
        <row r="763">
          <cell r="A763" t="str">
            <v>São João Del Rei</v>
          </cell>
          <cell r="B763" t="str">
            <v>MG</v>
          </cell>
          <cell r="C763" t="str">
            <v>JUIZ DE FORA RG</v>
          </cell>
          <cell r="D763" t="str">
            <v>SINTTEL-MG</v>
          </cell>
          <cell r="J763" t="e">
            <v>#N/A</v>
          </cell>
          <cell r="K763" t="e">
            <v>#N/A</v>
          </cell>
        </row>
        <row r="764">
          <cell r="A764" t="str">
            <v>São João do Manhuaçu</v>
          </cell>
          <cell r="B764" t="str">
            <v>MG</v>
          </cell>
          <cell r="C764" t="str">
            <v>FETHEMG</v>
          </cell>
          <cell r="D764" t="str">
            <v>SINTTEL-MG</v>
          </cell>
          <cell r="J764" t="e">
            <v>#N/A</v>
          </cell>
          <cell r="K764" t="e">
            <v>#N/A</v>
          </cell>
        </row>
        <row r="765">
          <cell r="A765" t="str">
            <v>São João do Manteninha</v>
          </cell>
          <cell r="B765" t="str">
            <v>MG</v>
          </cell>
          <cell r="C765" t="str">
            <v>FETHEMG</v>
          </cell>
          <cell r="D765" t="str">
            <v>SINTTEL-MG</v>
          </cell>
          <cell r="J765" t="e">
            <v>#N/A</v>
          </cell>
          <cell r="K765" t="e">
            <v>#N/A</v>
          </cell>
        </row>
        <row r="766">
          <cell r="A766" t="str">
            <v>São João do Oriente</v>
          </cell>
          <cell r="B766" t="str">
            <v>MG</v>
          </cell>
          <cell r="C766" t="str">
            <v>FETHEMG</v>
          </cell>
          <cell r="D766" t="str">
            <v>SINTTEL-MG</v>
          </cell>
          <cell r="J766" t="e">
            <v>#N/A</v>
          </cell>
          <cell r="K766" t="e">
            <v>#N/A</v>
          </cell>
        </row>
        <row r="767">
          <cell r="A767" t="str">
            <v>São João do Pacuí</v>
          </cell>
          <cell r="B767" t="str">
            <v>MG</v>
          </cell>
          <cell r="C767" t="str">
            <v>FETHEMG</v>
          </cell>
          <cell r="D767" t="str">
            <v>SINTTEL-MG</v>
          </cell>
          <cell r="J767" t="e">
            <v>#N/A</v>
          </cell>
          <cell r="K767" t="e">
            <v>#N/A</v>
          </cell>
        </row>
        <row r="768">
          <cell r="A768" t="str">
            <v>São João do Paraíso</v>
          </cell>
          <cell r="B768" t="str">
            <v>MG</v>
          </cell>
          <cell r="C768" t="str">
            <v>MONTES CLAROS RG</v>
          </cell>
          <cell r="D768" t="str">
            <v>SINTTEL-MG</v>
          </cell>
          <cell r="J768" t="e">
            <v>#N/A</v>
          </cell>
          <cell r="K768" t="e">
            <v>#N/A</v>
          </cell>
        </row>
        <row r="769">
          <cell r="A769" t="str">
            <v>São João Evangelista</v>
          </cell>
          <cell r="B769" t="str">
            <v>MG</v>
          </cell>
          <cell r="C769" t="str">
            <v>FETHEMG</v>
          </cell>
          <cell r="D769" t="str">
            <v>SINTTEL-MG</v>
          </cell>
          <cell r="J769">
            <v>0.03</v>
          </cell>
          <cell r="K769">
            <v>0.03</v>
          </cell>
        </row>
        <row r="770">
          <cell r="A770" t="str">
            <v>São João Nepomuceno</v>
          </cell>
          <cell r="B770" t="str">
            <v>MG</v>
          </cell>
          <cell r="C770" t="str">
            <v>JUIZ DE FORA RG</v>
          </cell>
          <cell r="D770" t="str">
            <v>SINTTEL-MG</v>
          </cell>
          <cell r="J770">
            <v>0.03</v>
          </cell>
          <cell r="K770">
            <v>0.03</v>
          </cell>
        </row>
        <row r="771">
          <cell r="A771" t="str">
            <v>São Joaquim de Bicas</v>
          </cell>
          <cell r="B771" t="str">
            <v>MG</v>
          </cell>
          <cell r="C771" t="str">
            <v>FETHEMG RG</v>
          </cell>
          <cell r="D771" t="str">
            <v>SINTTEL-MG</v>
          </cell>
          <cell r="J771">
            <v>0.02</v>
          </cell>
          <cell r="K771">
            <v>0.02</v>
          </cell>
        </row>
        <row r="772">
          <cell r="A772" t="str">
            <v>São José da Barra</v>
          </cell>
          <cell r="B772" t="str">
            <v>MG</v>
          </cell>
          <cell r="C772" t="str">
            <v>FETHEMG</v>
          </cell>
          <cell r="D772" t="str">
            <v>SINTTEL-MG</v>
          </cell>
          <cell r="J772" t="e">
            <v>#N/A</v>
          </cell>
          <cell r="K772" t="e">
            <v>#N/A</v>
          </cell>
        </row>
        <row r="773">
          <cell r="A773" t="str">
            <v>São José da Lapa</v>
          </cell>
          <cell r="B773" t="str">
            <v>MG</v>
          </cell>
          <cell r="C773" t="str">
            <v>FETHEMG RG</v>
          </cell>
          <cell r="D773" t="str">
            <v>SINTTEL-MG</v>
          </cell>
          <cell r="J773" t="e">
            <v>#N/A</v>
          </cell>
          <cell r="K773" t="e">
            <v>#N/A</v>
          </cell>
        </row>
        <row r="774">
          <cell r="A774" t="str">
            <v>São José da Safira</v>
          </cell>
          <cell r="B774" t="str">
            <v>MG</v>
          </cell>
          <cell r="C774" t="str">
            <v>FETHEMG</v>
          </cell>
          <cell r="D774" t="str">
            <v>SINTTEL-MG</v>
          </cell>
          <cell r="J774" t="e">
            <v>#N/A</v>
          </cell>
          <cell r="K774" t="e">
            <v>#N/A</v>
          </cell>
        </row>
        <row r="775">
          <cell r="A775" t="str">
            <v>São José da Varginha</v>
          </cell>
          <cell r="B775" t="str">
            <v>MG</v>
          </cell>
          <cell r="C775" t="str">
            <v>DIVINÓPOLIS RG</v>
          </cell>
          <cell r="D775" t="str">
            <v>SINTTEL-MG</v>
          </cell>
          <cell r="J775" t="e">
            <v>#N/A</v>
          </cell>
          <cell r="K775" t="e">
            <v>#N/A</v>
          </cell>
        </row>
        <row r="776">
          <cell r="A776" t="str">
            <v>São José do Alegre</v>
          </cell>
          <cell r="B776" t="str">
            <v>MG</v>
          </cell>
          <cell r="C776" t="str">
            <v>SÃO LOURENÇO RG</v>
          </cell>
          <cell r="D776" t="str">
            <v>SINTTEL-MG</v>
          </cell>
          <cell r="J776" t="e">
            <v>#N/A</v>
          </cell>
          <cell r="K776" t="e">
            <v>#N/A</v>
          </cell>
        </row>
        <row r="777">
          <cell r="A777" t="str">
            <v>São José do Divino</v>
          </cell>
          <cell r="B777" t="str">
            <v>MG</v>
          </cell>
          <cell r="C777" t="str">
            <v>TEÓFILO OTONI RG</v>
          </cell>
          <cell r="D777" t="str">
            <v>SINTTEL-MG</v>
          </cell>
          <cell r="J777" t="e">
            <v>#N/A</v>
          </cell>
          <cell r="K777" t="e">
            <v>#N/A</v>
          </cell>
        </row>
        <row r="778">
          <cell r="A778" t="str">
            <v>São José do Goiabal</v>
          </cell>
          <cell r="B778" t="str">
            <v>MG</v>
          </cell>
          <cell r="C778" t="str">
            <v>FETHEMG</v>
          </cell>
          <cell r="D778" t="str">
            <v>SINTTEL-MG</v>
          </cell>
          <cell r="J778" t="e">
            <v>#N/A</v>
          </cell>
          <cell r="K778" t="e">
            <v>#N/A</v>
          </cell>
        </row>
        <row r="779">
          <cell r="A779" t="str">
            <v>São José do Jacuri</v>
          </cell>
          <cell r="B779" t="str">
            <v>MG</v>
          </cell>
          <cell r="C779" t="str">
            <v>FETHEMG</v>
          </cell>
          <cell r="D779" t="str">
            <v>SINTTEL-MG</v>
          </cell>
          <cell r="J779" t="e">
            <v>#N/A</v>
          </cell>
          <cell r="K779" t="e">
            <v>#N/A</v>
          </cell>
        </row>
        <row r="780">
          <cell r="A780" t="str">
            <v>São José do Mantimento</v>
          </cell>
          <cell r="B780" t="str">
            <v>MG</v>
          </cell>
          <cell r="C780" t="str">
            <v>JUIZ DE FORA RG</v>
          </cell>
          <cell r="D780" t="str">
            <v>SINTTEL-MG</v>
          </cell>
          <cell r="J780" t="e">
            <v>#N/A</v>
          </cell>
          <cell r="K780" t="e">
            <v>#N/A</v>
          </cell>
        </row>
        <row r="781">
          <cell r="A781" t="str">
            <v>São Lourenço</v>
          </cell>
          <cell r="B781" t="str">
            <v>MG</v>
          </cell>
          <cell r="C781" t="str">
            <v>SÃO LOURENÇO</v>
          </cell>
          <cell r="D781" t="str">
            <v>SINTTEL-MG</v>
          </cell>
          <cell r="J781">
            <v>0.03</v>
          </cell>
          <cell r="K781">
            <v>0.03</v>
          </cell>
        </row>
        <row r="782">
          <cell r="A782" t="str">
            <v>São Miguel do Anta</v>
          </cell>
          <cell r="B782" t="str">
            <v>MG</v>
          </cell>
          <cell r="C782" t="str">
            <v>JUIZ DE FORA RG</v>
          </cell>
          <cell r="D782" t="str">
            <v>SINTTEL-MG</v>
          </cell>
          <cell r="J782" t="e">
            <v>#N/A</v>
          </cell>
          <cell r="K782" t="e">
            <v>#N/A</v>
          </cell>
        </row>
        <row r="783">
          <cell r="A783" t="str">
            <v>São Pedro da União</v>
          </cell>
          <cell r="B783" t="str">
            <v>MG</v>
          </cell>
          <cell r="C783" t="str">
            <v>SÃO LOURENÇO RG</v>
          </cell>
          <cell r="D783" t="str">
            <v>SINTTEL-MG</v>
          </cell>
          <cell r="J783" t="e">
            <v>#N/A</v>
          </cell>
          <cell r="K783" t="e">
            <v>#N/A</v>
          </cell>
        </row>
        <row r="784">
          <cell r="A784" t="str">
            <v>São Pedro do Suaçuí</v>
          </cell>
          <cell r="B784" t="str">
            <v>MG</v>
          </cell>
          <cell r="C784" t="str">
            <v>FETHEMG</v>
          </cell>
          <cell r="D784" t="str">
            <v>SINTTEL-MG</v>
          </cell>
          <cell r="J784" t="e">
            <v>#N/A</v>
          </cell>
          <cell r="K784" t="e">
            <v>#N/A</v>
          </cell>
        </row>
        <row r="785">
          <cell r="A785" t="str">
            <v>São Pedro dos Ferros</v>
          </cell>
          <cell r="B785" t="str">
            <v>MG</v>
          </cell>
          <cell r="C785" t="str">
            <v>FETHEMG</v>
          </cell>
          <cell r="D785" t="str">
            <v>SINTTEL-MG</v>
          </cell>
          <cell r="J785" t="e">
            <v>#N/A</v>
          </cell>
          <cell r="K785" t="e">
            <v>#N/A</v>
          </cell>
        </row>
        <row r="786">
          <cell r="A786" t="str">
            <v>São Romão</v>
          </cell>
          <cell r="B786" t="str">
            <v>MG</v>
          </cell>
          <cell r="C786" t="str">
            <v>MONTES CLAROS RG</v>
          </cell>
          <cell r="D786" t="str">
            <v>SINTTEL-MG</v>
          </cell>
          <cell r="J786">
            <v>0.02</v>
          </cell>
          <cell r="K786">
            <v>0.03</v>
          </cell>
        </row>
        <row r="787">
          <cell r="A787" t="str">
            <v>São Roque de Minas</v>
          </cell>
          <cell r="B787" t="str">
            <v>MG</v>
          </cell>
          <cell r="C787" t="str">
            <v>FETHEMG</v>
          </cell>
          <cell r="D787" t="str">
            <v>SINTTEL-MG</v>
          </cell>
          <cell r="J787">
            <v>0.03</v>
          </cell>
          <cell r="K787">
            <v>0.05</v>
          </cell>
        </row>
        <row r="788">
          <cell r="A788" t="str">
            <v>São Sebastião da Bela Vista</v>
          </cell>
          <cell r="B788" t="str">
            <v>MG</v>
          </cell>
          <cell r="C788" t="str">
            <v>SÃO LOURENÇO RG</v>
          </cell>
          <cell r="D788" t="str">
            <v>SINTTEL-MG</v>
          </cell>
          <cell r="J788" t="e">
            <v>#N/A</v>
          </cell>
          <cell r="K788" t="e">
            <v>#N/A</v>
          </cell>
        </row>
        <row r="789">
          <cell r="A789" t="str">
            <v>São Sebastião da Vargem Alegre</v>
          </cell>
          <cell r="B789" t="str">
            <v>MG</v>
          </cell>
          <cell r="C789" t="str">
            <v>FETHEMG</v>
          </cell>
          <cell r="D789" t="str">
            <v>SINTTEL-MG</v>
          </cell>
          <cell r="J789" t="e">
            <v>#N/A</v>
          </cell>
          <cell r="K789" t="e">
            <v>#N/A</v>
          </cell>
        </row>
        <row r="790">
          <cell r="A790" t="str">
            <v>São Sebastião do Anta</v>
          </cell>
          <cell r="B790" t="str">
            <v>MG</v>
          </cell>
          <cell r="C790" t="str">
            <v>FETHEMG</v>
          </cell>
          <cell r="D790" t="str">
            <v>SINTTEL-MG</v>
          </cell>
          <cell r="J790" t="e">
            <v>#N/A</v>
          </cell>
          <cell r="K790" t="e">
            <v>#N/A</v>
          </cell>
        </row>
        <row r="791">
          <cell r="A791" t="str">
            <v>São Sebastião do Maranhão</v>
          </cell>
          <cell r="B791" t="str">
            <v>MG</v>
          </cell>
          <cell r="C791" t="str">
            <v>FETHEMG</v>
          </cell>
          <cell r="D791" t="str">
            <v>SINTTEL-MG</v>
          </cell>
          <cell r="J791" t="e">
            <v>#N/A</v>
          </cell>
          <cell r="K791" t="e">
            <v>#N/A</v>
          </cell>
        </row>
        <row r="792">
          <cell r="A792" t="str">
            <v>São Sebastião do Oeste</v>
          </cell>
          <cell r="B792" t="str">
            <v>MG</v>
          </cell>
          <cell r="C792" t="str">
            <v>DIVINÓPOLIS RG</v>
          </cell>
          <cell r="D792" t="str">
            <v>SINTTEL-MG</v>
          </cell>
          <cell r="J792" t="e">
            <v>#N/A</v>
          </cell>
          <cell r="K792" t="e">
            <v>#N/A</v>
          </cell>
        </row>
        <row r="793">
          <cell r="A793" t="str">
            <v>São Sebastião do Paraíso</v>
          </cell>
          <cell r="B793" t="str">
            <v>MG</v>
          </cell>
          <cell r="C793" t="str">
            <v>SÃO LOURENÇO RG</v>
          </cell>
          <cell r="D793" t="str">
            <v>SINTTEL-MG</v>
          </cell>
          <cell r="J793">
            <v>0.03</v>
          </cell>
          <cell r="K793">
            <v>0.03</v>
          </cell>
        </row>
        <row r="794">
          <cell r="A794" t="str">
            <v>São Sebastião do Rio Preto</v>
          </cell>
          <cell r="B794" t="str">
            <v>MG</v>
          </cell>
          <cell r="C794" t="str">
            <v>FETHEMG</v>
          </cell>
          <cell r="D794" t="str">
            <v>SINTTEL-MG</v>
          </cell>
          <cell r="J794" t="e">
            <v>#N/A</v>
          </cell>
          <cell r="K794" t="e">
            <v>#N/A</v>
          </cell>
        </row>
        <row r="795">
          <cell r="A795" t="str">
            <v>São Sebastião do Rio Verde</v>
          </cell>
          <cell r="B795" t="str">
            <v>MG</v>
          </cell>
          <cell r="C795" t="str">
            <v>SÃO LOURENÇO RG</v>
          </cell>
          <cell r="D795" t="str">
            <v>SINTTEL-MG</v>
          </cell>
          <cell r="J795" t="e">
            <v>#N/A</v>
          </cell>
          <cell r="K795" t="e">
            <v>#N/A</v>
          </cell>
        </row>
        <row r="796">
          <cell r="A796" t="str">
            <v>São Thomé das Letras</v>
          </cell>
          <cell r="B796" t="str">
            <v>MG</v>
          </cell>
          <cell r="C796" t="str">
            <v>SÃO LOURENÇO RG</v>
          </cell>
          <cell r="D796" t="str">
            <v>SINTTEL-MG</v>
          </cell>
          <cell r="J796" t="e">
            <v>#N/A</v>
          </cell>
          <cell r="K796" t="e">
            <v>#N/A</v>
          </cell>
        </row>
        <row r="797">
          <cell r="A797" t="str">
            <v>São Tiago</v>
          </cell>
          <cell r="B797" t="str">
            <v>MG</v>
          </cell>
          <cell r="C797" t="str">
            <v>DIVINÓPOLIS RG</v>
          </cell>
          <cell r="D797" t="str">
            <v>SINTTEL-MG</v>
          </cell>
          <cell r="J797" t="e">
            <v>#N/A</v>
          </cell>
          <cell r="K797" t="e">
            <v>#N/A</v>
          </cell>
        </row>
        <row r="798">
          <cell r="A798" t="str">
            <v>São Tomás de Aquino</v>
          </cell>
          <cell r="B798" t="str">
            <v>MG</v>
          </cell>
          <cell r="C798" t="str">
            <v>SÃO LOURENÇO RG</v>
          </cell>
          <cell r="D798" t="str">
            <v>SINTTEL-MG</v>
          </cell>
          <cell r="J798" t="e">
            <v>#N/A</v>
          </cell>
          <cell r="K798" t="e">
            <v>#N/A</v>
          </cell>
        </row>
        <row r="799">
          <cell r="A799" t="str">
            <v>São Vicente de Minas</v>
          </cell>
          <cell r="B799" t="str">
            <v>MG</v>
          </cell>
          <cell r="C799" t="str">
            <v>SÃO LOURENÇO RG</v>
          </cell>
          <cell r="D799" t="str">
            <v>SINTTEL-MG</v>
          </cell>
          <cell r="J799" t="e">
            <v>#N/A</v>
          </cell>
          <cell r="K799" t="e">
            <v>#N/A</v>
          </cell>
        </row>
        <row r="800">
          <cell r="A800" t="str">
            <v>Sapucaí-Mirim</v>
          </cell>
          <cell r="B800" t="str">
            <v>MG</v>
          </cell>
          <cell r="C800" t="str">
            <v>SÃO LOURENÇO RG</v>
          </cell>
          <cell r="D800" t="str">
            <v>SINTTEL-MG</v>
          </cell>
          <cell r="J800" t="e">
            <v>#N/A</v>
          </cell>
          <cell r="K800" t="e">
            <v>#N/A</v>
          </cell>
        </row>
        <row r="801">
          <cell r="A801" t="str">
            <v>Sardoá</v>
          </cell>
          <cell r="B801" t="str">
            <v>MG</v>
          </cell>
          <cell r="C801" t="str">
            <v>FETHEMG</v>
          </cell>
          <cell r="D801" t="str">
            <v>SINTTEL-MG</v>
          </cell>
          <cell r="J801" t="e">
            <v>#N/A</v>
          </cell>
          <cell r="K801" t="e">
            <v>#N/A</v>
          </cell>
        </row>
        <row r="802">
          <cell r="A802" t="str">
            <v>Sarzedo</v>
          </cell>
          <cell r="B802" t="str">
            <v>MG</v>
          </cell>
          <cell r="C802" t="str">
            <v>FETHEMG RG</v>
          </cell>
          <cell r="D802" t="str">
            <v>SINTTEL-MG</v>
          </cell>
          <cell r="J802" t="e">
            <v>#N/A</v>
          </cell>
          <cell r="K802" t="e">
            <v>#N/A</v>
          </cell>
        </row>
        <row r="803">
          <cell r="A803" t="str">
            <v>Sem-Peixe</v>
          </cell>
          <cell r="B803" t="str">
            <v>MG</v>
          </cell>
          <cell r="C803" t="str">
            <v>FETHEMG</v>
          </cell>
          <cell r="D803" t="str">
            <v>SINTTEL-MG</v>
          </cell>
          <cell r="J803" t="e">
            <v>#N/A</v>
          </cell>
          <cell r="K803" t="e">
            <v>#N/A</v>
          </cell>
        </row>
        <row r="804">
          <cell r="A804" t="str">
            <v>Senador Amaral</v>
          </cell>
          <cell r="B804" t="str">
            <v>MG</v>
          </cell>
          <cell r="C804" t="str">
            <v>FETHEMG</v>
          </cell>
          <cell r="D804" t="str">
            <v>SINTTEL-MG</v>
          </cell>
          <cell r="J804" t="e">
            <v>#N/A</v>
          </cell>
          <cell r="K804" t="e">
            <v>#N/A</v>
          </cell>
        </row>
        <row r="805">
          <cell r="A805" t="str">
            <v>Senador Cortes</v>
          </cell>
          <cell r="B805" t="str">
            <v>MG</v>
          </cell>
          <cell r="C805" t="str">
            <v>JUIZ DE FORA RG</v>
          </cell>
          <cell r="D805" t="str">
            <v>SINTTEL-MG</v>
          </cell>
          <cell r="J805" t="e">
            <v>#N/A</v>
          </cell>
          <cell r="K805" t="e">
            <v>#N/A</v>
          </cell>
        </row>
        <row r="806">
          <cell r="A806" t="str">
            <v>Senador Firmino</v>
          </cell>
          <cell r="B806" t="str">
            <v>MG</v>
          </cell>
          <cell r="C806" t="str">
            <v>JUIZ DE FORA RG</v>
          </cell>
          <cell r="D806" t="str">
            <v>SINTTEL-MG</v>
          </cell>
          <cell r="J806">
            <v>0.02</v>
          </cell>
          <cell r="K806">
            <v>0.02</v>
          </cell>
        </row>
        <row r="807">
          <cell r="A807" t="str">
            <v>Senador José Bento</v>
          </cell>
          <cell r="B807" t="str">
            <v>MG</v>
          </cell>
          <cell r="C807" t="str">
            <v>SÃO LOURENÇO RG</v>
          </cell>
          <cell r="D807" t="str">
            <v>SINTTEL-MG</v>
          </cell>
          <cell r="J807" t="e">
            <v>#N/A</v>
          </cell>
          <cell r="K807" t="e">
            <v>#N/A</v>
          </cell>
        </row>
        <row r="808">
          <cell r="A808" t="str">
            <v>Senador Modestino Gonçalves</v>
          </cell>
          <cell r="B808" t="str">
            <v>MG</v>
          </cell>
          <cell r="C808" t="str">
            <v>FETHEMG</v>
          </cell>
          <cell r="D808" t="str">
            <v>SINTTEL-MG</v>
          </cell>
          <cell r="J808" t="e">
            <v>#N/A</v>
          </cell>
          <cell r="K808" t="e">
            <v>#N/A</v>
          </cell>
        </row>
        <row r="809">
          <cell r="A809" t="str">
            <v>Senhora de Oliveira</v>
          </cell>
          <cell r="B809" t="str">
            <v>MG</v>
          </cell>
          <cell r="C809" t="str">
            <v>FETHEMG</v>
          </cell>
          <cell r="D809" t="str">
            <v>SINTTEL-MG</v>
          </cell>
          <cell r="J809" t="e">
            <v>#N/A</v>
          </cell>
          <cell r="K809" t="e">
            <v>#N/A</v>
          </cell>
        </row>
        <row r="810">
          <cell r="A810" t="str">
            <v>Senhora do Porto</v>
          </cell>
          <cell r="B810" t="str">
            <v>MG</v>
          </cell>
          <cell r="C810" t="str">
            <v>FETHEMG</v>
          </cell>
          <cell r="D810" t="str">
            <v>SINTTEL-MG</v>
          </cell>
          <cell r="J810" t="e">
            <v>#N/A</v>
          </cell>
          <cell r="K810" t="e">
            <v>#N/A</v>
          </cell>
        </row>
        <row r="811">
          <cell r="A811" t="str">
            <v>Senhora dos Remédios</v>
          </cell>
          <cell r="B811" t="str">
            <v>MG</v>
          </cell>
          <cell r="C811" t="str">
            <v>FETHEMG</v>
          </cell>
          <cell r="D811" t="str">
            <v>SINTTEL-MG</v>
          </cell>
          <cell r="J811" t="e">
            <v>#N/A</v>
          </cell>
          <cell r="K811" t="e">
            <v>#N/A</v>
          </cell>
        </row>
        <row r="812">
          <cell r="A812" t="str">
            <v>Sericita</v>
          </cell>
          <cell r="B812" t="str">
            <v>MG</v>
          </cell>
          <cell r="C812" t="str">
            <v>FETHEMG</v>
          </cell>
          <cell r="D812" t="str">
            <v>SINTTEL-MG</v>
          </cell>
          <cell r="J812" t="e">
            <v>#N/A</v>
          </cell>
          <cell r="K812" t="e">
            <v>#N/A</v>
          </cell>
        </row>
        <row r="813">
          <cell r="A813" t="str">
            <v>Seritinga</v>
          </cell>
          <cell r="B813" t="str">
            <v>MG</v>
          </cell>
          <cell r="C813" t="str">
            <v>SÃO LOURENÇO RG</v>
          </cell>
          <cell r="D813" t="str">
            <v>SINTTEL-MG</v>
          </cell>
          <cell r="J813" t="e">
            <v>#N/A</v>
          </cell>
          <cell r="K813" t="e">
            <v>#N/A</v>
          </cell>
        </row>
        <row r="814">
          <cell r="A814" t="str">
            <v>Serra Azul de Minas</v>
          </cell>
          <cell r="B814" t="str">
            <v>MG</v>
          </cell>
          <cell r="C814" t="str">
            <v>FETHEMG</v>
          </cell>
          <cell r="D814" t="str">
            <v>SINTTEL-MG</v>
          </cell>
          <cell r="J814" t="e">
            <v>#N/A</v>
          </cell>
          <cell r="K814" t="e">
            <v>#N/A</v>
          </cell>
        </row>
        <row r="815">
          <cell r="A815" t="str">
            <v>Serra da Saudade</v>
          </cell>
          <cell r="B815" t="str">
            <v>MG</v>
          </cell>
          <cell r="C815" t="str">
            <v>FETHEMG</v>
          </cell>
          <cell r="D815" t="str">
            <v>SINTTEL-MG</v>
          </cell>
          <cell r="J815" t="e">
            <v>#N/A</v>
          </cell>
          <cell r="K815" t="e">
            <v>#N/A</v>
          </cell>
        </row>
        <row r="816">
          <cell r="A816" t="str">
            <v>Serra das Araras</v>
          </cell>
          <cell r="B816" t="str">
            <v>MG</v>
          </cell>
          <cell r="D816" t="str">
            <v>SINTTEL-MG</v>
          </cell>
          <cell r="J816" t="e">
            <v>#N/A</v>
          </cell>
          <cell r="K816" t="e">
            <v>#N/A</v>
          </cell>
        </row>
        <row r="817">
          <cell r="A817" t="str">
            <v>Serra do Salitre</v>
          </cell>
          <cell r="B817" t="str">
            <v>MG</v>
          </cell>
          <cell r="C817" t="str">
            <v>FETHEMG</v>
          </cell>
          <cell r="D817" t="str">
            <v>SINTTEL-MG</v>
          </cell>
          <cell r="J817" t="e">
            <v>#N/A</v>
          </cell>
          <cell r="K817" t="e">
            <v>#N/A</v>
          </cell>
        </row>
        <row r="818">
          <cell r="A818" t="str">
            <v>Serra dos Aimorés</v>
          </cell>
          <cell r="B818" t="str">
            <v>MG</v>
          </cell>
          <cell r="C818" t="str">
            <v>FETHEMG</v>
          </cell>
          <cell r="D818" t="str">
            <v>SINTTEL-MG</v>
          </cell>
          <cell r="J818" t="e">
            <v>#N/A</v>
          </cell>
          <cell r="K818" t="e">
            <v>#N/A</v>
          </cell>
        </row>
        <row r="819">
          <cell r="A819" t="str">
            <v>Serrania</v>
          </cell>
          <cell r="B819" t="str">
            <v>MG</v>
          </cell>
          <cell r="C819" t="str">
            <v>SÃO LOURENÇO RG</v>
          </cell>
          <cell r="D819" t="str">
            <v>SINTTEL-MG</v>
          </cell>
          <cell r="J819">
            <v>0.03</v>
          </cell>
          <cell r="K819">
            <v>0.02</v>
          </cell>
        </row>
        <row r="820">
          <cell r="A820" t="str">
            <v>Serranópolis de Minas</v>
          </cell>
          <cell r="B820" t="str">
            <v>MG</v>
          </cell>
          <cell r="C820" t="str">
            <v>FETHEMG</v>
          </cell>
          <cell r="D820" t="str">
            <v>SINTTEL-MG</v>
          </cell>
          <cell r="J820" t="e">
            <v>#N/A</v>
          </cell>
          <cell r="K820" t="e">
            <v>#N/A</v>
          </cell>
        </row>
        <row r="821">
          <cell r="A821" t="str">
            <v>Serranos</v>
          </cell>
          <cell r="B821" t="str">
            <v>MG</v>
          </cell>
          <cell r="C821" t="str">
            <v>SÃO LOURENÇO RG</v>
          </cell>
          <cell r="D821" t="str">
            <v>SINTTEL-MG</v>
          </cell>
          <cell r="J821" t="e">
            <v>#N/A</v>
          </cell>
          <cell r="K821" t="e">
            <v>#N/A</v>
          </cell>
        </row>
        <row r="822">
          <cell r="A822" t="str">
            <v>Serro</v>
          </cell>
          <cell r="B822" t="str">
            <v>MG</v>
          </cell>
          <cell r="C822" t="str">
            <v>CURVELO</v>
          </cell>
          <cell r="D822" t="str">
            <v>SINTTEL-MG</v>
          </cell>
          <cell r="J822">
            <v>0.05</v>
          </cell>
          <cell r="K822">
            <v>0.05</v>
          </cell>
        </row>
        <row r="823">
          <cell r="A823" t="str">
            <v>Sete Lagoas</v>
          </cell>
          <cell r="B823" t="str">
            <v>MG</v>
          </cell>
          <cell r="C823" t="str">
            <v>SETE LAGOAS</v>
          </cell>
          <cell r="D823" t="str">
            <v>SINTTEL-MG</v>
          </cell>
          <cell r="J823">
            <v>0.03</v>
          </cell>
          <cell r="K823">
            <v>0.03</v>
          </cell>
        </row>
        <row r="824">
          <cell r="A824" t="str">
            <v>Setubinha</v>
          </cell>
          <cell r="B824" t="str">
            <v>MG</v>
          </cell>
          <cell r="C824" t="str">
            <v>FETHEMG</v>
          </cell>
          <cell r="D824" t="str">
            <v>SINTTEL-MG</v>
          </cell>
          <cell r="J824" t="e">
            <v>#N/A</v>
          </cell>
          <cell r="K824" t="e">
            <v>#N/A</v>
          </cell>
        </row>
        <row r="825">
          <cell r="A825" t="str">
            <v>Silveirânia</v>
          </cell>
          <cell r="B825" t="str">
            <v>MG</v>
          </cell>
          <cell r="C825" t="str">
            <v>JUIZ DE FORA RG</v>
          </cell>
          <cell r="D825" t="str">
            <v>SINTTEL-MG</v>
          </cell>
          <cell r="J825" t="e">
            <v>#N/A</v>
          </cell>
          <cell r="K825" t="e">
            <v>#N/A</v>
          </cell>
        </row>
        <row r="826">
          <cell r="A826" t="str">
            <v>Silvianópolis</v>
          </cell>
          <cell r="B826" t="str">
            <v>MG</v>
          </cell>
          <cell r="C826" t="str">
            <v>SÃO LOURENÇO RG</v>
          </cell>
          <cell r="D826" t="str">
            <v>SINTTEL-MG</v>
          </cell>
          <cell r="J826">
            <v>0.02</v>
          </cell>
          <cell r="K826">
            <v>0.02</v>
          </cell>
        </row>
        <row r="827">
          <cell r="A827" t="str">
            <v>Simão Pereira</v>
          </cell>
          <cell r="B827" t="str">
            <v>MG</v>
          </cell>
          <cell r="C827" t="str">
            <v>JUIZ DE FORA RG</v>
          </cell>
          <cell r="D827" t="str">
            <v>SINTTEL-MG</v>
          </cell>
          <cell r="J827" t="e">
            <v>#N/A</v>
          </cell>
          <cell r="K827" t="e">
            <v>#N/A</v>
          </cell>
        </row>
        <row r="828">
          <cell r="A828" t="str">
            <v>Simonésia</v>
          </cell>
          <cell r="B828" t="str">
            <v>MG</v>
          </cell>
          <cell r="C828" t="str">
            <v>JUIZ DE FORA RG</v>
          </cell>
          <cell r="D828" t="str">
            <v>SINTTEL-MG</v>
          </cell>
          <cell r="J828" t="e">
            <v>#N/A</v>
          </cell>
          <cell r="K828" t="e">
            <v>#N/A</v>
          </cell>
        </row>
        <row r="829">
          <cell r="A829" t="str">
            <v>Sobrália</v>
          </cell>
          <cell r="B829" t="str">
            <v>MG</v>
          </cell>
          <cell r="C829" t="str">
            <v>FETHEMG</v>
          </cell>
          <cell r="D829" t="str">
            <v>SINTTEL-MG</v>
          </cell>
          <cell r="J829" t="e">
            <v>#N/A</v>
          </cell>
          <cell r="K829" t="e">
            <v>#N/A</v>
          </cell>
        </row>
        <row r="830">
          <cell r="A830" t="str">
            <v>Soledade de Minas</v>
          </cell>
          <cell r="B830" t="str">
            <v>MG</v>
          </cell>
          <cell r="C830" t="str">
            <v>SÃO LOURENÇO RG</v>
          </cell>
          <cell r="D830" t="str">
            <v>SINTTEL-MG</v>
          </cell>
          <cell r="J830" t="e">
            <v>#N/A</v>
          </cell>
          <cell r="K830" t="e">
            <v>#N/A</v>
          </cell>
        </row>
        <row r="831">
          <cell r="A831" t="str">
            <v>Tabuleiro</v>
          </cell>
          <cell r="B831" t="str">
            <v>MG</v>
          </cell>
          <cell r="C831" t="str">
            <v>JUIZ DE FORA RG</v>
          </cell>
          <cell r="D831" t="str">
            <v>SINTTEL-MG</v>
          </cell>
          <cell r="J831" t="e">
            <v>#N/A</v>
          </cell>
          <cell r="K831" t="e">
            <v>#N/A</v>
          </cell>
        </row>
        <row r="832">
          <cell r="A832" t="str">
            <v>Taiobeiras</v>
          </cell>
          <cell r="B832" t="str">
            <v>MG</v>
          </cell>
          <cell r="C832" t="str">
            <v>MONTES CLAROS RG</v>
          </cell>
          <cell r="D832" t="str">
            <v>SINTTEL-MG</v>
          </cell>
          <cell r="J832">
            <v>0.03</v>
          </cell>
          <cell r="K832">
            <v>0.03</v>
          </cell>
        </row>
        <row r="833">
          <cell r="A833" t="str">
            <v>Taparuba</v>
          </cell>
          <cell r="B833" t="str">
            <v>MG</v>
          </cell>
          <cell r="C833" t="str">
            <v>FETHEMG</v>
          </cell>
          <cell r="D833" t="str">
            <v>SINTTEL-MG</v>
          </cell>
          <cell r="J833" t="e">
            <v>#N/A</v>
          </cell>
          <cell r="K833" t="e">
            <v>#N/A</v>
          </cell>
        </row>
        <row r="834">
          <cell r="A834" t="str">
            <v>Tapira</v>
          </cell>
          <cell r="B834" t="str">
            <v>MG</v>
          </cell>
          <cell r="C834" t="str">
            <v>ARAXÁ</v>
          </cell>
          <cell r="D834" t="str">
            <v>SINTTEL-MG</v>
          </cell>
          <cell r="J834" t="e">
            <v>#N/A</v>
          </cell>
          <cell r="K834" t="e">
            <v>#N/A</v>
          </cell>
        </row>
        <row r="835">
          <cell r="A835" t="str">
            <v>Tapiraí</v>
          </cell>
          <cell r="B835" t="str">
            <v>MG</v>
          </cell>
          <cell r="C835" t="str">
            <v>UBERLÂNDIA RG</v>
          </cell>
          <cell r="D835" t="str">
            <v>SINTTEL-MG</v>
          </cell>
          <cell r="J835" t="e">
            <v>#N/A</v>
          </cell>
          <cell r="K835" t="e">
            <v>#N/A</v>
          </cell>
        </row>
        <row r="836">
          <cell r="A836" t="str">
            <v>Taquaraçu de Minas</v>
          </cell>
          <cell r="B836" t="str">
            <v>MG</v>
          </cell>
          <cell r="C836" t="str">
            <v>ITABIRA RG</v>
          </cell>
          <cell r="D836" t="str">
            <v>SINTTEL-MG</v>
          </cell>
          <cell r="J836" t="e">
            <v>#N/A</v>
          </cell>
          <cell r="K836" t="e">
            <v>#N/A</v>
          </cell>
        </row>
        <row r="837">
          <cell r="A837" t="str">
            <v>Tarumirim</v>
          </cell>
          <cell r="B837" t="str">
            <v>MG</v>
          </cell>
          <cell r="C837" t="str">
            <v>FETHEMG</v>
          </cell>
          <cell r="D837" t="str">
            <v>SINTTEL-MG</v>
          </cell>
          <cell r="J837">
            <v>0.02</v>
          </cell>
          <cell r="K837">
            <v>0.02</v>
          </cell>
        </row>
        <row r="838">
          <cell r="A838" t="str">
            <v>Teixeiras</v>
          </cell>
          <cell r="B838" t="str">
            <v>MG</v>
          </cell>
          <cell r="C838" t="str">
            <v>FETHEMG</v>
          </cell>
          <cell r="D838" t="str">
            <v>SINTTEL-MG</v>
          </cell>
          <cell r="J838">
            <v>0.03</v>
          </cell>
          <cell r="K838">
            <v>0.03</v>
          </cell>
        </row>
        <row r="839">
          <cell r="A839" t="str">
            <v>Teófilo Otoni</v>
          </cell>
          <cell r="B839" t="str">
            <v>MG</v>
          </cell>
          <cell r="C839" t="str">
            <v>TEÓFILO OTONI/SEDE</v>
          </cell>
          <cell r="D839" t="str">
            <v>SINTTEL-MG</v>
          </cell>
          <cell r="J839">
            <v>0.03</v>
          </cell>
          <cell r="K839">
            <v>0.02</v>
          </cell>
        </row>
        <row r="840">
          <cell r="A840" t="str">
            <v>Timóteo</v>
          </cell>
          <cell r="B840" t="str">
            <v>MG</v>
          </cell>
          <cell r="C840" t="str">
            <v>VALE DO AÇO</v>
          </cell>
          <cell r="D840" t="str">
            <v>SINTTEL-MG</v>
          </cell>
          <cell r="J840">
            <v>0.03</v>
          </cell>
          <cell r="K840">
            <v>0.03</v>
          </cell>
        </row>
        <row r="841">
          <cell r="A841" t="str">
            <v>Tiradentes</v>
          </cell>
          <cell r="B841" t="str">
            <v>MG</v>
          </cell>
          <cell r="C841" t="str">
            <v>JUIZ DE FORA RG</v>
          </cell>
          <cell r="D841" t="str">
            <v>SINTTEL-MG</v>
          </cell>
          <cell r="J841" t="e">
            <v>#N/A</v>
          </cell>
          <cell r="K841" t="e">
            <v>#N/A</v>
          </cell>
        </row>
        <row r="842">
          <cell r="A842" t="str">
            <v>Tiros</v>
          </cell>
          <cell r="B842" t="str">
            <v>MG</v>
          </cell>
          <cell r="C842" t="str">
            <v>UBERLÂNDIA RG</v>
          </cell>
          <cell r="D842" t="str">
            <v>SINTTEL-MG</v>
          </cell>
          <cell r="J842">
            <v>0.02</v>
          </cell>
          <cell r="K842">
            <v>0.02</v>
          </cell>
        </row>
        <row r="843">
          <cell r="A843" t="str">
            <v>Tocantins</v>
          </cell>
          <cell r="B843" t="str">
            <v>MG</v>
          </cell>
          <cell r="C843" t="str">
            <v>JUIZ DE FORA RG</v>
          </cell>
          <cell r="D843" t="str">
            <v>SINTTEL-MG</v>
          </cell>
          <cell r="J843" t="e">
            <v>#N/A</v>
          </cell>
          <cell r="K843" t="e">
            <v>#N/A</v>
          </cell>
        </row>
        <row r="844">
          <cell r="A844" t="str">
            <v>Tocos do Moji</v>
          </cell>
          <cell r="B844" t="str">
            <v>MG</v>
          </cell>
          <cell r="C844" t="str">
            <v>SÃO LOURENÇO RG</v>
          </cell>
          <cell r="D844" t="str">
            <v>SINTTEL-MG</v>
          </cell>
          <cell r="J844" t="e">
            <v>#N/A</v>
          </cell>
          <cell r="K844" t="e">
            <v>#N/A</v>
          </cell>
        </row>
        <row r="845">
          <cell r="A845" t="str">
            <v>Toledo</v>
          </cell>
          <cell r="B845" t="str">
            <v>MG</v>
          </cell>
          <cell r="C845" t="str">
            <v>FETHEMG</v>
          </cell>
          <cell r="D845" t="str">
            <v>SINTTEL-MG</v>
          </cell>
          <cell r="J845" t="e">
            <v>#N/A</v>
          </cell>
          <cell r="K845" t="e">
            <v>#N/A</v>
          </cell>
        </row>
        <row r="846">
          <cell r="A846" t="str">
            <v>Tombos</v>
          </cell>
          <cell r="B846" t="str">
            <v>MG</v>
          </cell>
          <cell r="C846" t="str">
            <v>JUIZ DE FORA RG</v>
          </cell>
          <cell r="D846" t="str">
            <v>SINTTEL-MG</v>
          </cell>
          <cell r="J846">
            <v>0.03</v>
          </cell>
          <cell r="K846">
            <v>0.03</v>
          </cell>
        </row>
        <row r="847">
          <cell r="A847" t="str">
            <v>Três Corações</v>
          </cell>
          <cell r="B847" t="str">
            <v>MG</v>
          </cell>
          <cell r="C847" t="str">
            <v>SÃO LOURENÇO RG</v>
          </cell>
          <cell r="D847" t="str">
            <v>SINTTEL-MG</v>
          </cell>
          <cell r="J847">
            <v>0.03</v>
          </cell>
          <cell r="K847">
            <v>0.03</v>
          </cell>
        </row>
        <row r="848">
          <cell r="A848" t="str">
            <v>Três Marias</v>
          </cell>
          <cell r="B848" t="str">
            <v>MG</v>
          </cell>
          <cell r="C848" t="str">
            <v>CURVELO</v>
          </cell>
          <cell r="D848" t="str">
            <v>SINTTEL-MG</v>
          </cell>
          <cell r="J848">
            <v>0.03</v>
          </cell>
          <cell r="K848">
            <v>0.03</v>
          </cell>
        </row>
        <row r="849">
          <cell r="A849" t="str">
            <v>Três Pontas</v>
          </cell>
          <cell r="B849" t="str">
            <v>MG</v>
          </cell>
          <cell r="C849" t="str">
            <v>SÃO LOURENÇO RG</v>
          </cell>
          <cell r="D849" t="str">
            <v>SINTTEL-MG</v>
          </cell>
          <cell r="J849">
            <v>2.5000000000000001E-2</v>
          </cell>
          <cell r="K849">
            <v>2.5000000000000001E-2</v>
          </cell>
        </row>
        <row r="850">
          <cell r="A850" t="str">
            <v>Tumiritinga</v>
          </cell>
          <cell r="B850" t="str">
            <v>MG</v>
          </cell>
          <cell r="C850" t="str">
            <v>FETHEMG</v>
          </cell>
          <cell r="D850" t="str">
            <v>SINTTEL-MG</v>
          </cell>
          <cell r="J850" t="e">
            <v>#N/A</v>
          </cell>
          <cell r="K850" t="e">
            <v>#N/A</v>
          </cell>
        </row>
        <row r="851">
          <cell r="A851" t="str">
            <v>Tupaciguara</v>
          </cell>
          <cell r="B851" t="str">
            <v>MG</v>
          </cell>
          <cell r="C851" t="str">
            <v>UBERLÂNDIA RG</v>
          </cell>
          <cell r="D851" t="str">
            <v>SINTTEL-MG</v>
          </cell>
          <cell r="J851">
            <v>0.04</v>
          </cell>
          <cell r="K851">
            <v>0.02</v>
          </cell>
        </row>
        <row r="852">
          <cell r="A852" t="str">
            <v>Turmalina</v>
          </cell>
          <cell r="B852" t="str">
            <v>MG</v>
          </cell>
          <cell r="C852" t="str">
            <v>FETHEMG</v>
          </cell>
          <cell r="D852" t="str">
            <v>SINTTEL-MG</v>
          </cell>
          <cell r="J852">
            <v>0.03</v>
          </cell>
          <cell r="K852">
            <v>0.03</v>
          </cell>
        </row>
        <row r="853">
          <cell r="A853" t="str">
            <v>Turvolândia</v>
          </cell>
          <cell r="B853" t="str">
            <v>MG</v>
          </cell>
          <cell r="C853" t="str">
            <v>SÃO LOURENÇO RG</v>
          </cell>
          <cell r="D853" t="str">
            <v>SINTTEL-MG</v>
          </cell>
          <cell r="J853" t="e">
            <v>#N/A</v>
          </cell>
          <cell r="K853" t="e">
            <v>#N/A</v>
          </cell>
        </row>
        <row r="854">
          <cell r="A854" t="str">
            <v>Ubá</v>
          </cell>
          <cell r="B854" t="str">
            <v>MG</v>
          </cell>
          <cell r="C854" t="str">
            <v>CATAGUASES</v>
          </cell>
          <cell r="D854" t="str">
            <v>SINTTEL-MG</v>
          </cell>
          <cell r="J854">
            <v>0.03</v>
          </cell>
          <cell r="K854">
            <v>0.03</v>
          </cell>
        </row>
        <row r="855">
          <cell r="A855" t="str">
            <v>Ubaí</v>
          </cell>
          <cell r="B855" t="str">
            <v>MG</v>
          </cell>
          <cell r="C855" t="str">
            <v>MONTES CLAROS RG</v>
          </cell>
          <cell r="D855" t="str">
            <v>SINTTEL-MG</v>
          </cell>
          <cell r="J855" t="e">
            <v>#N/A</v>
          </cell>
          <cell r="K855" t="e">
            <v>#N/A</v>
          </cell>
        </row>
        <row r="856">
          <cell r="A856" t="str">
            <v>Ubaporanga</v>
          </cell>
          <cell r="B856" t="str">
            <v>MG</v>
          </cell>
          <cell r="C856" t="str">
            <v>FETHEMG</v>
          </cell>
          <cell r="D856" t="str">
            <v>SINTTEL-MG</v>
          </cell>
          <cell r="J856" t="e">
            <v>#N/A</v>
          </cell>
          <cell r="K856" t="e">
            <v>#N/A</v>
          </cell>
        </row>
        <row r="857">
          <cell r="A857" t="str">
            <v>Uberaba</v>
          </cell>
          <cell r="B857" t="str">
            <v>MG</v>
          </cell>
          <cell r="C857" t="str">
            <v>UBERABA</v>
          </cell>
          <cell r="D857" t="str">
            <v>SINTTEL-MG</v>
          </cell>
          <cell r="J857">
            <v>0.03</v>
          </cell>
          <cell r="K857">
            <v>0.03</v>
          </cell>
        </row>
        <row r="858">
          <cell r="A858" t="str">
            <v>Uberlândia</v>
          </cell>
          <cell r="B858" t="str">
            <v>MG</v>
          </cell>
          <cell r="C858" t="str">
            <v>UBERLÂNDIA</v>
          </cell>
          <cell r="D858" t="str">
            <v>SINTTEL-MG</v>
          </cell>
          <cell r="J858">
            <v>0.03</v>
          </cell>
          <cell r="K858">
            <v>0.02</v>
          </cell>
        </row>
        <row r="859">
          <cell r="A859" t="str">
            <v>Umburatiba</v>
          </cell>
          <cell r="B859" t="str">
            <v>MG</v>
          </cell>
          <cell r="C859" t="str">
            <v>FETHEMG</v>
          </cell>
          <cell r="D859" t="str">
            <v>SINTTEL-MG</v>
          </cell>
          <cell r="J859" t="e">
            <v>#N/A</v>
          </cell>
          <cell r="K859" t="e">
            <v>#N/A</v>
          </cell>
        </row>
        <row r="860">
          <cell r="A860" t="str">
            <v>Unaí</v>
          </cell>
          <cell r="B860" t="str">
            <v>MG</v>
          </cell>
          <cell r="C860" t="str">
            <v>FETHEMG</v>
          </cell>
          <cell r="D860" t="str">
            <v>SINTTEL-MG</v>
          </cell>
          <cell r="J860">
            <v>0.04</v>
          </cell>
          <cell r="K860">
            <v>0.04</v>
          </cell>
        </row>
        <row r="861">
          <cell r="A861" t="str">
            <v>União de Minas</v>
          </cell>
          <cell r="B861" t="str">
            <v>MG</v>
          </cell>
          <cell r="C861" t="str">
            <v>FETHEMG</v>
          </cell>
          <cell r="D861" t="str">
            <v>SINTTEL-MG</v>
          </cell>
          <cell r="J861" t="e">
            <v>#N/A</v>
          </cell>
          <cell r="K861" t="e">
            <v>#N/A</v>
          </cell>
        </row>
        <row r="862">
          <cell r="A862" t="str">
            <v>Uruana de Minas</v>
          </cell>
          <cell r="B862" t="str">
            <v>MG</v>
          </cell>
          <cell r="C862" t="str">
            <v>FETHEMG</v>
          </cell>
          <cell r="D862" t="str">
            <v>SINTTEL-MG</v>
          </cell>
          <cell r="J862" t="e">
            <v>#N/A</v>
          </cell>
          <cell r="K862" t="e">
            <v>#N/A</v>
          </cell>
        </row>
        <row r="863">
          <cell r="A863" t="str">
            <v>Urucânia</v>
          </cell>
          <cell r="B863" t="str">
            <v>MG</v>
          </cell>
          <cell r="C863" t="str">
            <v>FETHEMG</v>
          </cell>
          <cell r="D863" t="str">
            <v>SINTTEL-MG</v>
          </cell>
          <cell r="J863" t="e">
            <v>#N/A</v>
          </cell>
          <cell r="K863" t="e">
            <v>#N/A</v>
          </cell>
        </row>
        <row r="864">
          <cell r="A864" t="str">
            <v>Urucuia</v>
          </cell>
          <cell r="B864" t="str">
            <v>MG</v>
          </cell>
          <cell r="C864" t="str">
            <v>FETHEMG</v>
          </cell>
          <cell r="D864" t="str">
            <v>SINTTEL-MG</v>
          </cell>
          <cell r="J864" t="e">
            <v>#N/A</v>
          </cell>
          <cell r="K864" t="e">
            <v>#N/A</v>
          </cell>
        </row>
        <row r="865">
          <cell r="A865" t="str">
            <v>Vale Fundo</v>
          </cell>
          <cell r="B865" t="str">
            <v>MG</v>
          </cell>
          <cell r="D865" t="str">
            <v>SINTTEL-MG</v>
          </cell>
          <cell r="J865" t="e">
            <v>#N/A</v>
          </cell>
          <cell r="K865" t="e">
            <v>#N/A</v>
          </cell>
        </row>
        <row r="866">
          <cell r="A866" t="str">
            <v>Várgea de Cima</v>
          </cell>
          <cell r="B866" t="str">
            <v>MG</v>
          </cell>
          <cell r="D866" t="str">
            <v>SINTTEL-MG</v>
          </cell>
          <cell r="J866" t="e">
            <v>#N/A</v>
          </cell>
          <cell r="K866" t="e">
            <v>#N/A</v>
          </cell>
        </row>
        <row r="867">
          <cell r="A867" t="str">
            <v>Vargem Alegre</v>
          </cell>
          <cell r="B867" t="str">
            <v>MG</v>
          </cell>
          <cell r="C867" t="str">
            <v>FETHEMG</v>
          </cell>
          <cell r="D867" t="str">
            <v>SINTTEL-MG</v>
          </cell>
          <cell r="J867" t="e">
            <v>#N/A</v>
          </cell>
          <cell r="K867" t="e">
            <v>#N/A</v>
          </cell>
        </row>
        <row r="868">
          <cell r="A868" t="str">
            <v>Vargem Bonita</v>
          </cell>
          <cell r="B868" t="str">
            <v>MG</v>
          </cell>
          <cell r="C868" t="str">
            <v>FETHEMG</v>
          </cell>
          <cell r="D868" t="str">
            <v>SINTTEL-MG</v>
          </cell>
          <cell r="J868" t="e">
            <v>#N/A</v>
          </cell>
          <cell r="K868" t="e">
            <v>#N/A</v>
          </cell>
        </row>
        <row r="869">
          <cell r="A869" t="str">
            <v>Vargem da Lapa</v>
          </cell>
          <cell r="B869" t="str">
            <v>MG</v>
          </cell>
          <cell r="D869" t="str">
            <v>SINTTEL-MG</v>
          </cell>
          <cell r="J869" t="e">
            <v>#N/A</v>
          </cell>
          <cell r="K869" t="e">
            <v>#N/A</v>
          </cell>
        </row>
        <row r="870">
          <cell r="A870" t="str">
            <v>Vargem Grande do Rio Pardo</v>
          </cell>
          <cell r="B870" t="str">
            <v>MG</v>
          </cell>
          <cell r="C870" t="str">
            <v>FETHEMG</v>
          </cell>
          <cell r="D870" t="str">
            <v>SINTTEL-MG</v>
          </cell>
          <cell r="J870" t="e">
            <v>#N/A</v>
          </cell>
          <cell r="K870" t="e">
            <v>#N/A</v>
          </cell>
        </row>
        <row r="871">
          <cell r="A871" t="str">
            <v>Varginha</v>
          </cell>
          <cell r="B871" t="str">
            <v>MG</v>
          </cell>
          <cell r="C871" t="str">
            <v>SÃO LOURENÇO RG</v>
          </cell>
          <cell r="D871" t="str">
            <v>SINTTEL-MG</v>
          </cell>
          <cell r="J871">
            <v>0.03</v>
          </cell>
          <cell r="K871">
            <v>0.03</v>
          </cell>
        </row>
        <row r="872">
          <cell r="A872" t="str">
            <v>Varjão de Minas</v>
          </cell>
          <cell r="B872" t="str">
            <v>MG</v>
          </cell>
          <cell r="C872" t="str">
            <v>FETHEMG</v>
          </cell>
          <cell r="D872" t="str">
            <v>SINTTEL-MG</v>
          </cell>
          <cell r="J872" t="e">
            <v>#N/A</v>
          </cell>
          <cell r="K872" t="e">
            <v>#N/A</v>
          </cell>
        </row>
        <row r="873">
          <cell r="A873" t="str">
            <v>Várzea da Palma</v>
          </cell>
          <cell r="B873" t="str">
            <v>MG</v>
          </cell>
          <cell r="C873" t="str">
            <v>MONTES CLAROS RG</v>
          </cell>
          <cell r="D873" t="str">
            <v>SINTTEL-MG</v>
          </cell>
          <cell r="J873">
            <v>0.05</v>
          </cell>
          <cell r="K873">
            <v>0.03</v>
          </cell>
        </row>
        <row r="874">
          <cell r="A874" t="str">
            <v>Varzelãndia</v>
          </cell>
          <cell r="B874" t="str">
            <v>MG</v>
          </cell>
          <cell r="C874" t="str">
            <v>MONTES CLAROS RG</v>
          </cell>
          <cell r="D874" t="str">
            <v>SINTTEL-MG</v>
          </cell>
          <cell r="J874" t="e">
            <v>#N/A</v>
          </cell>
          <cell r="K874" t="e">
            <v>#N/A</v>
          </cell>
        </row>
        <row r="875">
          <cell r="A875" t="str">
            <v>Vazante</v>
          </cell>
          <cell r="B875" t="str">
            <v>MG</v>
          </cell>
          <cell r="C875" t="str">
            <v>FETHEMG</v>
          </cell>
          <cell r="D875" t="str">
            <v>SINTTEL-MG</v>
          </cell>
          <cell r="J875">
            <v>0.03</v>
          </cell>
          <cell r="K875">
            <v>0.03</v>
          </cell>
        </row>
        <row r="876">
          <cell r="A876" t="str">
            <v>Verdelândia</v>
          </cell>
          <cell r="B876" t="str">
            <v>MG</v>
          </cell>
          <cell r="D876" t="str">
            <v>SINTTEL-MG</v>
          </cell>
          <cell r="J876" t="e">
            <v>#N/A</v>
          </cell>
          <cell r="K876" t="e">
            <v>#N/A</v>
          </cell>
        </row>
        <row r="877">
          <cell r="A877" t="str">
            <v>Verdelândia</v>
          </cell>
          <cell r="B877" t="str">
            <v>MG</v>
          </cell>
          <cell r="C877" t="str">
            <v>FETHEMG</v>
          </cell>
          <cell r="D877" t="str">
            <v>SINTTEL-MG</v>
          </cell>
          <cell r="J877" t="e">
            <v>#N/A</v>
          </cell>
          <cell r="K877" t="e">
            <v>#N/A</v>
          </cell>
        </row>
        <row r="878">
          <cell r="A878" t="str">
            <v>Veredinha</v>
          </cell>
          <cell r="B878" t="str">
            <v>MG</v>
          </cell>
          <cell r="C878" t="str">
            <v>FETHEMG</v>
          </cell>
          <cell r="D878" t="str">
            <v>SINTTEL-MG</v>
          </cell>
          <cell r="J878" t="e">
            <v>#N/A</v>
          </cell>
          <cell r="K878" t="e">
            <v>#N/A</v>
          </cell>
        </row>
        <row r="879">
          <cell r="A879" t="str">
            <v>Veríssimo</v>
          </cell>
          <cell r="B879" t="str">
            <v>MG</v>
          </cell>
          <cell r="C879" t="str">
            <v>UBERABA RG</v>
          </cell>
          <cell r="D879" t="str">
            <v>SINTTEL-MG</v>
          </cell>
          <cell r="J879" t="e">
            <v>#N/A</v>
          </cell>
          <cell r="K879" t="e">
            <v>#N/A</v>
          </cell>
        </row>
        <row r="880">
          <cell r="A880" t="str">
            <v>Vermelho Novo</v>
          </cell>
          <cell r="B880" t="str">
            <v>MG</v>
          </cell>
          <cell r="C880" t="str">
            <v>FETHEMG</v>
          </cell>
          <cell r="D880" t="str">
            <v>SINTTEL-MG</v>
          </cell>
          <cell r="J880" t="e">
            <v>#N/A</v>
          </cell>
          <cell r="K880" t="e">
            <v>#N/A</v>
          </cell>
        </row>
        <row r="881">
          <cell r="A881" t="str">
            <v>Vespasiano</v>
          </cell>
          <cell r="B881" t="str">
            <v>MG</v>
          </cell>
          <cell r="C881" t="str">
            <v>VESPASIANO</v>
          </cell>
          <cell r="D881" t="str">
            <v>SINTTEL-MG</v>
          </cell>
          <cell r="J881">
            <v>0.03</v>
          </cell>
          <cell r="K881">
            <v>0.03</v>
          </cell>
        </row>
        <row r="882">
          <cell r="A882" t="str">
            <v>Viçosa</v>
          </cell>
          <cell r="B882" t="str">
            <v>MG</v>
          </cell>
          <cell r="C882" t="str">
            <v>JUIZ DE FORA RG</v>
          </cell>
          <cell r="D882" t="str">
            <v>SINTTEL-MG</v>
          </cell>
          <cell r="J882">
            <v>0.02</v>
          </cell>
          <cell r="K882">
            <v>0.02</v>
          </cell>
        </row>
        <row r="883">
          <cell r="A883" t="str">
            <v>Vieiras</v>
          </cell>
          <cell r="B883" t="str">
            <v>MG</v>
          </cell>
          <cell r="C883" t="str">
            <v>JUIZ DE FORA RG</v>
          </cell>
          <cell r="D883" t="str">
            <v>SINTTEL-MG</v>
          </cell>
          <cell r="J883" t="e">
            <v>#N/A</v>
          </cell>
          <cell r="K883" t="e">
            <v>#N/A</v>
          </cell>
        </row>
        <row r="884">
          <cell r="A884" t="str">
            <v>Vila Fátima</v>
          </cell>
          <cell r="B884" t="str">
            <v>MG</v>
          </cell>
          <cell r="D884" t="str">
            <v>SINTTEL-MG</v>
          </cell>
          <cell r="J884" t="e">
            <v>#N/A</v>
          </cell>
          <cell r="K884" t="e">
            <v>#N/A</v>
          </cell>
        </row>
        <row r="885">
          <cell r="A885" t="str">
            <v>Vila São Joaquim</v>
          </cell>
          <cell r="B885" t="str">
            <v>MG</v>
          </cell>
          <cell r="D885" t="str">
            <v>SINTTEL-MG</v>
          </cell>
          <cell r="J885" t="e">
            <v>#N/A</v>
          </cell>
          <cell r="K885" t="e">
            <v>#N/A</v>
          </cell>
        </row>
        <row r="886">
          <cell r="A886" t="str">
            <v>Virgem da Lapa</v>
          </cell>
          <cell r="B886" t="str">
            <v>MG</v>
          </cell>
          <cell r="C886" t="str">
            <v>TEÓFILO OTONI RG</v>
          </cell>
          <cell r="D886" t="str">
            <v>SINTTEL-MG</v>
          </cell>
          <cell r="J886" t="e">
            <v>#N/A</v>
          </cell>
          <cell r="K886" t="e">
            <v>#N/A</v>
          </cell>
        </row>
        <row r="887">
          <cell r="A887" t="str">
            <v>Virgínia</v>
          </cell>
          <cell r="B887" t="str">
            <v>MG</v>
          </cell>
          <cell r="C887" t="str">
            <v>SÃO LOURENÇO RG</v>
          </cell>
          <cell r="D887" t="str">
            <v>SINTTEL-MG</v>
          </cell>
          <cell r="J887" t="e">
            <v>#N/A</v>
          </cell>
          <cell r="K887" t="e">
            <v>#N/A</v>
          </cell>
        </row>
        <row r="888">
          <cell r="A888" t="str">
            <v>Virginópolis</v>
          </cell>
          <cell r="B888" t="str">
            <v>MG</v>
          </cell>
          <cell r="C888" t="str">
            <v>FETHEMG</v>
          </cell>
          <cell r="D888" t="str">
            <v>SINTTEL-MG</v>
          </cell>
          <cell r="J888">
            <v>0.02</v>
          </cell>
          <cell r="K888">
            <v>0.03</v>
          </cell>
        </row>
        <row r="889">
          <cell r="A889" t="str">
            <v>Virgolâdia</v>
          </cell>
          <cell r="B889" t="str">
            <v>MG</v>
          </cell>
          <cell r="C889" t="str">
            <v>FETHEMG</v>
          </cell>
          <cell r="D889" t="str">
            <v>SINTTEL-MG</v>
          </cell>
          <cell r="J889" t="e">
            <v>#N/A</v>
          </cell>
          <cell r="K889" t="e">
            <v>#N/A</v>
          </cell>
        </row>
        <row r="890">
          <cell r="A890" t="str">
            <v>Visconde do Rio Branco</v>
          </cell>
          <cell r="B890" t="str">
            <v>MG</v>
          </cell>
          <cell r="C890" t="str">
            <v>CATAGUASES</v>
          </cell>
          <cell r="D890" t="str">
            <v>SINTTEL-MG</v>
          </cell>
          <cell r="J890">
            <v>0.02</v>
          </cell>
          <cell r="K890">
            <v>0.02</v>
          </cell>
        </row>
        <row r="891">
          <cell r="A891" t="str">
            <v>Volta Grande</v>
          </cell>
          <cell r="B891" t="str">
            <v>MG</v>
          </cell>
          <cell r="C891" t="str">
            <v>JUIZ DE FORA RG</v>
          </cell>
          <cell r="D891" t="str">
            <v>SINTTEL-MG</v>
          </cell>
          <cell r="J891" t="e">
            <v>#N/A</v>
          </cell>
          <cell r="K891" t="e">
            <v>#N/A</v>
          </cell>
        </row>
        <row r="892">
          <cell r="A892" t="str">
            <v>Wenceslau Braz</v>
          </cell>
          <cell r="B892" t="str">
            <v>MG</v>
          </cell>
          <cell r="C892" t="str">
            <v>SÃO LOURENÇO RG</v>
          </cell>
          <cell r="D892" t="str">
            <v>SINTTEL-MG</v>
          </cell>
          <cell r="J892" t="e">
            <v>#N/A</v>
          </cell>
          <cell r="K892" t="e">
            <v>#N/A</v>
          </cell>
        </row>
        <row r="893">
          <cell r="A893" t="str">
            <v>SINDILIMPE-ES</v>
          </cell>
          <cell r="B893" t="str">
            <v>ES</v>
          </cell>
          <cell r="C893" t="str">
            <v>SINDILIMPE-ES</v>
          </cell>
          <cell r="D893" t="str">
            <v>SINTTEL-ES</v>
          </cell>
          <cell r="J893" t="e">
            <v>#N/A</v>
          </cell>
          <cell r="K893" t="e">
            <v>#N/A</v>
          </cell>
        </row>
        <row r="894">
          <cell r="A894" t="str">
            <v>SINTTEL-MG/Geral</v>
          </cell>
          <cell r="B894" t="str">
            <v>MG</v>
          </cell>
          <cell r="C894" t="str">
            <v>SINTTEL-MG</v>
          </cell>
          <cell r="D894" t="str">
            <v>SINTTEL-MG</v>
          </cell>
          <cell r="J894" t="e">
            <v>#N/A</v>
          </cell>
          <cell r="K894" t="e">
            <v>#N/A</v>
          </cell>
        </row>
        <row r="895">
          <cell r="A895" t="str">
            <v>Araçaí</v>
          </cell>
          <cell r="B895" t="str">
            <v>MG</v>
          </cell>
          <cell r="C895" t="str">
            <v>CURVELO</v>
          </cell>
          <cell r="D895" t="str">
            <v>SINTTEL-MG</v>
          </cell>
          <cell r="J895" t="e">
            <v>#N/A</v>
          </cell>
          <cell r="K895" t="e">
            <v>#N/A</v>
          </cell>
        </row>
        <row r="896">
          <cell r="A896" t="str">
            <v>Medeiros</v>
          </cell>
          <cell r="B896" t="str">
            <v>MG</v>
          </cell>
          <cell r="C896" t="str">
            <v>UBERLÂNDIA RG</v>
          </cell>
          <cell r="D896" t="str">
            <v>SINTTEL-MG</v>
          </cell>
          <cell r="J896" t="e">
            <v>#N/A</v>
          </cell>
          <cell r="K896" t="e">
            <v>#N/A</v>
          </cell>
        </row>
        <row r="897">
          <cell r="A897" t="str">
            <v>SEAC-MT</v>
          </cell>
          <cell r="B897" t="str">
            <v>MT</v>
          </cell>
          <cell r="C897" t="str">
            <v>SEAC-MT</v>
          </cell>
          <cell r="D897" t="str">
            <v>SINTTEL-MT</v>
          </cell>
          <cell r="J897" t="e">
            <v>#N/A</v>
          </cell>
          <cell r="K897" t="e">
            <v>#N/A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22">
          <cell r="F22">
            <v>0.121</v>
          </cell>
          <cell r="G22">
            <v>0.1111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 TEXTO"/>
      <sheetName val="Anexo III (1)"/>
      <sheetName val="Anexo III (2)"/>
      <sheetName val="Anexo III (3)"/>
      <sheetName val="Anexo III (4)"/>
      <sheetName val="Anexo III (5)"/>
      <sheetName val="Anexo III (6)"/>
      <sheetName val="Anexo III (7)"/>
      <sheetName val="Anexo III (8)"/>
      <sheetName val="Anexo III (9)"/>
      <sheetName val="Anexo III (10)"/>
      <sheetName val="Anexo III (11)"/>
      <sheetName val="Anexo III (12)"/>
      <sheetName val="Anexo III (13)"/>
      <sheetName val="Anexo III (14)"/>
      <sheetName val="Anexo III (15)"/>
      <sheetName val="Anexo III (16)"/>
      <sheetName val="Anexo III (17)"/>
      <sheetName val="Anexo III (18)"/>
      <sheetName val="Anexo III (19)"/>
      <sheetName val="Anexo III (20)"/>
      <sheetName val="Anexo III - C e D"/>
      <sheetName val="Compl. limpeza"/>
      <sheetName val="Nataxa"/>
      <sheetName val="Bases territoriais"/>
      <sheetName val="CCTS"/>
      <sheetName val="Dados"/>
      <sheetName val="base"/>
      <sheetName val="Global"/>
      <sheetName val="Estudo"/>
      <sheetName val="Estudo Liquido"/>
      <sheetName val="Estudo Liquido CEF SUL"/>
      <sheetName val="Memória Encargos Sociais"/>
      <sheetName val="Memória de cálculo-grupo 1"/>
      <sheetName val="TX.ADM E Tributos"/>
      <sheetName val="Exequibilidade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Araxa</v>
          </cell>
        </row>
      </sheetData>
      <sheetData sheetId="25"/>
      <sheetData sheetId="26">
        <row r="4">
          <cell r="Q4" t="str">
            <v>INSS</v>
          </cell>
        </row>
      </sheetData>
      <sheetData sheetId="27">
        <row r="18">
          <cell r="A18">
            <v>1</v>
          </cell>
        </row>
      </sheetData>
      <sheetData sheetId="28">
        <row r="16">
          <cell r="E16">
            <v>120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>
        <row r="2">
          <cell r="A2" t="str">
            <v>Abadia dos Dourados</v>
          </cell>
        </row>
        <row r="3">
          <cell r="A3" t="str">
            <v>Abaeté</v>
          </cell>
        </row>
        <row r="4">
          <cell r="A4" t="str">
            <v>Abre campo</v>
          </cell>
        </row>
        <row r="5">
          <cell r="A5" t="str">
            <v>Acaiaca</v>
          </cell>
        </row>
        <row r="6">
          <cell r="A6" t="str">
            <v>Açucena</v>
          </cell>
        </row>
        <row r="7">
          <cell r="A7" t="str">
            <v>Água Boa</v>
          </cell>
        </row>
        <row r="8">
          <cell r="A8" t="str">
            <v>Água Comprida</v>
          </cell>
        </row>
        <row r="9">
          <cell r="A9" t="str">
            <v>Aguanil</v>
          </cell>
        </row>
        <row r="10">
          <cell r="A10" t="str">
            <v>Águas Formosas</v>
          </cell>
        </row>
        <row r="11">
          <cell r="A11" t="str">
            <v>Águas Vermelhas</v>
          </cell>
        </row>
        <row r="12">
          <cell r="A12" t="str">
            <v>Aimorés</v>
          </cell>
        </row>
        <row r="13">
          <cell r="A13" t="str">
            <v>Aiuruoca</v>
          </cell>
        </row>
        <row r="14">
          <cell r="A14" t="str">
            <v>Alagoa</v>
          </cell>
        </row>
        <row r="15">
          <cell r="A15" t="str">
            <v>Albertina</v>
          </cell>
        </row>
        <row r="16">
          <cell r="A16" t="str">
            <v>Além do Paraíba</v>
          </cell>
        </row>
        <row r="17">
          <cell r="A17" t="str">
            <v>Alfenas</v>
          </cell>
        </row>
        <row r="18">
          <cell r="A18" t="str">
            <v>Alfredo Vasconcelos</v>
          </cell>
        </row>
        <row r="19">
          <cell r="A19" t="str">
            <v>Almenara</v>
          </cell>
        </row>
        <row r="20">
          <cell r="A20" t="str">
            <v>Alpercata</v>
          </cell>
        </row>
        <row r="21">
          <cell r="A21" t="str">
            <v>Alpinópolis</v>
          </cell>
        </row>
        <row r="22">
          <cell r="A22" t="str">
            <v>Alterosa</v>
          </cell>
        </row>
        <row r="23">
          <cell r="A23" t="str">
            <v>Alto Caparaó</v>
          </cell>
        </row>
        <row r="24">
          <cell r="A24" t="str">
            <v>Alto Jequitibá</v>
          </cell>
        </row>
        <row r="25">
          <cell r="A25" t="str">
            <v>Alto Rio Doce</v>
          </cell>
        </row>
        <row r="26">
          <cell r="A26" t="str">
            <v>Alvarenga</v>
          </cell>
        </row>
        <row r="27">
          <cell r="A27" t="str">
            <v>Alvinópolis</v>
          </cell>
        </row>
        <row r="28">
          <cell r="A28" t="str">
            <v>Alvorada de Minas</v>
          </cell>
        </row>
        <row r="29">
          <cell r="A29" t="str">
            <v>Amparo do Serra</v>
          </cell>
        </row>
        <row r="30">
          <cell r="A30" t="str">
            <v>Andradas</v>
          </cell>
        </row>
        <row r="31">
          <cell r="A31" t="str">
            <v>Andrelândia</v>
          </cell>
        </row>
        <row r="32">
          <cell r="A32" t="str">
            <v>Andrequice</v>
          </cell>
        </row>
        <row r="33">
          <cell r="A33" t="str">
            <v>Angelândia</v>
          </cell>
        </row>
        <row r="34">
          <cell r="A34" t="str">
            <v>Angicos</v>
          </cell>
        </row>
        <row r="35">
          <cell r="A35" t="str">
            <v>Antônio Carlos</v>
          </cell>
        </row>
        <row r="36">
          <cell r="A36" t="str">
            <v>Antônio Dias</v>
          </cell>
        </row>
        <row r="37">
          <cell r="A37" t="str">
            <v>Antônio Prado de Minas</v>
          </cell>
        </row>
        <row r="38">
          <cell r="A38" t="str">
            <v>Araçaí</v>
          </cell>
        </row>
        <row r="39">
          <cell r="A39" t="str">
            <v>Aracitaba</v>
          </cell>
        </row>
        <row r="40">
          <cell r="A40" t="str">
            <v>Araçuaí</v>
          </cell>
        </row>
        <row r="41">
          <cell r="A41" t="str">
            <v>Araguarí</v>
          </cell>
        </row>
        <row r="42">
          <cell r="A42" t="str">
            <v>Arantina</v>
          </cell>
        </row>
        <row r="43">
          <cell r="A43" t="str">
            <v>Araponga</v>
          </cell>
        </row>
        <row r="44">
          <cell r="A44" t="str">
            <v>Araporã</v>
          </cell>
        </row>
        <row r="45">
          <cell r="A45" t="str">
            <v>Arapuá</v>
          </cell>
        </row>
        <row r="46">
          <cell r="A46" t="str">
            <v>Araújos</v>
          </cell>
        </row>
        <row r="47">
          <cell r="A47" t="str">
            <v>Araxá</v>
          </cell>
        </row>
        <row r="48">
          <cell r="A48" t="str">
            <v>Arceburgo</v>
          </cell>
        </row>
        <row r="49">
          <cell r="A49" t="str">
            <v>Arcos</v>
          </cell>
        </row>
        <row r="50">
          <cell r="A50" t="str">
            <v>Areado</v>
          </cell>
        </row>
        <row r="51">
          <cell r="A51" t="str">
            <v>Argirita</v>
          </cell>
        </row>
        <row r="52">
          <cell r="A52" t="str">
            <v>Aricanduva</v>
          </cell>
        </row>
        <row r="53">
          <cell r="A53" t="str">
            <v>Arinos</v>
          </cell>
        </row>
        <row r="54">
          <cell r="A54" t="str">
            <v>Astolfo Dutra</v>
          </cell>
        </row>
        <row r="55">
          <cell r="A55" t="str">
            <v>Ataléia</v>
          </cell>
        </row>
        <row r="56">
          <cell r="A56" t="str">
            <v>Augusto de Lima</v>
          </cell>
        </row>
        <row r="57">
          <cell r="A57" t="str">
            <v>Baependi</v>
          </cell>
        </row>
        <row r="58">
          <cell r="A58" t="str">
            <v>Baldim</v>
          </cell>
        </row>
        <row r="59">
          <cell r="A59" t="str">
            <v>Bambuí</v>
          </cell>
        </row>
        <row r="60">
          <cell r="A60" t="str">
            <v>Bandeira</v>
          </cell>
        </row>
        <row r="61">
          <cell r="A61" t="str">
            <v>Bandeira do Sul</v>
          </cell>
        </row>
        <row r="62">
          <cell r="A62" t="str">
            <v>Barão de Cocais</v>
          </cell>
        </row>
        <row r="63">
          <cell r="A63" t="str">
            <v>Barão de Monte Alto</v>
          </cell>
        </row>
        <row r="64">
          <cell r="A64" t="str">
            <v>Barbacena</v>
          </cell>
        </row>
        <row r="65">
          <cell r="A65" t="str">
            <v>Barra Longa</v>
          </cell>
        </row>
        <row r="66">
          <cell r="A66" t="str">
            <v>Barroso</v>
          </cell>
        </row>
        <row r="67">
          <cell r="A67" t="str">
            <v>Bela Vista de Minas</v>
          </cell>
        </row>
        <row r="68">
          <cell r="A68" t="str">
            <v>Belmiro Braga</v>
          </cell>
        </row>
        <row r="69">
          <cell r="A69" t="str">
            <v>Belo Horizonte</v>
          </cell>
        </row>
        <row r="70">
          <cell r="A70" t="str">
            <v>Belo Oriente</v>
          </cell>
        </row>
        <row r="71">
          <cell r="A71" t="str">
            <v>Belo Vale</v>
          </cell>
        </row>
        <row r="72">
          <cell r="A72" t="str">
            <v>Berilo</v>
          </cell>
        </row>
        <row r="73">
          <cell r="A73" t="str">
            <v>Berizal</v>
          </cell>
        </row>
        <row r="74">
          <cell r="A74" t="str">
            <v>Bertópolis</v>
          </cell>
        </row>
        <row r="75">
          <cell r="A75" t="str">
            <v>Betim</v>
          </cell>
        </row>
        <row r="76">
          <cell r="A76" t="str">
            <v>Bias Fortes</v>
          </cell>
        </row>
        <row r="77">
          <cell r="A77" t="str">
            <v>Bicas</v>
          </cell>
        </row>
        <row r="78">
          <cell r="A78" t="str">
            <v>Biquinhas</v>
          </cell>
        </row>
        <row r="79">
          <cell r="A79" t="str">
            <v>Boa Esperança</v>
          </cell>
        </row>
        <row r="80">
          <cell r="A80" t="str">
            <v>Bocaina de Minas</v>
          </cell>
        </row>
        <row r="81">
          <cell r="A81" t="str">
            <v>Bocaiúva</v>
          </cell>
        </row>
        <row r="82">
          <cell r="A82" t="str">
            <v>Bom Despacho</v>
          </cell>
        </row>
        <row r="83">
          <cell r="A83" t="str">
            <v>Bom Jardim de Minas</v>
          </cell>
        </row>
        <row r="84">
          <cell r="A84" t="str">
            <v>Bom Jesus da Penha</v>
          </cell>
        </row>
        <row r="85">
          <cell r="A85" t="str">
            <v>Bom Jesus do Amparo</v>
          </cell>
        </row>
        <row r="86">
          <cell r="A86" t="str">
            <v>Bom Jesus do Galho</v>
          </cell>
        </row>
        <row r="87">
          <cell r="A87" t="str">
            <v>Bom Repouso</v>
          </cell>
        </row>
        <row r="88">
          <cell r="A88" t="str">
            <v>Bom Sucesso</v>
          </cell>
        </row>
        <row r="89">
          <cell r="A89" t="str">
            <v>Bonfim</v>
          </cell>
        </row>
        <row r="90">
          <cell r="A90" t="str">
            <v>Bonfinópolis de Minas</v>
          </cell>
        </row>
        <row r="91">
          <cell r="A91" t="str">
            <v>Bonito de Minas</v>
          </cell>
        </row>
        <row r="92">
          <cell r="A92" t="str">
            <v>Borda da Mata</v>
          </cell>
        </row>
        <row r="93">
          <cell r="A93" t="str">
            <v>Botelhos</v>
          </cell>
        </row>
        <row r="94">
          <cell r="A94" t="str">
            <v>Botumirim</v>
          </cell>
        </row>
        <row r="95">
          <cell r="A95" t="str">
            <v>Brás Pires</v>
          </cell>
        </row>
        <row r="96">
          <cell r="A96" t="str">
            <v>Brasilândia de Minas</v>
          </cell>
        </row>
        <row r="97">
          <cell r="A97" t="str">
            <v>Brasilia de Minas</v>
          </cell>
        </row>
        <row r="98">
          <cell r="A98" t="str">
            <v>Brasópolis</v>
          </cell>
        </row>
        <row r="99">
          <cell r="A99" t="str">
            <v>Braúnas</v>
          </cell>
        </row>
        <row r="100">
          <cell r="A100" t="str">
            <v>Brumadinho</v>
          </cell>
        </row>
        <row r="101">
          <cell r="A101" t="str">
            <v>Bueno Brandão</v>
          </cell>
        </row>
        <row r="102">
          <cell r="A102" t="str">
            <v>Buenópolis</v>
          </cell>
        </row>
        <row r="103">
          <cell r="A103" t="str">
            <v>Bugre</v>
          </cell>
        </row>
        <row r="104">
          <cell r="A104" t="str">
            <v>Buritis</v>
          </cell>
        </row>
        <row r="105">
          <cell r="A105" t="str">
            <v>Buritizeiro</v>
          </cell>
        </row>
        <row r="106">
          <cell r="A106" t="str">
            <v>Cabeceira Grande</v>
          </cell>
        </row>
        <row r="107">
          <cell r="A107" t="str">
            <v>Cabo Verde</v>
          </cell>
        </row>
        <row r="108">
          <cell r="A108" t="str">
            <v>Cachoeira da Prata</v>
          </cell>
        </row>
        <row r="109">
          <cell r="A109" t="str">
            <v>Cachoeira de Minas</v>
          </cell>
        </row>
        <row r="110">
          <cell r="A110" t="str">
            <v>Cachoeira de Pajeú</v>
          </cell>
        </row>
        <row r="111">
          <cell r="A111" t="str">
            <v>Cachoeira Dourada</v>
          </cell>
        </row>
        <row r="112">
          <cell r="A112" t="str">
            <v>Caetanópolis</v>
          </cell>
        </row>
        <row r="113">
          <cell r="A113" t="str">
            <v>Caeté</v>
          </cell>
        </row>
        <row r="114">
          <cell r="A114" t="str">
            <v>Caiana</v>
          </cell>
        </row>
        <row r="115">
          <cell r="A115" t="str">
            <v>Cajuri</v>
          </cell>
        </row>
        <row r="116">
          <cell r="A116" t="str">
            <v>Caldas</v>
          </cell>
        </row>
        <row r="117">
          <cell r="A117" t="str">
            <v>Camacho</v>
          </cell>
        </row>
        <row r="118">
          <cell r="A118" t="str">
            <v>Camanducaia</v>
          </cell>
        </row>
        <row r="119">
          <cell r="A119" t="str">
            <v>Cambuí</v>
          </cell>
        </row>
        <row r="120">
          <cell r="A120" t="str">
            <v>Cambuquira</v>
          </cell>
        </row>
        <row r="121">
          <cell r="A121" t="str">
            <v>Campanário</v>
          </cell>
        </row>
        <row r="122">
          <cell r="A122" t="str">
            <v>Campanha</v>
          </cell>
        </row>
        <row r="123">
          <cell r="A123" t="str">
            <v>Campestre</v>
          </cell>
        </row>
        <row r="124">
          <cell r="A124" t="str">
            <v>Campina Verde</v>
          </cell>
        </row>
        <row r="125">
          <cell r="A125" t="str">
            <v>Campo Azul</v>
          </cell>
        </row>
        <row r="126">
          <cell r="A126" t="str">
            <v>Campo Belo</v>
          </cell>
        </row>
        <row r="127">
          <cell r="A127" t="str">
            <v>Campo do Meio</v>
          </cell>
        </row>
        <row r="128">
          <cell r="A128" t="str">
            <v>Campo Florido</v>
          </cell>
        </row>
        <row r="129">
          <cell r="A129" t="str">
            <v>Campos Altos</v>
          </cell>
        </row>
        <row r="130">
          <cell r="A130" t="str">
            <v>Campos Gerais</v>
          </cell>
        </row>
        <row r="131">
          <cell r="A131" t="str">
            <v>Cana Verde</v>
          </cell>
        </row>
        <row r="132">
          <cell r="A132" t="str">
            <v>Canaã</v>
          </cell>
        </row>
        <row r="133">
          <cell r="A133" t="str">
            <v>Canápolis</v>
          </cell>
        </row>
        <row r="134">
          <cell r="A134" t="str">
            <v>Candeias</v>
          </cell>
        </row>
        <row r="135">
          <cell r="A135" t="str">
            <v>Cantagalo</v>
          </cell>
        </row>
        <row r="136">
          <cell r="A136" t="str">
            <v>Caparaó</v>
          </cell>
        </row>
        <row r="137">
          <cell r="A137" t="str">
            <v>Capela Nova</v>
          </cell>
        </row>
        <row r="138">
          <cell r="A138" t="str">
            <v>Capelinha</v>
          </cell>
        </row>
        <row r="139">
          <cell r="A139" t="str">
            <v>Capetinga</v>
          </cell>
        </row>
        <row r="140">
          <cell r="A140" t="str">
            <v>Capim Branco</v>
          </cell>
        </row>
        <row r="141">
          <cell r="A141" t="str">
            <v>Capinópolis</v>
          </cell>
        </row>
        <row r="142">
          <cell r="A142" t="str">
            <v>Capitão Andrade</v>
          </cell>
        </row>
        <row r="143">
          <cell r="A143" t="str">
            <v>Capitão Enéas</v>
          </cell>
        </row>
        <row r="144">
          <cell r="A144" t="str">
            <v>Capitólio</v>
          </cell>
        </row>
        <row r="145">
          <cell r="A145" t="str">
            <v>Caputira</v>
          </cell>
        </row>
        <row r="146">
          <cell r="A146" t="str">
            <v>Caraí</v>
          </cell>
        </row>
        <row r="147">
          <cell r="A147" t="str">
            <v>Caranaíba</v>
          </cell>
        </row>
        <row r="148">
          <cell r="A148" t="str">
            <v>Carandaí</v>
          </cell>
        </row>
        <row r="149">
          <cell r="A149" t="str">
            <v>Carangola</v>
          </cell>
        </row>
        <row r="150">
          <cell r="A150" t="str">
            <v>Caratinga</v>
          </cell>
        </row>
        <row r="151">
          <cell r="A151" t="str">
            <v>Carbonita</v>
          </cell>
        </row>
        <row r="152">
          <cell r="A152" t="str">
            <v>Careaçu</v>
          </cell>
        </row>
        <row r="153">
          <cell r="A153" t="str">
            <v>Carlos Chagas</v>
          </cell>
        </row>
        <row r="154">
          <cell r="A154" t="str">
            <v>Carmésia</v>
          </cell>
        </row>
        <row r="155">
          <cell r="A155" t="str">
            <v>Carmo da Cachoeira</v>
          </cell>
        </row>
        <row r="156">
          <cell r="A156" t="str">
            <v>Carmo da Mata</v>
          </cell>
        </row>
        <row r="157">
          <cell r="A157" t="str">
            <v>Carmo de Minas</v>
          </cell>
        </row>
        <row r="158">
          <cell r="A158" t="str">
            <v>Carmo do Cajuru</v>
          </cell>
        </row>
        <row r="159">
          <cell r="A159" t="str">
            <v>Carmo do Paranaíba</v>
          </cell>
        </row>
        <row r="160">
          <cell r="A160" t="str">
            <v>Carmo do Rio Claro</v>
          </cell>
        </row>
        <row r="161">
          <cell r="A161" t="str">
            <v>Carmópolis de Minas</v>
          </cell>
        </row>
        <row r="162">
          <cell r="A162" t="str">
            <v>Carneirinho</v>
          </cell>
        </row>
        <row r="163">
          <cell r="A163" t="str">
            <v>Carrancas</v>
          </cell>
        </row>
        <row r="164">
          <cell r="A164" t="str">
            <v>Carvalhópolis</v>
          </cell>
        </row>
        <row r="165">
          <cell r="A165" t="str">
            <v>Carvalhos</v>
          </cell>
        </row>
        <row r="166">
          <cell r="A166" t="str">
            <v>Casa Grande</v>
          </cell>
        </row>
        <row r="167">
          <cell r="A167" t="str">
            <v>Cascalho Rico</v>
          </cell>
        </row>
        <row r="168">
          <cell r="A168" t="str">
            <v>Cássia</v>
          </cell>
        </row>
        <row r="169">
          <cell r="A169" t="str">
            <v>Cataguases</v>
          </cell>
        </row>
        <row r="170">
          <cell r="A170" t="str">
            <v>Catas Altas</v>
          </cell>
        </row>
        <row r="171">
          <cell r="A171" t="str">
            <v>Catas Altas da Noruega</v>
          </cell>
        </row>
        <row r="172">
          <cell r="A172" t="str">
            <v>Catuji</v>
          </cell>
        </row>
        <row r="173">
          <cell r="A173" t="str">
            <v>Catuti</v>
          </cell>
        </row>
        <row r="174">
          <cell r="A174" t="str">
            <v>Caxambú</v>
          </cell>
        </row>
        <row r="175">
          <cell r="A175" t="str">
            <v>Cedro do Abaeté</v>
          </cell>
        </row>
        <row r="176">
          <cell r="A176" t="str">
            <v>Central de Minas</v>
          </cell>
        </row>
        <row r="177">
          <cell r="A177" t="str">
            <v>Centralina</v>
          </cell>
        </row>
        <row r="178">
          <cell r="A178" t="str">
            <v>Chácara</v>
          </cell>
        </row>
        <row r="179">
          <cell r="A179" t="str">
            <v>Chalé</v>
          </cell>
        </row>
        <row r="180">
          <cell r="A180" t="str">
            <v>Chapada do Norte</v>
          </cell>
        </row>
        <row r="181">
          <cell r="A181" t="str">
            <v>Chapada Gaúcha</v>
          </cell>
        </row>
        <row r="182">
          <cell r="A182" t="str">
            <v>Chiador</v>
          </cell>
        </row>
        <row r="183">
          <cell r="A183" t="str">
            <v>Cipotânia</v>
          </cell>
        </row>
        <row r="184">
          <cell r="A184" t="str">
            <v>Claraval</v>
          </cell>
        </row>
        <row r="185">
          <cell r="A185" t="str">
            <v>Claro dos Poções</v>
          </cell>
        </row>
        <row r="186">
          <cell r="A186" t="str">
            <v>Cláudio</v>
          </cell>
        </row>
        <row r="187">
          <cell r="A187" t="str">
            <v>Coimbra</v>
          </cell>
        </row>
        <row r="188">
          <cell r="A188" t="str">
            <v>Coluna</v>
          </cell>
        </row>
        <row r="189">
          <cell r="A189" t="str">
            <v>Comendador Gomes</v>
          </cell>
        </row>
        <row r="190">
          <cell r="A190" t="str">
            <v>Comercinho</v>
          </cell>
        </row>
        <row r="191">
          <cell r="A191" t="str">
            <v>Conceição da Aparecida</v>
          </cell>
        </row>
        <row r="192">
          <cell r="A192" t="str">
            <v>Conceição da Barra de Minas</v>
          </cell>
        </row>
        <row r="193">
          <cell r="A193" t="str">
            <v>Conceição das Alagoas</v>
          </cell>
        </row>
        <row r="194">
          <cell r="A194" t="str">
            <v>Conceição das Pedras</v>
          </cell>
        </row>
        <row r="195">
          <cell r="A195" t="str">
            <v>Conceição de Ipanema</v>
          </cell>
        </row>
        <row r="196">
          <cell r="A196" t="str">
            <v>Conceição do Mato Dentro</v>
          </cell>
        </row>
        <row r="197">
          <cell r="A197" t="str">
            <v>Conceição do Pará</v>
          </cell>
        </row>
        <row r="198">
          <cell r="A198" t="str">
            <v>Conceição do Rio Verde</v>
          </cell>
        </row>
        <row r="199">
          <cell r="A199" t="str">
            <v>Conceição dos Ouros</v>
          </cell>
        </row>
        <row r="200">
          <cell r="A200" t="str">
            <v>Cônego Marinho</v>
          </cell>
        </row>
        <row r="201">
          <cell r="A201" t="str">
            <v>Confins</v>
          </cell>
        </row>
        <row r="202">
          <cell r="A202" t="str">
            <v>Congonhal</v>
          </cell>
        </row>
        <row r="203">
          <cell r="A203" t="str">
            <v>Congonhas</v>
          </cell>
        </row>
        <row r="204">
          <cell r="A204" t="str">
            <v>Congonhas do Norte</v>
          </cell>
        </row>
        <row r="205">
          <cell r="A205" t="str">
            <v>Conquista</v>
          </cell>
        </row>
        <row r="206">
          <cell r="A206" t="str">
            <v>Conselheiro Lafaiete</v>
          </cell>
        </row>
        <row r="207">
          <cell r="A207" t="str">
            <v>Conselheiro Pena</v>
          </cell>
        </row>
        <row r="208">
          <cell r="A208" t="str">
            <v>Consolação</v>
          </cell>
        </row>
        <row r="209">
          <cell r="A209" t="str">
            <v>Contagem</v>
          </cell>
        </row>
        <row r="210">
          <cell r="A210" t="str">
            <v>Contria</v>
          </cell>
        </row>
        <row r="211">
          <cell r="A211" t="str">
            <v>Coqueiral</v>
          </cell>
        </row>
        <row r="212">
          <cell r="A212" t="str">
            <v>Coração de Jesus</v>
          </cell>
        </row>
        <row r="213">
          <cell r="A213" t="str">
            <v>Cordisburgo</v>
          </cell>
        </row>
        <row r="214">
          <cell r="A214" t="str">
            <v>Cordislândia</v>
          </cell>
        </row>
        <row r="215">
          <cell r="A215" t="str">
            <v>Corinto</v>
          </cell>
        </row>
        <row r="216">
          <cell r="A216" t="str">
            <v>Coroaci</v>
          </cell>
        </row>
        <row r="217">
          <cell r="A217" t="str">
            <v>Coromandel</v>
          </cell>
        </row>
        <row r="218">
          <cell r="A218" t="str">
            <v>Coronel Fabriciano</v>
          </cell>
        </row>
        <row r="219">
          <cell r="A219" t="str">
            <v>Coronel Murta</v>
          </cell>
        </row>
        <row r="220">
          <cell r="A220" t="str">
            <v>Coronel Pacheco</v>
          </cell>
        </row>
        <row r="221">
          <cell r="A221" t="str">
            <v>Coronel Xavier Chaves</v>
          </cell>
        </row>
        <row r="222">
          <cell r="A222" t="str">
            <v>Córrego Danta</v>
          </cell>
        </row>
        <row r="223">
          <cell r="A223" t="str">
            <v>Corrego do Bom Jesus</v>
          </cell>
        </row>
        <row r="224">
          <cell r="A224" t="str">
            <v>Córrego Fundo</v>
          </cell>
        </row>
        <row r="225">
          <cell r="A225" t="str">
            <v>Córrego Novo</v>
          </cell>
        </row>
        <row r="226">
          <cell r="A226" t="str">
            <v>Costa Sena</v>
          </cell>
        </row>
        <row r="227">
          <cell r="A227" t="str">
            <v>Couto de Magalhães de Minas</v>
          </cell>
        </row>
        <row r="228">
          <cell r="A228" t="str">
            <v>Crisólita</v>
          </cell>
        </row>
        <row r="229">
          <cell r="A229" t="str">
            <v>Cristais</v>
          </cell>
        </row>
        <row r="230">
          <cell r="A230" t="str">
            <v>Cristália</v>
          </cell>
        </row>
        <row r="231">
          <cell r="A231" t="str">
            <v>Cristáliax</v>
          </cell>
        </row>
        <row r="232">
          <cell r="A232" t="str">
            <v>Cristiano Otoni</v>
          </cell>
        </row>
        <row r="233">
          <cell r="A233" t="str">
            <v>Cristina</v>
          </cell>
        </row>
        <row r="234">
          <cell r="A234" t="str">
            <v>Crucilãndia</v>
          </cell>
        </row>
        <row r="235">
          <cell r="A235" t="str">
            <v>Cruzeiro da Fortaleza</v>
          </cell>
        </row>
        <row r="236">
          <cell r="A236" t="str">
            <v>Cruzília</v>
          </cell>
        </row>
        <row r="237">
          <cell r="A237" t="str">
            <v>Cuparaque</v>
          </cell>
        </row>
        <row r="238">
          <cell r="A238" t="str">
            <v>Curral de Dentro</v>
          </cell>
        </row>
        <row r="239">
          <cell r="A239" t="str">
            <v>Curvelo</v>
          </cell>
        </row>
        <row r="240">
          <cell r="A240" t="str">
            <v>Datas</v>
          </cell>
        </row>
        <row r="241">
          <cell r="A241" t="str">
            <v>Delfim Moreira</v>
          </cell>
        </row>
        <row r="242">
          <cell r="A242" t="str">
            <v>Delfinópolis</v>
          </cell>
        </row>
        <row r="243">
          <cell r="A243" t="str">
            <v>Delta</v>
          </cell>
        </row>
        <row r="244">
          <cell r="A244" t="str">
            <v>Descoberto</v>
          </cell>
        </row>
        <row r="245">
          <cell r="A245" t="str">
            <v>Desterro de Entre Rios</v>
          </cell>
        </row>
        <row r="246">
          <cell r="A246" t="str">
            <v>Desterro do Melo</v>
          </cell>
        </row>
        <row r="247">
          <cell r="A247" t="str">
            <v>Diamantina</v>
          </cell>
        </row>
        <row r="248">
          <cell r="A248" t="str">
            <v>Diogo de Vasconcelos</v>
          </cell>
        </row>
        <row r="249">
          <cell r="A249" t="str">
            <v>Dionísio</v>
          </cell>
        </row>
        <row r="250">
          <cell r="A250" t="str">
            <v>Divinésia</v>
          </cell>
        </row>
        <row r="251">
          <cell r="A251" t="str">
            <v>Divino</v>
          </cell>
        </row>
        <row r="252">
          <cell r="A252" t="str">
            <v>Divino da Laranjeiras</v>
          </cell>
        </row>
        <row r="253">
          <cell r="A253" t="str">
            <v>Divinolãndia de Minas</v>
          </cell>
        </row>
        <row r="254">
          <cell r="A254" t="str">
            <v>Divinópolis</v>
          </cell>
        </row>
        <row r="255">
          <cell r="A255" t="str">
            <v>Divisa Alegre</v>
          </cell>
        </row>
        <row r="256">
          <cell r="A256" t="str">
            <v>Divisa Nova</v>
          </cell>
        </row>
        <row r="257">
          <cell r="A257" t="str">
            <v>Divisópolis</v>
          </cell>
        </row>
        <row r="258">
          <cell r="A258" t="str">
            <v>Dom Bosco</v>
          </cell>
        </row>
        <row r="259">
          <cell r="A259" t="str">
            <v>Dom Cavati</v>
          </cell>
        </row>
        <row r="260">
          <cell r="A260" t="str">
            <v>Dom Joaquim</v>
          </cell>
        </row>
        <row r="261">
          <cell r="A261" t="str">
            <v>Dom Silvério</v>
          </cell>
        </row>
        <row r="262">
          <cell r="A262" t="str">
            <v>Dom Viçoso</v>
          </cell>
        </row>
        <row r="263">
          <cell r="A263" t="str">
            <v>Dona Eusébia</v>
          </cell>
        </row>
        <row r="264">
          <cell r="A264" t="str">
            <v>Dores de Campo</v>
          </cell>
        </row>
        <row r="265">
          <cell r="A265" t="str">
            <v>Dores de Guanhães</v>
          </cell>
        </row>
        <row r="266">
          <cell r="A266" t="str">
            <v>Dores do Indaiá</v>
          </cell>
        </row>
        <row r="267">
          <cell r="A267" t="str">
            <v>Dores do Turvo</v>
          </cell>
        </row>
        <row r="268">
          <cell r="A268" t="str">
            <v>Doresópolis</v>
          </cell>
        </row>
        <row r="269">
          <cell r="A269" t="str">
            <v>Douradoquara</v>
          </cell>
        </row>
        <row r="270">
          <cell r="A270" t="str">
            <v>Durandé</v>
          </cell>
        </row>
        <row r="271">
          <cell r="A271" t="str">
            <v>Elói Mendes</v>
          </cell>
        </row>
        <row r="272">
          <cell r="A272" t="str">
            <v>Engenheiro Caldas</v>
          </cell>
        </row>
        <row r="273">
          <cell r="A273" t="str">
            <v>Engenheiro Navarro</v>
          </cell>
        </row>
        <row r="274">
          <cell r="A274" t="str">
            <v>Entre Folhas</v>
          </cell>
        </row>
        <row r="275">
          <cell r="A275" t="str">
            <v>Entre Rios de Minas</v>
          </cell>
        </row>
        <row r="276">
          <cell r="A276" t="str">
            <v>Ervália</v>
          </cell>
        </row>
        <row r="277">
          <cell r="A277" t="str">
            <v>Esmeraldas</v>
          </cell>
        </row>
        <row r="278">
          <cell r="A278" t="str">
            <v>Espera Feliz</v>
          </cell>
        </row>
        <row r="279">
          <cell r="A279" t="str">
            <v>Espinosa</v>
          </cell>
        </row>
        <row r="280">
          <cell r="A280" t="str">
            <v>Espirito Santo do Dourado</v>
          </cell>
        </row>
        <row r="281">
          <cell r="A281" t="str">
            <v>Estiva</v>
          </cell>
        </row>
        <row r="282">
          <cell r="A282" t="str">
            <v>Estivas</v>
          </cell>
        </row>
        <row r="283">
          <cell r="A283" t="str">
            <v>Estrela Dalva</v>
          </cell>
        </row>
        <row r="284">
          <cell r="A284" t="str">
            <v>Estrela do Indaiá</v>
          </cell>
        </row>
        <row r="285">
          <cell r="A285" t="str">
            <v>Estrela do Sul</v>
          </cell>
        </row>
        <row r="286">
          <cell r="A286" t="str">
            <v>Eugenópolis</v>
          </cell>
        </row>
        <row r="287">
          <cell r="A287" t="str">
            <v>Ewbank da Câmara</v>
          </cell>
        </row>
        <row r="288">
          <cell r="A288" t="str">
            <v>Extrema</v>
          </cell>
        </row>
        <row r="289">
          <cell r="A289" t="str">
            <v>Fama</v>
          </cell>
        </row>
        <row r="290">
          <cell r="A290" t="str">
            <v>Faria Lemos</v>
          </cell>
        </row>
        <row r="291">
          <cell r="A291" t="str">
            <v>Felício dos Santos</v>
          </cell>
        </row>
        <row r="292">
          <cell r="A292" t="str">
            <v>Felisburgo</v>
          </cell>
        </row>
        <row r="293">
          <cell r="A293" t="str">
            <v>Felixlândia</v>
          </cell>
        </row>
        <row r="294">
          <cell r="A294" t="str">
            <v>Fernandes Tourinho</v>
          </cell>
        </row>
        <row r="295">
          <cell r="A295" t="str">
            <v>Ferros</v>
          </cell>
        </row>
        <row r="296">
          <cell r="A296" t="str">
            <v>Fervedouro</v>
          </cell>
        </row>
        <row r="297">
          <cell r="A297" t="str">
            <v>Florestal</v>
          </cell>
        </row>
        <row r="298">
          <cell r="A298" t="str">
            <v>Formiga</v>
          </cell>
        </row>
        <row r="299">
          <cell r="A299" t="str">
            <v>Formoso</v>
          </cell>
        </row>
        <row r="300">
          <cell r="A300" t="str">
            <v>Fortaleza de Minas</v>
          </cell>
        </row>
        <row r="301">
          <cell r="A301" t="str">
            <v>Fortuna de Minas</v>
          </cell>
        </row>
        <row r="302">
          <cell r="A302" t="str">
            <v>Francisco Badaró</v>
          </cell>
        </row>
        <row r="303">
          <cell r="A303" t="str">
            <v>Francisco Dumont</v>
          </cell>
        </row>
        <row r="304">
          <cell r="A304" t="str">
            <v>Francisco Sá</v>
          </cell>
        </row>
        <row r="305">
          <cell r="A305" t="str">
            <v>Franciscópolis</v>
          </cell>
        </row>
        <row r="306">
          <cell r="A306" t="str">
            <v>Frei Gaspar</v>
          </cell>
        </row>
        <row r="307">
          <cell r="A307" t="str">
            <v>Frei Inocêncio</v>
          </cell>
        </row>
        <row r="308">
          <cell r="A308" t="str">
            <v>Frei Lagonegro</v>
          </cell>
        </row>
        <row r="309">
          <cell r="A309" t="str">
            <v>Frei Orlando</v>
          </cell>
        </row>
        <row r="310">
          <cell r="A310" t="str">
            <v>Fronteira</v>
          </cell>
        </row>
        <row r="311">
          <cell r="A311" t="str">
            <v>Fronteira dos Vales</v>
          </cell>
        </row>
        <row r="312">
          <cell r="A312" t="str">
            <v>Fruta de Leite</v>
          </cell>
        </row>
        <row r="313">
          <cell r="A313" t="str">
            <v>Frutal</v>
          </cell>
        </row>
        <row r="314">
          <cell r="A314" t="str">
            <v>Funilãndia</v>
          </cell>
        </row>
        <row r="315">
          <cell r="A315" t="str">
            <v>Galiléia</v>
          </cell>
        </row>
        <row r="316">
          <cell r="A316" t="str">
            <v>Gameleiras</v>
          </cell>
        </row>
        <row r="317">
          <cell r="A317" t="str">
            <v>Gentil de Matos</v>
          </cell>
        </row>
        <row r="318">
          <cell r="A318" t="str">
            <v>Glaucilãndia</v>
          </cell>
        </row>
        <row r="319">
          <cell r="A319" t="str">
            <v>Goiabeira</v>
          </cell>
        </row>
        <row r="320">
          <cell r="A320" t="str">
            <v>Goianá</v>
          </cell>
        </row>
        <row r="321">
          <cell r="A321" t="str">
            <v>Gonçalves</v>
          </cell>
        </row>
        <row r="322">
          <cell r="A322" t="str">
            <v>Gonzaga</v>
          </cell>
        </row>
        <row r="323">
          <cell r="A323" t="str">
            <v>Gouveia</v>
          </cell>
        </row>
        <row r="324">
          <cell r="A324" t="str">
            <v>Governador Valadares</v>
          </cell>
        </row>
        <row r="325">
          <cell r="A325" t="str">
            <v>Grão Mogol</v>
          </cell>
        </row>
        <row r="326">
          <cell r="A326" t="str">
            <v>Grupiara</v>
          </cell>
        </row>
        <row r="327">
          <cell r="A327" t="str">
            <v>Guanhães</v>
          </cell>
        </row>
        <row r="328">
          <cell r="A328" t="str">
            <v>Guapé</v>
          </cell>
        </row>
        <row r="329">
          <cell r="A329" t="str">
            <v>Guaraciaba</v>
          </cell>
        </row>
        <row r="330">
          <cell r="A330" t="str">
            <v>Guaraciama</v>
          </cell>
        </row>
        <row r="331">
          <cell r="A331" t="str">
            <v>Guaranésia</v>
          </cell>
        </row>
        <row r="332">
          <cell r="A332" t="str">
            <v>Guarani</v>
          </cell>
        </row>
        <row r="333">
          <cell r="A333" t="str">
            <v>Guarará</v>
          </cell>
        </row>
        <row r="334">
          <cell r="A334" t="str">
            <v>Guaxupé</v>
          </cell>
        </row>
        <row r="335">
          <cell r="A335" t="str">
            <v>Guidoval</v>
          </cell>
        </row>
        <row r="336">
          <cell r="A336" t="str">
            <v>Guimarânia</v>
          </cell>
        </row>
        <row r="337">
          <cell r="A337" t="str">
            <v>Guiricema</v>
          </cell>
        </row>
        <row r="338">
          <cell r="A338" t="str">
            <v>Gurada-Mor</v>
          </cell>
        </row>
        <row r="339">
          <cell r="A339" t="str">
            <v>Gurinhatã</v>
          </cell>
        </row>
        <row r="340">
          <cell r="A340" t="str">
            <v>Heliodora</v>
          </cell>
        </row>
        <row r="341">
          <cell r="A341" t="str">
            <v>Iapu</v>
          </cell>
        </row>
        <row r="342">
          <cell r="A342" t="str">
            <v>Ibertioga</v>
          </cell>
        </row>
        <row r="343">
          <cell r="A343" t="str">
            <v>Ibiá</v>
          </cell>
        </row>
        <row r="344">
          <cell r="A344" t="str">
            <v>Ibiaí</v>
          </cell>
        </row>
        <row r="345">
          <cell r="A345" t="str">
            <v>Ibiracatu</v>
          </cell>
        </row>
        <row r="346">
          <cell r="A346" t="str">
            <v>Ibiraci</v>
          </cell>
        </row>
        <row r="347">
          <cell r="A347" t="str">
            <v>Ibirité</v>
          </cell>
        </row>
        <row r="348">
          <cell r="A348" t="str">
            <v>Ibitiúra de Minas</v>
          </cell>
        </row>
        <row r="349">
          <cell r="A349" t="str">
            <v>Ibituruna</v>
          </cell>
        </row>
        <row r="350">
          <cell r="A350" t="str">
            <v>Icaraí de Minas</v>
          </cell>
        </row>
        <row r="351">
          <cell r="A351" t="str">
            <v>Igarapé</v>
          </cell>
        </row>
        <row r="352">
          <cell r="A352" t="str">
            <v>Igaratinga</v>
          </cell>
        </row>
        <row r="353">
          <cell r="A353" t="str">
            <v>Iguatama</v>
          </cell>
        </row>
        <row r="354">
          <cell r="A354" t="str">
            <v>Ijaci</v>
          </cell>
        </row>
        <row r="355">
          <cell r="A355" t="str">
            <v>Ilicínea</v>
          </cell>
        </row>
        <row r="356">
          <cell r="A356" t="str">
            <v>Imbé de Minas</v>
          </cell>
        </row>
        <row r="357">
          <cell r="A357" t="str">
            <v>Inconfidentes</v>
          </cell>
        </row>
        <row r="358">
          <cell r="A358" t="str">
            <v>Indaiabira</v>
          </cell>
        </row>
        <row r="359">
          <cell r="A359" t="str">
            <v>Indianópolis</v>
          </cell>
        </row>
        <row r="360">
          <cell r="A360" t="str">
            <v>Ingaí</v>
          </cell>
        </row>
        <row r="361">
          <cell r="A361" t="str">
            <v>Inhapim</v>
          </cell>
        </row>
        <row r="362">
          <cell r="A362" t="str">
            <v>Inhaúma</v>
          </cell>
        </row>
        <row r="363">
          <cell r="A363" t="str">
            <v>Inimutaba</v>
          </cell>
        </row>
        <row r="364">
          <cell r="A364" t="str">
            <v>Ipaba</v>
          </cell>
        </row>
        <row r="365">
          <cell r="A365" t="str">
            <v>Ipanema</v>
          </cell>
        </row>
        <row r="366">
          <cell r="A366" t="str">
            <v>Ipatinga</v>
          </cell>
        </row>
        <row r="367">
          <cell r="A367" t="str">
            <v>Ipiaçu</v>
          </cell>
        </row>
        <row r="368">
          <cell r="A368" t="str">
            <v>Ipuiúna</v>
          </cell>
        </row>
        <row r="369">
          <cell r="A369" t="str">
            <v>Iraí de Minas</v>
          </cell>
        </row>
        <row r="370">
          <cell r="A370" t="str">
            <v>Itabira</v>
          </cell>
        </row>
        <row r="371">
          <cell r="A371" t="str">
            <v>Itabirinha</v>
          </cell>
        </row>
        <row r="372">
          <cell r="A372" t="str">
            <v>Itabirito</v>
          </cell>
        </row>
        <row r="373">
          <cell r="A373" t="str">
            <v>Itacambira</v>
          </cell>
        </row>
        <row r="374">
          <cell r="A374" t="str">
            <v>Itacarambi</v>
          </cell>
        </row>
        <row r="375">
          <cell r="A375" t="str">
            <v>Itaguara</v>
          </cell>
        </row>
        <row r="376">
          <cell r="A376" t="str">
            <v>Itaipé</v>
          </cell>
        </row>
        <row r="377">
          <cell r="A377" t="str">
            <v>Itajubá</v>
          </cell>
        </row>
        <row r="378">
          <cell r="A378" t="str">
            <v>Itamarandiba</v>
          </cell>
        </row>
        <row r="379">
          <cell r="A379" t="str">
            <v>Itamarati de Minas</v>
          </cell>
        </row>
        <row r="380">
          <cell r="A380" t="str">
            <v>Itambacuri</v>
          </cell>
        </row>
        <row r="381">
          <cell r="A381" t="str">
            <v>Itambé do Mato Dentro</v>
          </cell>
        </row>
        <row r="382">
          <cell r="A382" t="str">
            <v>Itamogi</v>
          </cell>
        </row>
        <row r="383">
          <cell r="A383" t="str">
            <v>Itamonte</v>
          </cell>
        </row>
        <row r="384">
          <cell r="A384" t="str">
            <v>Itanhandu</v>
          </cell>
        </row>
        <row r="385">
          <cell r="A385" t="str">
            <v>Itanhomi</v>
          </cell>
        </row>
        <row r="386">
          <cell r="A386" t="str">
            <v>Itaobim</v>
          </cell>
        </row>
        <row r="387">
          <cell r="A387" t="str">
            <v>Itapagipe</v>
          </cell>
        </row>
        <row r="388">
          <cell r="A388" t="str">
            <v>Itapecerica</v>
          </cell>
        </row>
        <row r="389">
          <cell r="A389" t="str">
            <v>Itapeva</v>
          </cell>
        </row>
        <row r="390">
          <cell r="A390" t="str">
            <v>Itatiaiuçu</v>
          </cell>
        </row>
        <row r="391">
          <cell r="A391" t="str">
            <v>Itaú de Minas</v>
          </cell>
        </row>
        <row r="392">
          <cell r="A392" t="str">
            <v>Itaúna</v>
          </cell>
        </row>
        <row r="393">
          <cell r="A393" t="str">
            <v>Itaverava</v>
          </cell>
        </row>
        <row r="394">
          <cell r="A394" t="str">
            <v>Itinga</v>
          </cell>
        </row>
        <row r="395">
          <cell r="A395" t="str">
            <v>Itueta</v>
          </cell>
        </row>
        <row r="396">
          <cell r="A396" t="str">
            <v>Ituiutaba</v>
          </cell>
        </row>
        <row r="397">
          <cell r="A397" t="str">
            <v>Itumirim</v>
          </cell>
        </row>
        <row r="398">
          <cell r="A398" t="str">
            <v>Iturama</v>
          </cell>
        </row>
        <row r="399">
          <cell r="A399" t="str">
            <v>Itutinga</v>
          </cell>
        </row>
        <row r="400">
          <cell r="A400" t="str">
            <v>Jaboticatubas</v>
          </cell>
        </row>
        <row r="401">
          <cell r="A401" t="str">
            <v>Jacinto</v>
          </cell>
        </row>
        <row r="402">
          <cell r="A402" t="str">
            <v>Jacuí</v>
          </cell>
        </row>
        <row r="403">
          <cell r="A403" t="str">
            <v>Jacutinga</v>
          </cell>
        </row>
        <row r="404">
          <cell r="A404" t="str">
            <v>Jaguaraçu</v>
          </cell>
        </row>
        <row r="405">
          <cell r="A405" t="str">
            <v>Jaíba</v>
          </cell>
        </row>
        <row r="406">
          <cell r="A406" t="str">
            <v>Jampruca</v>
          </cell>
        </row>
        <row r="407">
          <cell r="A407" t="str">
            <v>Janaúba</v>
          </cell>
        </row>
        <row r="408">
          <cell r="A408" t="str">
            <v>Januária</v>
          </cell>
        </row>
        <row r="409">
          <cell r="A409" t="str">
            <v>Japaraíba</v>
          </cell>
        </row>
        <row r="410">
          <cell r="A410" t="str">
            <v>Japonvar</v>
          </cell>
        </row>
        <row r="411">
          <cell r="A411" t="str">
            <v>Jeceaba</v>
          </cell>
        </row>
        <row r="412">
          <cell r="A412" t="str">
            <v>Jenipapo de Minas</v>
          </cell>
        </row>
        <row r="413">
          <cell r="A413" t="str">
            <v>Jequeri</v>
          </cell>
        </row>
        <row r="414">
          <cell r="A414" t="str">
            <v>Jequitaí</v>
          </cell>
        </row>
        <row r="415">
          <cell r="A415" t="str">
            <v>Jequitibá</v>
          </cell>
        </row>
        <row r="416">
          <cell r="A416" t="str">
            <v>Jequitinhonha</v>
          </cell>
        </row>
        <row r="417">
          <cell r="A417" t="str">
            <v>Jesuânia</v>
          </cell>
        </row>
        <row r="418">
          <cell r="A418" t="str">
            <v>Joaíma</v>
          </cell>
        </row>
        <row r="419">
          <cell r="A419" t="str">
            <v>Joanésia</v>
          </cell>
        </row>
        <row r="420">
          <cell r="A420" t="str">
            <v>João Molevade</v>
          </cell>
        </row>
        <row r="421">
          <cell r="A421" t="str">
            <v>João Pinheiro</v>
          </cell>
        </row>
        <row r="422">
          <cell r="A422" t="str">
            <v>Joaquim Felício</v>
          </cell>
        </row>
        <row r="423">
          <cell r="A423" t="str">
            <v>Jordãnia</v>
          </cell>
        </row>
        <row r="424">
          <cell r="A424" t="str">
            <v>José Gonçalves de Minas</v>
          </cell>
        </row>
        <row r="425">
          <cell r="A425" t="str">
            <v>José Raydan</v>
          </cell>
        </row>
        <row r="426">
          <cell r="A426" t="str">
            <v>Josenópolis</v>
          </cell>
        </row>
        <row r="427">
          <cell r="A427" t="str">
            <v>Juatuba</v>
          </cell>
        </row>
        <row r="428">
          <cell r="A428" t="str">
            <v>Juiz de Fora (NÃO É NOSSA BASE)</v>
          </cell>
        </row>
        <row r="429">
          <cell r="A429" t="str">
            <v>Juramento</v>
          </cell>
        </row>
        <row r="430">
          <cell r="A430" t="str">
            <v>Juruaia</v>
          </cell>
        </row>
        <row r="431">
          <cell r="A431" t="str">
            <v>Juvenília</v>
          </cell>
        </row>
        <row r="432">
          <cell r="A432" t="str">
            <v>Ladainha</v>
          </cell>
        </row>
        <row r="433">
          <cell r="A433" t="str">
            <v>Lagamar</v>
          </cell>
        </row>
        <row r="434">
          <cell r="A434" t="str">
            <v>Lagoa da Prata</v>
          </cell>
        </row>
        <row r="435">
          <cell r="A435" t="str">
            <v>Lagoa dos Patos</v>
          </cell>
        </row>
        <row r="436">
          <cell r="A436" t="str">
            <v>Lagoa Dourada</v>
          </cell>
        </row>
        <row r="437">
          <cell r="A437" t="str">
            <v>Lagoa Formosa</v>
          </cell>
        </row>
        <row r="438">
          <cell r="A438" t="str">
            <v>Lagoa Grande</v>
          </cell>
        </row>
        <row r="439">
          <cell r="A439" t="str">
            <v>Lagoa Santa</v>
          </cell>
        </row>
        <row r="440">
          <cell r="A440" t="str">
            <v>Lajinha</v>
          </cell>
        </row>
        <row r="441">
          <cell r="A441" t="str">
            <v>Lambari</v>
          </cell>
        </row>
        <row r="442">
          <cell r="A442" t="str">
            <v>Lameirão do Parauna</v>
          </cell>
        </row>
        <row r="443">
          <cell r="A443" t="str">
            <v>Lamim</v>
          </cell>
        </row>
        <row r="444">
          <cell r="A444" t="str">
            <v>Laranjal</v>
          </cell>
        </row>
        <row r="445">
          <cell r="A445" t="str">
            <v>Lassance</v>
          </cell>
        </row>
        <row r="446">
          <cell r="A446" t="str">
            <v>Lavras</v>
          </cell>
        </row>
        <row r="447">
          <cell r="A447" t="str">
            <v>Leandro Ferreira</v>
          </cell>
        </row>
        <row r="448">
          <cell r="A448" t="str">
            <v>Leme do Prado</v>
          </cell>
        </row>
        <row r="449">
          <cell r="A449" t="str">
            <v>Leopoldina</v>
          </cell>
        </row>
        <row r="450">
          <cell r="A450" t="str">
            <v>Liberdade</v>
          </cell>
        </row>
        <row r="451">
          <cell r="A451" t="str">
            <v>Lima Duarte</v>
          </cell>
        </row>
        <row r="452">
          <cell r="A452" t="str">
            <v>Limeira do Oeste</v>
          </cell>
        </row>
        <row r="453">
          <cell r="A453" t="str">
            <v>Lontra</v>
          </cell>
        </row>
        <row r="454">
          <cell r="A454" t="str">
            <v>Luisburgo</v>
          </cell>
        </row>
        <row r="455">
          <cell r="A455" t="str">
            <v>Luislândia</v>
          </cell>
        </row>
        <row r="456">
          <cell r="A456" t="str">
            <v>Luminárias</v>
          </cell>
        </row>
        <row r="457">
          <cell r="A457" t="str">
            <v>Luz</v>
          </cell>
        </row>
        <row r="458">
          <cell r="A458" t="str">
            <v>Machacalis</v>
          </cell>
        </row>
        <row r="459">
          <cell r="A459" t="str">
            <v>Machado</v>
          </cell>
        </row>
        <row r="460">
          <cell r="A460" t="str">
            <v>Madre de Deus de Minas</v>
          </cell>
        </row>
        <row r="461">
          <cell r="A461" t="str">
            <v>Malacacheta</v>
          </cell>
        </row>
        <row r="462">
          <cell r="A462" t="str">
            <v>Mamonas</v>
          </cell>
        </row>
        <row r="463">
          <cell r="A463" t="str">
            <v>Manga</v>
          </cell>
        </row>
        <row r="464">
          <cell r="A464" t="str">
            <v>Mangabeiras</v>
          </cell>
        </row>
        <row r="465">
          <cell r="A465" t="str">
            <v>Manhuaçu</v>
          </cell>
        </row>
        <row r="466">
          <cell r="A466" t="str">
            <v>Manhumirim</v>
          </cell>
        </row>
        <row r="467">
          <cell r="A467" t="str">
            <v>Mantena</v>
          </cell>
        </row>
        <row r="468">
          <cell r="A468" t="str">
            <v>Mar da Espanha</v>
          </cell>
        </row>
        <row r="469">
          <cell r="A469" t="str">
            <v>Maravilhas</v>
          </cell>
        </row>
        <row r="470">
          <cell r="A470" t="str">
            <v>Maria da Fé</v>
          </cell>
        </row>
        <row r="471">
          <cell r="A471" t="str">
            <v>Mariana</v>
          </cell>
        </row>
        <row r="472">
          <cell r="A472" t="str">
            <v>Marilac</v>
          </cell>
        </row>
        <row r="473">
          <cell r="A473" t="str">
            <v>Mário Campos</v>
          </cell>
        </row>
        <row r="474">
          <cell r="A474" t="str">
            <v>Maripá de Minas</v>
          </cell>
        </row>
        <row r="475">
          <cell r="A475" t="str">
            <v>Marliéria</v>
          </cell>
        </row>
        <row r="476">
          <cell r="A476" t="str">
            <v>Marmelópolis</v>
          </cell>
        </row>
        <row r="477">
          <cell r="A477" t="str">
            <v>Martinho Campos</v>
          </cell>
        </row>
        <row r="478">
          <cell r="A478" t="str">
            <v>Martins Soares</v>
          </cell>
        </row>
        <row r="479">
          <cell r="A479" t="str">
            <v>Mascarenhas</v>
          </cell>
        </row>
        <row r="480">
          <cell r="A480" t="str">
            <v>Mata Verde</v>
          </cell>
        </row>
        <row r="481">
          <cell r="A481" t="str">
            <v>Materlândia</v>
          </cell>
        </row>
        <row r="482">
          <cell r="A482" t="str">
            <v>Mateus Leme</v>
          </cell>
        </row>
        <row r="483">
          <cell r="A483" t="str">
            <v>Mathias Lobato</v>
          </cell>
        </row>
        <row r="484">
          <cell r="A484" t="str">
            <v>Matias Barbosa</v>
          </cell>
        </row>
        <row r="485">
          <cell r="A485" t="str">
            <v>Matias Cardoso</v>
          </cell>
        </row>
        <row r="486">
          <cell r="A486" t="str">
            <v>Matipó</v>
          </cell>
        </row>
        <row r="487">
          <cell r="A487" t="str">
            <v>Mato verde</v>
          </cell>
        </row>
        <row r="488">
          <cell r="A488" t="str">
            <v>Matozinhos</v>
          </cell>
        </row>
        <row r="489">
          <cell r="A489" t="str">
            <v>Matutina</v>
          </cell>
        </row>
        <row r="490">
          <cell r="A490" t="str">
            <v>Medeiros</v>
          </cell>
        </row>
        <row r="491">
          <cell r="A491" t="str">
            <v>Medina</v>
          </cell>
        </row>
        <row r="492">
          <cell r="A492" t="str">
            <v>Mendes Pimentel</v>
          </cell>
        </row>
        <row r="493">
          <cell r="A493" t="str">
            <v>Mercês</v>
          </cell>
        </row>
        <row r="494">
          <cell r="A494" t="str">
            <v>Mesquita</v>
          </cell>
        </row>
        <row r="495">
          <cell r="A495" t="str">
            <v>Milho Verde</v>
          </cell>
        </row>
        <row r="496">
          <cell r="A496" t="str">
            <v>Minas Novas</v>
          </cell>
        </row>
        <row r="497">
          <cell r="A497" t="str">
            <v>Minduri</v>
          </cell>
        </row>
        <row r="498">
          <cell r="A498" t="str">
            <v>Mirabela</v>
          </cell>
        </row>
        <row r="499">
          <cell r="A499" t="str">
            <v>Miradouro</v>
          </cell>
        </row>
        <row r="500">
          <cell r="A500" t="str">
            <v>Miraí</v>
          </cell>
        </row>
        <row r="501">
          <cell r="A501" t="str">
            <v>Miravânia</v>
          </cell>
        </row>
        <row r="502">
          <cell r="A502" t="str">
            <v>Moeda</v>
          </cell>
        </row>
        <row r="503">
          <cell r="A503" t="str">
            <v>Moema</v>
          </cell>
        </row>
        <row r="504">
          <cell r="A504" t="str">
            <v>Moncambinho</v>
          </cell>
        </row>
        <row r="505">
          <cell r="A505" t="str">
            <v>Monjolos</v>
          </cell>
        </row>
        <row r="506">
          <cell r="A506" t="str">
            <v>Monsenhor Paulo</v>
          </cell>
        </row>
        <row r="507">
          <cell r="A507" t="str">
            <v>Montalvânia</v>
          </cell>
        </row>
        <row r="508">
          <cell r="A508" t="str">
            <v>Monte Alegre de Minas</v>
          </cell>
        </row>
        <row r="509">
          <cell r="A509" t="str">
            <v>Monte Azul</v>
          </cell>
        </row>
        <row r="510">
          <cell r="A510" t="str">
            <v>Monte Belo</v>
          </cell>
        </row>
        <row r="511">
          <cell r="A511" t="str">
            <v>Monte Carmelo</v>
          </cell>
        </row>
        <row r="512">
          <cell r="A512" t="str">
            <v>Monte Formoso</v>
          </cell>
        </row>
        <row r="513">
          <cell r="A513" t="str">
            <v>Monte Santo de Minas</v>
          </cell>
        </row>
        <row r="514">
          <cell r="A514" t="str">
            <v>Monte Sião</v>
          </cell>
        </row>
        <row r="515">
          <cell r="A515" t="str">
            <v>Monte Verde</v>
          </cell>
        </row>
        <row r="516">
          <cell r="A516" t="str">
            <v>Montes Claros</v>
          </cell>
        </row>
        <row r="517">
          <cell r="A517" t="str">
            <v>Montezuma</v>
          </cell>
        </row>
        <row r="518">
          <cell r="A518" t="str">
            <v>Morada Nova de Minas</v>
          </cell>
        </row>
        <row r="519">
          <cell r="A519" t="str">
            <v>Morro da Garça</v>
          </cell>
        </row>
        <row r="520">
          <cell r="A520" t="str">
            <v>Morro das Praças</v>
          </cell>
        </row>
        <row r="521">
          <cell r="A521" t="str">
            <v>Morro do Pilar</v>
          </cell>
        </row>
        <row r="522">
          <cell r="A522" t="str">
            <v>Munhoz</v>
          </cell>
        </row>
        <row r="523">
          <cell r="A523" t="str">
            <v>Muquem</v>
          </cell>
        </row>
        <row r="524">
          <cell r="A524" t="str">
            <v>Muriaé</v>
          </cell>
        </row>
        <row r="525">
          <cell r="A525" t="str">
            <v>Mutum</v>
          </cell>
        </row>
        <row r="526">
          <cell r="A526" t="str">
            <v>Muzambinho</v>
          </cell>
        </row>
        <row r="527">
          <cell r="A527" t="str">
            <v>Nacip Raydan</v>
          </cell>
        </row>
        <row r="528">
          <cell r="A528" t="str">
            <v>Nanuque</v>
          </cell>
        </row>
        <row r="529">
          <cell r="A529" t="str">
            <v>Naque</v>
          </cell>
        </row>
        <row r="530">
          <cell r="A530" t="str">
            <v>Natalândia</v>
          </cell>
        </row>
        <row r="531">
          <cell r="A531" t="str">
            <v>Natércia</v>
          </cell>
        </row>
        <row r="532">
          <cell r="A532" t="str">
            <v>Nazareno</v>
          </cell>
        </row>
        <row r="533">
          <cell r="A533" t="str">
            <v>Nepomuceno</v>
          </cell>
        </row>
        <row r="534">
          <cell r="A534" t="str">
            <v>Ninheira</v>
          </cell>
        </row>
        <row r="535">
          <cell r="A535" t="str">
            <v>Nova Belém</v>
          </cell>
        </row>
        <row r="536">
          <cell r="A536" t="str">
            <v>Nova Era</v>
          </cell>
        </row>
        <row r="537">
          <cell r="A537" t="str">
            <v>Nova Lima</v>
          </cell>
        </row>
        <row r="538">
          <cell r="A538" t="str">
            <v>Nova Módica</v>
          </cell>
        </row>
        <row r="539">
          <cell r="A539" t="str">
            <v>Nova Ponte</v>
          </cell>
        </row>
        <row r="540">
          <cell r="A540" t="str">
            <v>Nova Porteirinha</v>
          </cell>
        </row>
        <row r="541">
          <cell r="A541" t="str">
            <v>Nova Resende</v>
          </cell>
        </row>
        <row r="542">
          <cell r="A542" t="str">
            <v>Nova Serrana</v>
          </cell>
        </row>
        <row r="543">
          <cell r="A543" t="str">
            <v>Nova União</v>
          </cell>
        </row>
        <row r="544">
          <cell r="A544" t="str">
            <v>Novo Cruzeiro</v>
          </cell>
        </row>
        <row r="545">
          <cell r="A545" t="str">
            <v>Novo Oriente de Minas</v>
          </cell>
        </row>
        <row r="546">
          <cell r="A546" t="str">
            <v>Novorizonte</v>
          </cell>
        </row>
        <row r="547">
          <cell r="A547" t="str">
            <v>Olaria</v>
          </cell>
        </row>
        <row r="548">
          <cell r="A548" t="str">
            <v>Olhos d'Água</v>
          </cell>
        </row>
        <row r="549">
          <cell r="A549" t="str">
            <v>Olímpio Noronha</v>
          </cell>
        </row>
        <row r="550">
          <cell r="A550" t="str">
            <v>Oliveira</v>
          </cell>
        </row>
        <row r="551">
          <cell r="A551" t="str">
            <v>Oliveira Fortes</v>
          </cell>
        </row>
        <row r="552">
          <cell r="A552" t="str">
            <v>Onça de Pitangui</v>
          </cell>
        </row>
        <row r="553">
          <cell r="A553" t="str">
            <v>Oratórios</v>
          </cell>
        </row>
        <row r="554">
          <cell r="A554" t="str">
            <v>Orizânia</v>
          </cell>
        </row>
        <row r="555">
          <cell r="A555" t="str">
            <v>Ouro Branco</v>
          </cell>
        </row>
        <row r="556">
          <cell r="A556" t="str">
            <v>Ouro Fino</v>
          </cell>
        </row>
        <row r="557">
          <cell r="A557" t="str">
            <v>Ouro Preto</v>
          </cell>
        </row>
        <row r="558">
          <cell r="A558" t="str">
            <v>Ouro Verde de Minas</v>
          </cell>
        </row>
        <row r="559">
          <cell r="A559" t="str">
            <v>Padre Carvalho</v>
          </cell>
        </row>
        <row r="560">
          <cell r="A560" t="str">
            <v>Padre Paraíso</v>
          </cell>
        </row>
        <row r="561">
          <cell r="A561" t="str">
            <v>Pai Pedro</v>
          </cell>
        </row>
        <row r="562">
          <cell r="A562" t="str">
            <v>Paineiras</v>
          </cell>
        </row>
        <row r="563">
          <cell r="A563" t="str">
            <v>Pains</v>
          </cell>
        </row>
        <row r="564">
          <cell r="A564" t="str">
            <v>Paiol de Baixo/ Paiol de Cima</v>
          </cell>
        </row>
        <row r="565">
          <cell r="A565" t="str">
            <v>Paiva</v>
          </cell>
        </row>
        <row r="566">
          <cell r="A566" t="str">
            <v>Palma</v>
          </cell>
        </row>
        <row r="567">
          <cell r="A567" t="str">
            <v>Palmópolis</v>
          </cell>
        </row>
        <row r="568">
          <cell r="A568" t="str">
            <v>Papagaios</v>
          </cell>
        </row>
        <row r="569">
          <cell r="A569" t="str">
            <v>Pará de Minas</v>
          </cell>
        </row>
        <row r="570">
          <cell r="A570" t="str">
            <v>Paracatu</v>
          </cell>
        </row>
        <row r="571">
          <cell r="A571" t="str">
            <v>Paraguaçu</v>
          </cell>
        </row>
        <row r="572">
          <cell r="A572" t="str">
            <v>Paraisópolis</v>
          </cell>
        </row>
        <row r="573">
          <cell r="A573" t="str">
            <v>Paraopeba</v>
          </cell>
        </row>
        <row r="574">
          <cell r="A574" t="str">
            <v>Passa Quatro</v>
          </cell>
        </row>
        <row r="575">
          <cell r="A575" t="str">
            <v>Passa Tempo</v>
          </cell>
        </row>
        <row r="576">
          <cell r="A576" t="str">
            <v>Passabém</v>
          </cell>
        </row>
        <row r="577">
          <cell r="A577" t="str">
            <v>Passa-Vinte</v>
          </cell>
        </row>
        <row r="578">
          <cell r="A578" t="str">
            <v>Passos</v>
          </cell>
        </row>
        <row r="579">
          <cell r="A579" t="str">
            <v>Patis</v>
          </cell>
        </row>
        <row r="580">
          <cell r="A580" t="str">
            <v>Patos de Minas</v>
          </cell>
        </row>
        <row r="581">
          <cell r="A581" t="str">
            <v>Patrocínio</v>
          </cell>
        </row>
        <row r="582">
          <cell r="A582" t="str">
            <v>Patrocínio de Muriaé</v>
          </cell>
        </row>
        <row r="583">
          <cell r="A583" t="str">
            <v>Paula Cândido</v>
          </cell>
        </row>
        <row r="584">
          <cell r="A584" t="str">
            <v>Paulistas</v>
          </cell>
        </row>
        <row r="585">
          <cell r="A585" t="str">
            <v>Pavão</v>
          </cell>
        </row>
        <row r="586">
          <cell r="A586" t="str">
            <v>Peçanha</v>
          </cell>
        </row>
        <row r="587">
          <cell r="A587" t="str">
            <v>Pedra Azul</v>
          </cell>
        </row>
        <row r="588">
          <cell r="A588" t="str">
            <v>Pedra Bonita</v>
          </cell>
        </row>
        <row r="589">
          <cell r="A589" t="str">
            <v>Pedra do Anta</v>
          </cell>
        </row>
        <row r="590">
          <cell r="A590" t="str">
            <v>Pedra do Indaiá</v>
          </cell>
        </row>
        <row r="591">
          <cell r="A591" t="str">
            <v>Pedra Dourada</v>
          </cell>
        </row>
        <row r="592">
          <cell r="A592" t="str">
            <v>Pedralva</v>
          </cell>
        </row>
        <row r="593">
          <cell r="A593" t="str">
            <v>Pedras de Maria da Cruz</v>
          </cell>
        </row>
        <row r="594">
          <cell r="A594" t="str">
            <v>Pedrinópolis</v>
          </cell>
        </row>
        <row r="595">
          <cell r="A595" t="str">
            <v>Pedro Leopoldo</v>
          </cell>
        </row>
        <row r="596">
          <cell r="A596" t="str">
            <v>Pedro Teixeira</v>
          </cell>
        </row>
        <row r="597">
          <cell r="A597" t="str">
            <v>Pequeri</v>
          </cell>
        </row>
        <row r="598">
          <cell r="A598" t="str">
            <v>Pequi</v>
          </cell>
        </row>
        <row r="599">
          <cell r="A599" t="str">
            <v>Perdigão</v>
          </cell>
        </row>
        <row r="600">
          <cell r="A600" t="str">
            <v>Perdizes</v>
          </cell>
        </row>
        <row r="601">
          <cell r="A601" t="str">
            <v>Perdões</v>
          </cell>
        </row>
        <row r="602">
          <cell r="A602" t="str">
            <v>Periquito</v>
          </cell>
        </row>
        <row r="603">
          <cell r="A603" t="str">
            <v>Pescador</v>
          </cell>
        </row>
        <row r="604">
          <cell r="A604" t="str">
            <v>Piancó</v>
          </cell>
        </row>
        <row r="605">
          <cell r="A605" t="str">
            <v>Piau</v>
          </cell>
        </row>
        <row r="606">
          <cell r="A606" t="str">
            <v>Piedade de Caratinga</v>
          </cell>
        </row>
        <row r="607">
          <cell r="A607" t="str">
            <v>Piedade de Ponte Nova</v>
          </cell>
        </row>
        <row r="608">
          <cell r="A608" t="str">
            <v>Piedade do Rio Grande</v>
          </cell>
        </row>
        <row r="609">
          <cell r="A609" t="str">
            <v>Piedade dos Gerais</v>
          </cell>
        </row>
        <row r="610">
          <cell r="A610" t="str">
            <v>Pimenta</v>
          </cell>
        </row>
        <row r="611">
          <cell r="A611" t="str">
            <v>Pingo-d'Água</v>
          </cell>
        </row>
        <row r="612">
          <cell r="A612" t="str">
            <v>Pintópolis</v>
          </cell>
        </row>
        <row r="613">
          <cell r="A613" t="str">
            <v>Piracema</v>
          </cell>
        </row>
        <row r="614">
          <cell r="A614" t="str">
            <v>Pirajuba</v>
          </cell>
        </row>
        <row r="615">
          <cell r="A615" t="str">
            <v>Piranga</v>
          </cell>
        </row>
        <row r="616">
          <cell r="A616" t="str">
            <v>Piranguçu</v>
          </cell>
        </row>
        <row r="617">
          <cell r="A617" t="str">
            <v>Piranguinho</v>
          </cell>
        </row>
        <row r="618">
          <cell r="A618" t="str">
            <v>Pirapetinga</v>
          </cell>
        </row>
        <row r="619">
          <cell r="A619" t="str">
            <v>Pirapora</v>
          </cell>
        </row>
        <row r="620">
          <cell r="A620" t="str">
            <v>Piraúba</v>
          </cell>
        </row>
        <row r="621">
          <cell r="A621" t="str">
            <v>Pitangui</v>
          </cell>
        </row>
        <row r="622">
          <cell r="A622" t="str">
            <v>Piumhi</v>
          </cell>
        </row>
        <row r="623">
          <cell r="A623" t="str">
            <v>Planura</v>
          </cell>
        </row>
        <row r="624">
          <cell r="A624" t="str">
            <v>Poço Fundo</v>
          </cell>
        </row>
        <row r="625">
          <cell r="A625" t="str">
            <v>Poços de Caldas</v>
          </cell>
        </row>
        <row r="626">
          <cell r="A626" t="str">
            <v>Pocrane</v>
          </cell>
        </row>
        <row r="627">
          <cell r="A627" t="str">
            <v>Pompéu</v>
          </cell>
        </row>
        <row r="628">
          <cell r="A628" t="str">
            <v>Ponte Nova</v>
          </cell>
        </row>
        <row r="629">
          <cell r="A629" t="str">
            <v>Ponto Chique</v>
          </cell>
        </row>
        <row r="630">
          <cell r="A630" t="str">
            <v>Ponto dos Volantes</v>
          </cell>
        </row>
        <row r="631">
          <cell r="A631" t="str">
            <v>Porteirinha</v>
          </cell>
        </row>
        <row r="632">
          <cell r="A632" t="str">
            <v>Porto Firme</v>
          </cell>
        </row>
        <row r="633">
          <cell r="A633" t="str">
            <v>Poté</v>
          </cell>
        </row>
        <row r="634">
          <cell r="A634" t="str">
            <v>Pouso Alegre</v>
          </cell>
        </row>
        <row r="635">
          <cell r="A635" t="str">
            <v>Pouso Alto</v>
          </cell>
        </row>
        <row r="636">
          <cell r="A636" t="str">
            <v>Prados</v>
          </cell>
        </row>
        <row r="637">
          <cell r="A637" t="str">
            <v>Prata</v>
          </cell>
        </row>
        <row r="638">
          <cell r="A638" t="str">
            <v>Pratápolis</v>
          </cell>
        </row>
        <row r="639">
          <cell r="A639" t="str">
            <v>Pratinha</v>
          </cell>
        </row>
        <row r="640">
          <cell r="A640" t="str">
            <v>Presidente Bernardes</v>
          </cell>
        </row>
        <row r="641">
          <cell r="A641" t="str">
            <v>Presidente Juscelino</v>
          </cell>
        </row>
        <row r="642">
          <cell r="A642" t="str">
            <v>Presidente Kubitschek</v>
          </cell>
        </row>
        <row r="643">
          <cell r="A643" t="str">
            <v>Presidente Olegário</v>
          </cell>
        </row>
        <row r="644">
          <cell r="A644" t="str">
            <v>Prudente de Morais</v>
          </cell>
        </row>
        <row r="645">
          <cell r="A645" t="str">
            <v>Quartel Geral</v>
          </cell>
        </row>
        <row r="646">
          <cell r="A646" t="str">
            <v>Queluzito</v>
          </cell>
        </row>
        <row r="647">
          <cell r="A647" t="str">
            <v>Raiz</v>
          </cell>
        </row>
        <row r="648">
          <cell r="A648" t="str">
            <v>Raposos</v>
          </cell>
        </row>
        <row r="649">
          <cell r="A649" t="str">
            <v>Raul Soares</v>
          </cell>
        </row>
        <row r="650">
          <cell r="A650" t="str">
            <v>Recreio</v>
          </cell>
        </row>
        <row r="651">
          <cell r="A651" t="str">
            <v>Reduto</v>
          </cell>
        </row>
        <row r="652">
          <cell r="A652" t="str">
            <v>Resende Costa</v>
          </cell>
        </row>
        <row r="653">
          <cell r="A653" t="str">
            <v>Resplendor</v>
          </cell>
        </row>
        <row r="654">
          <cell r="A654" t="str">
            <v>Ressaquinha</v>
          </cell>
        </row>
        <row r="655">
          <cell r="A655" t="str">
            <v>Riachinho</v>
          </cell>
        </row>
        <row r="656">
          <cell r="A656" t="str">
            <v>Riacho dos Machados</v>
          </cell>
        </row>
        <row r="657">
          <cell r="A657" t="str">
            <v>Ribeirão das Neves</v>
          </cell>
        </row>
        <row r="658">
          <cell r="A658" t="str">
            <v>Ribeirão Vermelho</v>
          </cell>
        </row>
        <row r="659">
          <cell r="A659" t="str">
            <v>Rio Acima</v>
          </cell>
        </row>
        <row r="660">
          <cell r="A660" t="str">
            <v>Rio Casca</v>
          </cell>
        </row>
        <row r="661">
          <cell r="A661" t="str">
            <v>Rio do Prado</v>
          </cell>
        </row>
        <row r="662">
          <cell r="A662" t="str">
            <v>Rio Doce</v>
          </cell>
        </row>
        <row r="663">
          <cell r="A663" t="str">
            <v>Rio Espera</v>
          </cell>
        </row>
        <row r="664">
          <cell r="A664" t="str">
            <v>Rio Manso</v>
          </cell>
        </row>
        <row r="665">
          <cell r="A665" t="str">
            <v>Rio Novo</v>
          </cell>
        </row>
        <row r="666">
          <cell r="A666" t="str">
            <v>Rio Paranaíba</v>
          </cell>
        </row>
        <row r="667">
          <cell r="A667" t="str">
            <v>Rio Pardo de Minas</v>
          </cell>
        </row>
        <row r="668">
          <cell r="A668" t="str">
            <v>Rio Piracicaba</v>
          </cell>
        </row>
        <row r="669">
          <cell r="A669" t="str">
            <v>Rio Pomba</v>
          </cell>
        </row>
        <row r="670">
          <cell r="A670" t="str">
            <v>Rio Preto</v>
          </cell>
        </row>
        <row r="671">
          <cell r="A671" t="str">
            <v>Rio Vermelho</v>
          </cell>
        </row>
        <row r="672">
          <cell r="A672" t="str">
            <v>Ritápolis</v>
          </cell>
        </row>
        <row r="673">
          <cell r="A673" t="str">
            <v>Roça do Brejo</v>
          </cell>
        </row>
        <row r="674">
          <cell r="A674" t="str">
            <v>Rochedo de Minas</v>
          </cell>
        </row>
        <row r="675">
          <cell r="A675" t="str">
            <v>Rodeador</v>
          </cell>
        </row>
        <row r="676">
          <cell r="A676" t="str">
            <v>Rodeiro</v>
          </cell>
        </row>
        <row r="677">
          <cell r="A677" t="str">
            <v>Romaria</v>
          </cell>
        </row>
        <row r="678">
          <cell r="A678" t="str">
            <v>Rosário da Limeira</v>
          </cell>
        </row>
        <row r="679">
          <cell r="A679" t="str">
            <v>Rubelita</v>
          </cell>
        </row>
        <row r="680">
          <cell r="A680" t="str">
            <v>Rubim</v>
          </cell>
        </row>
        <row r="681">
          <cell r="A681" t="str">
            <v>Sabará</v>
          </cell>
        </row>
        <row r="682">
          <cell r="A682" t="str">
            <v>Sabinópolis</v>
          </cell>
        </row>
        <row r="683">
          <cell r="A683" t="str">
            <v>Saco Novo</v>
          </cell>
        </row>
        <row r="684">
          <cell r="A684" t="str">
            <v>Sacramento</v>
          </cell>
        </row>
        <row r="685">
          <cell r="A685" t="str">
            <v>Salinas</v>
          </cell>
        </row>
        <row r="686">
          <cell r="A686" t="str">
            <v>Salobo</v>
          </cell>
        </row>
        <row r="687">
          <cell r="A687" t="str">
            <v>Salto</v>
          </cell>
        </row>
        <row r="688">
          <cell r="A688" t="str">
            <v>Salto da Divisa</v>
          </cell>
        </row>
        <row r="689">
          <cell r="A689" t="str">
            <v>Santa Bárbara</v>
          </cell>
        </row>
        <row r="690">
          <cell r="A690" t="str">
            <v>Santa Bárbara do Leste</v>
          </cell>
        </row>
        <row r="691">
          <cell r="A691" t="str">
            <v>Santa Bárbara do Monte Verde</v>
          </cell>
        </row>
        <row r="692">
          <cell r="A692" t="str">
            <v>Santa Bárbara do Tugúrio</v>
          </cell>
        </row>
        <row r="693">
          <cell r="A693" t="str">
            <v>Santa Cruz de Minas</v>
          </cell>
        </row>
        <row r="694">
          <cell r="A694" t="str">
            <v>Santa Cruz de Salinas</v>
          </cell>
        </row>
        <row r="695">
          <cell r="A695" t="str">
            <v>Santa Cruz do Escalvado</v>
          </cell>
        </row>
        <row r="696">
          <cell r="A696" t="str">
            <v>Santa do Deserto</v>
          </cell>
        </row>
        <row r="697">
          <cell r="A697" t="str">
            <v>Santa Efigênia de Minas</v>
          </cell>
        </row>
        <row r="698">
          <cell r="A698" t="str">
            <v>Santa Fé de Minas</v>
          </cell>
        </row>
        <row r="699">
          <cell r="A699" t="str">
            <v>Santa Helena de Minas</v>
          </cell>
        </row>
        <row r="700">
          <cell r="A700" t="str">
            <v>Santa Juliana</v>
          </cell>
        </row>
        <row r="701">
          <cell r="A701" t="str">
            <v>Santa Luzia</v>
          </cell>
        </row>
        <row r="702">
          <cell r="A702" t="str">
            <v>Santa Margarida</v>
          </cell>
        </row>
        <row r="703">
          <cell r="A703" t="str">
            <v>Santa Maria</v>
          </cell>
        </row>
        <row r="704">
          <cell r="A704" t="str">
            <v>Santa Maria de Itabira</v>
          </cell>
        </row>
        <row r="705">
          <cell r="A705" t="str">
            <v>Santa Maria do Salto</v>
          </cell>
        </row>
        <row r="706">
          <cell r="A706" t="str">
            <v>Santa Maria do Suaçui</v>
          </cell>
        </row>
        <row r="707">
          <cell r="A707" t="str">
            <v>Santa Rita de Caldas</v>
          </cell>
        </row>
        <row r="708">
          <cell r="A708" t="str">
            <v>Santa Rita de Ibitipoca</v>
          </cell>
        </row>
        <row r="709">
          <cell r="A709" t="str">
            <v>Santa Rita de Jacutinga</v>
          </cell>
        </row>
        <row r="710">
          <cell r="A710" t="str">
            <v>Santa Rita de Minas</v>
          </cell>
        </row>
        <row r="711">
          <cell r="A711" t="str">
            <v>Santa Rita do Cedro</v>
          </cell>
        </row>
        <row r="712">
          <cell r="A712" t="str">
            <v>Santa Rita do Itueto</v>
          </cell>
        </row>
        <row r="713">
          <cell r="A713" t="str">
            <v>Santa Rita do Sapucai</v>
          </cell>
        </row>
        <row r="714">
          <cell r="A714" t="str">
            <v>Santa Rosa da Serra</v>
          </cell>
        </row>
        <row r="715">
          <cell r="A715" t="str">
            <v>Santa Vitória</v>
          </cell>
        </row>
        <row r="716">
          <cell r="A716" t="str">
            <v>Santana da Vargem</v>
          </cell>
        </row>
        <row r="717">
          <cell r="A717" t="str">
            <v>Santana de Cataguases</v>
          </cell>
        </row>
        <row r="718">
          <cell r="A718" t="str">
            <v>Santana de Pirapama</v>
          </cell>
        </row>
        <row r="719">
          <cell r="A719" t="str">
            <v>Santana do Guarambéu</v>
          </cell>
        </row>
        <row r="720">
          <cell r="A720" t="str">
            <v>Santana do Jararé</v>
          </cell>
        </row>
        <row r="721">
          <cell r="A721" t="str">
            <v>Santana do Manhuaçu</v>
          </cell>
        </row>
        <row r="722">
          <cell r="A722" t="str">
            <v>Santana do Paraiso</v>
          </cell>
        </row>
        <row r="723">
          <cell r="A723" t="str">
            <v>Santana do Riacho</v>
          </cell>
        </row>
        <row r="724">
          <cell r="A724" t="str">
            <v>Santana dos Montes</v>
          </cell>
        </row>
        <row r="725">
          <cell r="A725" t="str">
            <v>Santo Antônio do Amparo</v>
          </cell>
        </row>
        <row r="726">
          <cell r="A726" t="str">
            <v>Santo Antônio do Aventureiro</v>
          </cell>
        </row>
        <row r="727">
          <cell r="A727" t="str">
            <v>Santo Antônio do Grama</v>
          </cell>
        </row>
        <row r="728">
          <cell r="A728" t="str">
            <v>Santo Antônio do Itambé</v>
          </cell>
        </row>
        <row r="729">
          <cell r="A729" t="str">
            <v>Santo Antônio do Jacinto</v>
          </cell>
        </row>
        <row r="730">
          <cell r="A730" t="str">
            <v>Santo Antônio do Monte</v>
          </cell>
        </row>
        <row r="731">
          <cell r="A731" t="str">
            <v>Santo Antônio do Retiro</v>
          </cell>
        </row>
        <row r="732">
          <cell r="A732" t="str">
            <v>Santo Antônio Rio Abaixo</v>
          </cell>
        </row>
        <row r="733">
          <cell r="A733" t="str">
            <v>Santo das Flores</v>
          </cell>
        </row>
        <row r="734">
          <cell r="A734" t="str">
            <v>Santo Hipólito</v>
          </cell>
        </row>
        <row r="735">
          <cell r="A735" t="str">
            <v>Santos Dumont</v>
          </cell>
        </row>
        <row r="736">
          <cell r="A736" t="str">
            <v>São Bento Abade</v>
          </cell>
        </row>
        <row r="737">
          <cell r="A737" t="str">
            <v>São Brás do Suaçui</v>
          </cell>
        </row>
        <row r="738">
          <cell r="A738" t="str">
            <v>São Domingos das Dores</v>
          </cell>
        </row>
        <row r="739">
          <cell r="A739" t="str">
            <v>São Domingos do Prata</v>
          </cell>
        </row>
        <row r="740">
          <cell r="A740" t="str">
            <v>São Felix de Minas</v>
          </cell>
        </row>
        <row r="741">
          <cell r="A741" t="str">
            <v>São Francisco</v>
          </cell>
        </row>
        <row r="742">
          <cell r="A742" t="str">
            <v>São Francisco de Paula</v>
          </cell>
        </row>
        <row r="743">
          <cell r="A743" t="str">
            <v>São Francisco de Sales</v>
          </cell>
        </row>
        <row r="744">
          <cell r="A744" t="str">
            <v>São Francisco do Glória</v>
          </cell>
        </row>
        <row r="745">
          <cell r="A745" t="str">
            <v>São Geraldo</v>
          </cell>
        </row>
        <row r="746">
          <cell r="A746" t="str">
            <v>São Geraldo da Piedade</v>
          </cell>
        </row>
        <row r="747">
          <cell r="A747" t="str">
            <v>São Geraldo do Baixio</v>
          </cell>
        </row>
        <row r="748">
          <cell r="A748" t="str">
            <v>São Gonçalo do Abaeté</v>
          </cell>
        </row>
        <row r="749">
          <cell r="A749" t="str">
            <v>São Gonçalo do Pará</v>
          </cell>
        </row>
        <row r="750">
          <cell r="A750" t="str">
            <v>São Gonçalo do Rio Abaixo</v>
          </cell>
        </row>
        <row r="751">
          <cell r="A751" t="str">
            <v>São Gonçalo do Rio Preto</v>
          </cell>
        </row>
        <row r="752">
          <cell r="A752" t="str">
            <v>São Gonçalo do Sapucaí</v>
          </cell>
        </row>
        <row r="753">
          <cell r="A753" t="str">
            <v>São Gotardo</v>
          </cell>
        </row>
        <row r="754">
          <cell r="A754" t="str">
            <v>São João Batista do Glória</v>
          </cell>
        </row>
        <row r="755">
          <cell r="A755" t="str">
            <v>São João da Lagoa</v>
          </cell>
        </row>
        <row r="756">
          <cell r="A756" t="str">
            <v>São João da Lapa</v>
          </cell>
        </row>
        <row r="757">
          <cell r="A757" t="str">
            <v>São João da Mata</v>
          </cell>
        </row>
        <row r="758">
          <cell r="A758" t="str">
            <v>São João da Ponte</v>
          </cell>
        </row>
        <row r="759">
          <cell r="A759" t="str">
            <v>São João das Missões</v>
          </cell>
        </row>
        <row r="760">
          <cell r="A760" t="str">
            <v>São João de Bicas</v>
          </cell>
        </row>
        <row r="761">
          <cell r="A761" t="str">
            <v>São João Del Rei</v>
          </cell>
        </row>
        <row r="762">
          <cell r="A762" t="str">
            <v>São João do Manhuaçu</v>
          </cell>
        </row>
        <row r="763">
          <cell r="A763" t="str">
            <v>São João do Manteninha</v>
          </cell>
        </row>
        <row r="764">
          <cell r="A764" t="str">
            <v>São João do Oriente</v>
          </cell>
        </row>
        <row r="765">
          <cell r="A765" t="str">
            <v>São João do Pacuí</v>
          </cell>
        </row>
        <row r="766">
          <cell r="A766" t="str">
            <v>São João do Paraíso</v>
          </cell>
        </row>
        <row r="767">
          <cell r="A767" t="str">
            <v>São João Evangelista</v>
          </cell>
        </row>
        <row r="768">
          <cell r="A768" t="str">
            <v>São João Nepomuceno</v>
          </cell>
        </row>
        <row r="769">
          <cell r="A769" t="str">
            <v>São Joaquim de Bicas</v>
          </cell>
        </row>
        <row r="770">
          <cell r="A770" t="str">
            <v>São José da Barra</v>
          </cell>
        </row>
        <row r="771">
          <cell r="A771" t="str">
            <v>São José da Lapa</v>
          </cell>
        </row>
        <row r="772">
          <cell r="A772" t="str">
            <v>São José da Safira</v>
          </cell>
        </row>
        <row r="773">
          <cell r="A773" t="str">
            <v>São José da Varginha</v>
          </cell>
        </row>
        <row r="774">
          <cell r="A774" t="str">
            <v>São José do Alegre</v>
          </cell>
        </row>
        <row r="775">
          <cell r="A775" t="str">
            <v>São José do Divino</v>
          </cell>
        </row>
        <row r="776">
          <cell r="A776" t="str">
            <v>São José do Goiabal</v>
          </cell>
        </row>
        <row r="777">
          <cell r="A777" t="str">
            <v>São José do Jacuri</v>
          </cell>
        </row>
        <row r="778">
          <cell r="A778" t="str">
            <v>São José do Mantimento</v>
          </cell>
        </row>
        <row r="779">
          <cell r="A779" t="str">
            <v>São Lourenço</v>
          </cell>
        </row>
        <row r="780">
          <cell r="A780" t="str">
            <v>São Miguel do Anta</v>
          </cell>
        </row>
        <row r="781">
          <cell r="A781" t="str">
            <v>São Pedro da União</v>
          </cell>
        </row>
        <row r="782">
          <cell r="A782" t="str">
            <v>São Pedro do Suaçuí</v>
          </cell>
        </row>
        <row r="783">
          <cell r="A783" t="str">
            <v>São Pedro dos Ferros</v>
          </cell>
        </row>
        <row r="784">
          <cell r="A784" t="str">
            <v>São Romão</v>
          </cell>
        </row>
        <row r="785">
          <cell r="A785" t="str">
            <v>São Roque de Minas</v>
          </cell>
        </row>
        <row r="786">
          <cell r="A786" t="str">
            <v>São Sebastião da Bela Vista</v>
          </cell>
        </row>
        <row r="787">
          <cell r="A787" t="str">
            <v>São Sebastião da Vargem Alegre</v>
          </cell>
        </row>
        <row r="788">
          <cell r="A788" t="str">
            <v>São Sebastião do Anta</v>
          </cell>
        </row>
        <row r="789">
          <cell r="A789" t="str">
            <v>São Sebastião do Maranhão</v>
          </cell>
        </row>
        <row r="790">
          <cell r="A790" t="str">
            <v>São Sebastião do Oeste</v>
          </cell>
        </row>
        <row r="791">
          <cell r="A791" t="str">
            <v>São Sebastião do Paraíso</v>
          </cell>
        </row>
        <row r="792">
          <cell r="A792" t="str">
            <v>São Sebastião do Rio Preto</v>
          </cell>
        </row>
        <row r="793">
          <cell r="A793" t="str">
            <v>São Sebastião do Rio Verde</v>
          </cell>
        </row>
        <row r="794">
          <cell r="A794" t="str">
            <v>São Thomé das Letras</v>
          </cell>
        </row>
        <row r="795">
          <cell r="A795" t="str">
            <v>São Tiago</v>
          </cell>
        </row>
        <row r="796">
          <cell r="A796" t="str">
            <v>São Tomás de Aquino</v>
          </cell>
        </row>
        <row r="797">
          <cell r="A797" t="str">
            <v>São Vicente de Minas</v>
          </cell>
        </row>
        <row r="798">
          <cell r="A798" t="str">
            <v>Sapucaí-Mirim</v>
          </cell>
        </row>
        <row r="799">
          <cell r="A799" t="str">
            <v>Sardoá</v>
          </cell>
        </row>
        <row r="800">
          <cell r="A800" t="str">
            <v>Sarzedo</v>
          </cell>
        </row>
        <row r="801">
          <cell r="A801" t="str">
            <v>Sem-Peixe</v>
          </cell>
        </row>
        <row r="802">
          <cell r="A802" t="str">
            <v>Senador Amaral</v>
          </cell>
        </row>
        <row r="803">
          <cell r="A803" t="str">
            <v>Senador Cortes</v>
          </cell>
        </row>
        <row r="804">
          <cell r="A804" t="str">
            <v>Senador Firmino</v>
          </cell>
        </row>
        <row r="805">
          <cell r="A805" t="str">
            <v>Senador José Bento</v>
          </cell>
        </row>
        <row r="806">
          <cell r="A806" t="str">
            <v>Senador Modestino Gonçalves</v>
          </cell>
        </row>
        <row r="807">
          <cell r="A807" t="str">
            <v>Senhora de Oliveira</v>
          </cell>
        </row>
        <row r="808">
          <cell r="A808" t="str">
            <v>Senhora do Porto</v>
          </cell>
        </row>
        <row r="809">
          <cell r="A809" t="str">
            <v>Senhora dos Remédios</v>
          </cell>
        </row>
        <row r="810">
          <cell r="A810" t="str">
            <v>Sericita</v>
          </cell>
        </row>
        <row r="811">
          <cell r="A811" t="str">
            <v>Seritinga</v>
          </cell>
        </row>
        <row r="812">
          <cell r="A812" t="str">
            <v>Serra Azul de Minas</v>
          </cell>
        </row>
        <row r="813">
          <cell r="A813" t="str">
            <v>Serra da Saudade</v>
          </cell>
        </row>
        <row r="814">
          <cell r="A814" t="str">
            <v>Serra das Araras</v>
          </cell>
        </row>
        <row r="815">
          <cell r="A815" t="str">
            <v>Serra do Salitre</v>
          </cell>
        </row>
        <row r="816">
          <cell r="A816" t="str">
            <v>Serra dos Aimorés</v>
          </cell>
        </row>
        <row r="817">
          <cell r="A817" t="str">
            <v>Serrania</v>
          </cell>
        </row>
        <row r="818">
          <cell r="A818" t="str">
            <v>Serranópolis de Minas</v>
          </cell>
        </row>
        <row r="819">
          <cell r="A819" t="str">
            <v>Serranos</v>
          </cell>
        </row>
        <row r="820">
          <cell r="A820" t="str">
            <v>Serro</v>
          </cell>
        </row>
        <row r="821">
          <cell r="A821" t="str">
            <v>Sete Lagoas</v>
          </cell>
        </row>
        <row r="822">
          <cell r="A822" t="str">
            <v>Setubinha</v>
          </cell>
        </row>
        <row r="823">
          <cell r="A823" t="str">
            <v>Silveirânia</v>
          </cell>
        </row>
        <row r="824">
          <cell r="A824" t="str">
            <v>Silvianópolis</v>
          </cell>
        </row>
        <row r="825">
          <cell r="A825" t="str">
            <v>Simão Pereira</v>
          </cell>
        </row>
        <row r="826">
          <cell r="A826" t="str">
            <v>Simonésia</v>
          </cell>
        </row>
        <row r="827">
          <cell r="A827" t="str">
            <v>Sobrália</v>
          </cell>
        </row>
        <row r="828">
          <cell r="A828" t="str">
            <v>Soledade de Minas</v>
          </cell>
        </row>
        <row r="829">
          <cell r="A829" t="str">
            <v>Tabuleiro</v>
          </cell>
        </row>
        <row r="830">
          <cell r="A830" t="str">
            <v>Taiobeiras</v>
          </cell>
        </row>
        <row r="831">
          <cell r="A831" t="str">
            <v>Taparuba</v>
          </cell>
        </row>
        <row r="832">
          <cell r="A832" t="str">
            <v>Tapira</v>
          </cell>
        </row>
        <row r="833">
          <cell r="A833" t="str">
            <v>Tapiraí</v>
          </cell>
        </row>
        <row r="834">
          <cell r="A834" t="str">
            <v>Taquaraçu de Minas</v>
          </cell>
        </row>
        <row r="835">
          <cell r="A835" t="str">
            <v>Tarumirim</v>
          </cell>
        </row>
        <row r="836">
          <cell r="A836" t="str">
            <v>Teixeiras</v>
          </cell>
        </row>
        <row r="837">
          <cell r="A837" t="str">
            <v>Teófilo Otoni</v>
          </cell>
        </row>
        <row r="838">
          <cell r="A838" t="str">
            <v>Timóteo</v>
          </cell>
        </row>
        <row r="839">
          <cell r="A839" t="str">
            <v>Tiradentes</v>
          </cell>
        </row>
        <row r="840">
          <cell r="A840" t="str">
            <v>Tiros</v>
          </cell>
        </row>
        <row r="841">
          <cell r="A841" t="str">
            <v>Tocantins</v>
          </cell>
        </row>
        <row r="842">
          <cell r="A842" t="str">
            <v>Tocos do Moji</v>
          </cell>
        </row>
        <row r="843">
          <cell r="A843" t="str">
            <v>Toledo</v>
          </cell>
        </row>
        <row r="844">
          <cell r="A844" t="str">
            <v>Tombos</v>
          </cell>
        </row>
        <row r="845">
          <cell r="A845" t="str">
            <v>Três Corações</v>
          </cell>
        </row>
        <row r="846">
          <cell r="A846" t="str">
            <v>Três Marias</v>
          </cell>
        </row>
        <row r="847">
          <cell r="A847" t="str">
            <v>Três Pontas</v>
          </cell>
        </row>
        <row r="848">
          <cell r="A848" t="str">
            <v>Tumiritinga</v>
          </cell>
        </row>
        <row r="849">
          <cell r="A849" t="str">
            <v>Tupaciguara</v>
          </cell>
        </row>
        <row r="850">
          <cell r="A850" t="str">
            <v>Turmalina</v>
          </cell>
        </row>
        <row r="851">
          <cell r="A851" t="str">
            <v>Turvolândia</v>
          </cell>
        </row>
        <row r="852">
          <cell r="A852" t="str">
            <v>Ubá</v>
          </cell>
        </row>
        <row r="853">
          <cell r="A853" t="str">
            <v>Ubaí</v>
          </cell>
        </row>
        <row r="854">
          <cell r="A854" t="str">
            <v>Ubaporanga</v>
          </cell>
        </row>
        <row r="855">
          <cell r="A855" t="str">
            <v>Uberaba</v>
          </cell>
        </row>
        <row r="856">
          <cell r="A856" t="str">
            <v>Uberlândia</v>
          </cell>
        </row>
        <row r="857">
          <cell r="A857" t="str">
            <v>Umburatiba</v>
          </cell>
        </row>
        <row r="858">
          <cell r="A858" t="str">
            <v>Unaí</v>
          </cell>
        </row>
        <row r="859">
          <cell r="A859" t="str">
            <v>União de Minas</v>
          </cell>
        </row>
        <row r="860">
          <cell r="A860" t="str">
            <v>Uruana de Minas</v>
          </cell>
        </row>
        <row r="861">
          <cell r="A861" t="str">
            <v>Urucânia</v>
          </cell>
        </row>
        <row r="862">
          <cell r="A862" t="str">
            <v>Urucuia</v>
          </cell>
        </row>
        <row r="863">
          <cell r="A863" t="str">
            <v>Vale Fundo</v>
          </cell>
        </row>
        <row r="864">
          <cell r="A864" t="str">
            <v>Várgea de Cima</v>
          </cell>
        </row>
        <row r="865">
          <cell r="A865" t="str">
            <v>Vargem Alegre</v>
          </cell>
        </row>
        <row r="866">
          <cell r="A866" t="str">
            <v>Vargem Bonita</v>
          </cell>
        </row>
        <row r="867">
          <cell r="A867" t="str">
            <v>Vargem da Lapa</v>
          </cell>
        </row>
        <row r="868">
          <cell r="A868" t="str">
            <v>Vargem Grande do Rio Pardo</v>
          </cell>
        </row>
        <row r="869">
          <cell r="A869" t="str">
            <v>Varginha</v>
          </cell>
        </row>
        <row r="870">
          <cell r="A870" t="str">
            <v>Varjão de Minas</v>
          </cell>
        </row>
        <row r="871">
          <cell r="A871" t="str">
            <v>Várzea da Palma</v>
          </cell>
        </row>
        <row r="872">
          <cell r="A872" t="str">
            <v>Varzelãndia</v>
          </cell>
        </row>
        <row r="873">
          <cell r="A873" t="str">
            <v>Vazante</v>
          </cell>
        </row>
        <row r="874">
          <cell r="A874" t="str">
            <v>Verdelândia</v>
          </cell>
        </row>
        <row r="875">
          <cell r="A875" t="str">
            <v>Veredinha</v>
          </cell>
        </row>
        <row r="876">
          <cell r="A876" t="str">
            <v>Veríssimo</v>
          </cell>
        </row>
        <row r="877">
          <cell r="A877" t="str">
            <v>Vermelho Novo</v>
          </cell>
        </row>
        <row r="878">
          <cell r="A878" t="str">
            <v>Vespasiano</v>
          </cell>
        </row>
        <row r="879">
          <cell r="A879" t="str">
            <v>Viçosa</v>
          </cell>
        </row>
        <row r="880">
          <cell r="A880" t="str">
            <v>Vieiras</v>
          </cell>
        </row>
        <row r="881">
          <cell r="A881" t="str">
            <v>Vila Fátima</v>
          </cell>
        </row>
        <row r="882">
          <cell r="A882" t="str">
            <v>Vila São Joaquim</v>
          </cell>
        </row>
        <row r="883">
          <cell r="A883" t="str">
            <v>Virgem da Lapa</v>
          </cell>
        </row>
        <row r="884">
          <cell r="A884" t="str">
            <v>Virgínia</v>
          </cell>
        </row>
        <row r="885">
          <cell r="A885" t="str">
            <v>Virginópolis</v>
          </cell>
        </row>
        <row r="886">
          <cell r="A886" t="str">
            <v>Virgolâdia</v>
          </cell>
        </row>
        <row r="887">
          <cell r="A887" t="str">
            <v>Visconde do Rio Branco</v>
          </cell>
        </row>
        <row r="888">
          <cell r="A888" t="str">
            <v>Volta Grande</v>
          </cell>
        </row>
        <row r="889">
          <cell r="A889" t="str">
            <v>Wenceslau Braz</v>
          </cell>
        </row>
        <row r="890">
          <cell r="A890" t="str">
            <v>SINDILIMPE-ES/Geral</v>
          </cell>
        </row>
        <row r="891">
          <cell r="A891" t="str">
            <v>SINTTEL-MG/Geral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orrências Mensais - FAT"/>
      <sheetName val="Resumo"/>
      <sheetName val="INSTRUÇÕES"/>
      <sheetName val="Dados"/>
      <sheetName val="Encargos"/>
      <sheetName val="Equipamentos"/>
      <sheetName val="Licenças"/>
      <sheetName val="Cotações"/>
      <sheetName val="NS SENIOR 200"/>
      <sheetName val="NS PLENO 200"/>
      <sheetName val="NS JUNIOR 200"/>
      <sheetName val="NM TECNICO SR 200"/>
      <sheetName val="NM TECNICO PL 200"/>
      <sheetName val="Custo Estimativo Substituto"/>
      <sheetName val="ART"/>
      <sheetName val="V.T e V.A - Extra"/>
      <sheetName val="IP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3">
          <cell r="D43">
            <v>2054.33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59999389629810485"/>
  </sheetPr>
  <dimension ref="A1:AMJ115"/>
  <sheetViews>
    <sheetView showGridLines="0" topLeftCell="A61" zoomScale="90" zoomScaleNormal="90" workbookViewId="0">
      <pane xSplit="2" topLeftCell="E1" activePane="topRight" state="frozen"/>
      <selection pane="topRight" activeCell="E8" sqref="E8"/>
    </sheetView>
  </sheetViews>
  <sheetFormatPr defaultColWidth="9.33203125" defaultRowHeight="15" x14ac:dyDescent="0.25"/>
  <cols>
    <col min="1" max="1" width="7.33203125" style="14" customWidth="1"/>
    <col min="2" max="2" width="48.33203125" style="14" customWidth="1"/>
    <col min="3" max="3" width="17.1640625" style="14" bestFit="1" customWidth="1"/>
    <col min="4" max="4" width="19" style="14" customWidth="1"/>
    <col min="5" max="5" width="19.1640625" style="14" customWidth="1"/>
    <col min="6" max="8" width="19" style="14" customWidth="1"/>
    <col min="9" max="9" width="18.33203125" style="14" customWidth="1"/>
    <col min="10" max="11" width="19" style="14" customWidth="1"/>
    <col min="12" max="14" width="16.1640625" style="97" customWidth="1"/>
    <col min="15" max="15" width="15.1640625" style="97" customWidth="1"/>
    <col min="16" max="16" width="15.83203125" style="14" customWidth="1"/>
    <col min="17" max="17" width="18.33203125" style="14" customWidth="1"/>
    <col min="18" max="18" width="16.5" style="14" customWidth="1"/>
    <col min="19" max="19" width="14" style="14" customWidth="1"/>
    <col min="20" max="20" width="15.1640625" style="98" customWidth="1"/>
    <col min="21" max="21" width="13.83203125" style="98" customWidth="1"/>
    <col min="22" max="22" width="18.6640625" style="98" customWidth="1"/>
    <col min="23" max="23" width="14.33203125" style="98" customWidth="1"/>
    <col min="24" max="25" width="12.33203125" style="98" customWidth="1"/>
    <col min="26" max="258" width="9.33203125" style="14"/>
    <col min="259" max="259" width="7.33203125" style="14" customWidth="1"/>
    <col min="260" max="260" width="48.33203125" style="14" customWidth="1"/>
    <col min="261" max="261" width="9.1640625" style="14" customWidth="1"/>
    <col min="262" max="262" width="19" style="14" customWidth="1"/>
    <col min="263" max="263" width="15" style="14" customWidth="1"/>
    <col min="264" max="265" width="19" style="14" customWidth="1"/>
    <col min="266" max="266" width="15.5" style="14" customWidth="1"/>
    <col min="267" max="268" width="19" style="14" customWidth="1"/>
    <col min="269" max="270" width="16.1640625" style="14" customWidth="1"/>
    <col min="271" max="271" width="15.1640625" style="14" customWidth="1"/>
    <col min="272" max="272" width="15.83203125" style="14" customWidth="1"/>
    <col min="273" max="273" width="15" style="14" customWidth="1"/>
    <col min="274" max="274" width="16.5" style="14" customWidth="1"/>
    <col min="275" max="275" width="14" style="14" customWidth="1"/>
    <col min="276" max="276" width="15.1640625" style="14" customWidth="1"/>
    <col min="277" max="277" width="13.83203125" style="14" customWidth="1"/>
    <col min="278" max="278" width="15.5" style="14" customWidth="1"/>
    <col min="279" max="279" width="14.33203125" style="14" customWidth="1"/>
    <col min="280" max="281" width="12.33203125" style="14" customWidth="1"/>
    <col min="282" max="514" width="9.33203125" style="14"/>
    <col min="515" max="515" width="7.33203125" style="14" customWidth="1"/>
    <col min="516" max="516" width="48.33203125" style="14" customWidth="1"/>
    <col min="517" max="517" width="9.1640625" style="14" customWidth="1"/>
    <col min="518" max="518" width="19" style="14" customWidth="1"/>
    <col min="519" max="519" width="15" style="14" customWidth="1"/>
    <col min="520" max="521" width="19" style="14" customWidth="1"/>
    <col min="522" max="522" width="15.5" style="14" customWidth="1"/>
    <col min="523" max="524" width="19" style="14" customWidth="1"/>
    <col min="525" max="526" width="16.1640625" style="14" customWidth="1"/>
    <col min="527" max="527" width="15.1640625" style="14" customWidth="1"/>
    <col min="528" max="528" width="15.83203125" style="14" customWidth="1"/>
    <col min="529" max="529" width="15" style="14" customWidth="1"/>
    <col min="530" max="530" width="16.5" style="14" customWidth="1"/>
    <col min="531" max="531" width="14" style="14" customWidth="1"/>
    <col min="532" max="532" width="15.1640625" style="14" customWidth="1"/>
    <col min="533" max="533" width="13.83203125" style="14" customWidth="1"/>
    <col min="534" max="534" width="15.5" style="14" customWidth="1"/>
    <col min="535" max="535" width="14.33203125" style="14" customWidth="1"/>
    <col min="536" max="537" width="12.33203125" style="14" customWidth="1"/>
    <col min="538" max="770" width="9.33203125" style="14"/>
    <col min="771" max="771" width="7.33203125" style="14" customWidth="1"/>
    <col min="772" max="772" width="48.33203125" style="14" customWidth="1"/>
    <col min="773" max="773" width="9.1640625" style="14" customWidth="1"/>
    <col min="774" max="774" width="19" style="14" customWidth="1"/>
    <col min="775" max="775" width="15" style="14" customWidth="1"/>
    <col min="776" max="777" width="19" style="14" customWidth="1"/>
    <col min="778" max="778" width="15.5" style="14" customWidth="1"/>
    <col min="779" max="780" width="19" style="14" customWidth="1"/>
    <col min="781" max="782" width="16.1640625" style="14" customWidth="1"/>
    <col min="783" max="783" width="15.1640625" style="14" customWidth="1"/>
    <col min="784" max="784" width="15.83203125" style="14" customWidth="1"/>
    <col min="785" max="785" width="15" style="14" customWidth="1"/>
    <col min="786" max="786" width="16.5" style="14" customWidth="1"/>
    <col min="787" max="787" width="14" style="14" customWidth="1"/>
    <col min="788" max="788" width="15.1640625" style="14" customWidth="1"/>
    <col min="789" max="789" width="13.83203125" style="14" customWidth="1"/>
    <col min="790" max="790" width="15.5" style="14" customWidth="1"/>
    <col min="791" max="791" width="14.33203125" style="14" customWidth="1"/>
    <col min="792" max="793" width="12.33203125" style="14" customWidth="1"/>
    <col min="794" max="1024" width="9.33203125" style="14"/>
  </cols>
  <sheetData>
    <row r="1" spans="1:23" x14ac:dyDescent="0.25">
      <c r="A1" s="134"/>
      <c r="B1" s="135" t="s">
        <v>26</v>
      </c>
      <c r="C1" s="136"/>
      <c r="D1" s="136"/>
      <c r="E1" s="136"/>
      <c r="F1" s="136"/>
      <c r="G1" s="136"/>
      <c r="H1" s="136"/>
      <c r="I1" s="137"/>
      <c r="J1" s="137"/>
      <c r="K1" s="137"/>
      <c r="L1" s="138"/>
      <c r="M1" s="138"/>
      <c r="N1" s="138"/>
      <c r="O1" s="138"/>
      <c r="P1" s="139"/>
      <c r="Q1" s="139"/>
      <c r="R1" s="139"/>
      <c r="S1" s="139"/>
      <c r="T1" s="140"/>
      <c r="U1" s="140"/>
      <c r="V1" s="140"/>
      <c r="W1" s="140"/>
    </row>
    <row r="2" spans="1:23" x14ac:dyDescent="0.25">
      <c r="A2" s="141"/>
      <c r="B2" s="142" t="s">
        <v>27</v>
      </c>
      <c r="C2" s="143"/>
      <c r="D2" s="143"/>
      <c r="E2" s="143"/>
      <c r="F2" s="143"/>
      <c r="G2" s="143"/>
      <c r="H2" s="143"/>
      <c r="I2" s="139"/>
      <c r="J2" s="139"/>
      <c r="K2" s="139"/>
      <c r="L2" s="138"/>
      <c r="M2" s="138"/>
      <c r="N2" s="138"/>
      <c r="O2" s="138"/>
      <c r="P2" s="139"/>
      <c r="Q2" s="139"/>
      <c r="R2" s="139"/>
      <c r="S2" s="139"/>
      <c r="T2" s="140"/>
      <c r="U2" s="140"/>
      <c r="V2" s="140"/>
      <c r="W2" s="140"/>
    </row>
    <row r="3" spans="1:23" x14ac:dyDescent="0.25">
      <c r="A3" s="141"/>
      <c r="B3" s="142" t="str">
        <f>Dados!B3</f>
        <v>Divisão de Engenharia e Arquitetura - DIEAR</v>
      </c>
      <c r="C3" s="143"/>
      <c r="D3" s="143"/>
      <c r="E3" s="143"/>
      <c r="F3" s="143"/>
      <c r="G3" s="143"/>
      <c r="H3" s="143"/>
      <c r="I3" s="139"/>
      <c r="J3" s="139"/>
      <c r="K3" s="139"/>
      <c r="L3" s="138"/>
      <c r="M3" s="138"/>
      <c r="N3" s="138"/>
      <c r="O3" s="138"/>
      <c r="P3" s="139"/>
      <c r="Q3" s="139"/>
      <c r="R3" s="139"/>
      <c r="S3" s="139"/>
      <c r="T3" s="140"/>
      <c r="U3" s="140"/>
      <c r="V3" s="140"/>
      <c r="W3" s="140"/>
    </row>
    <row r="4" spans="1:23" s="99" customFormat="1" ht="23.25" customHeight="1" x14ac:dyDescent="0.2">
      <c r="A4" s="589" t="s">
        <v>337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</row>
    <row r="5" spans="1:23" s="99" customFormat="1" ht="18.75" customHeight="1" x14ac:dyDescent="0.2">
      <c r="A5" s="589" t="s">
        <v>338</v>
      </c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</row>
    <row r="6" spans="1:23" s="99" customFormat="1" ht="9.75" customHeight="1" x14ac:dyDescent="0.2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5"/>
      <c r="R6" s="146"/>
      <c r="S6" s="146"/>
      <c r="T6" s="147"/>
      <c r="U6" s="147"/>
      <c r="V6" s="147"/>
      <c r="W6" s="147"/>
    </row>
    <row r="7" spans="1:23" s="99" customFormat="1" ht="30.75" customHeight="1" x14ac:dyDescent="0.2">
      <c r="A7" s="590" t="s">
        <v>339</v>
      </c>
      <c r="B7" s="590"/>
      <c r="C7" s="590"/>
      <c r="D7" s="591" t="s">
        <v>640</v>
      </c>
      <c r="E7" s="591"/>
      <c r="F7" s="149"/>
      <c r="G7" s="149"/>
      <c r="H7" s="149"/>
      <c r="I7" s="149"/>
      <c r="J7" s="149"/>
      <c r="K7" s="144"/>
      <c r="L7" s="144"/>
      <c r="M7" s="144"/>
      <c r="N7" s="144"/>
      <c r="O7" s="144"/>
      <c r="P7" s="144"/>
      <c r="Q7" s="145"/>
      <c r="R7" s="146"/>
      <c r="S7" s="146"/>
      <c r="T7" s="147"/>
      <c r="U7" s="147"/>
      <c r="V7" s="147"/>
      <c r="W7" s="147"/>
    </row>
    <row r="8" spans="1:23" s="99" customFormat="1" ht="30.75" customHeight="1" x14ac:dyDescent="0.2">
      <c r="A8" s="590" t="s">
        <v>340</v>
      </c>
      <c r="B8" s="590"/>
      <c r="C8" s="590"/>
      <c r="D8" s="148" t="s">
        <v>341</v>
      </c>
      <c r="E8" s="150">
        <f>VLOOKUP(D8,B95:C98,2,FALSE())</f>
        <v>30</v>
      </c>
      <c r="F8" s="149" t="str">
        <f>VLOOKUP(D8,B96:D98,3,FALSE())</f>
        <v>Obs: Desconto atualmente aplicado (30 dias corridos).</v>
      </c>
      <c r="G8" s="149"/>
      <c r="H8" s="149"/>
      <c r="I8" s="149"/>
      <c r="J8" s="149"/>
      <c r="K8" s="144"/>
      <c r="L8" s="144"/>
      <c r="M8" s="144"/>
      <c r="N8" s="144"/>
      <c r="O8" s="144"/>
      <c r="P8" s="144"/>
      <c r="Q8" s="145"/>
      <c r="R8" s="146"/>
      <c r="S8" s="146"/>
      <c r="T8" s="147"/>
      <c r="U8" s="147"/>
      <c r="V8" s="147"/>
      <c r="W8" s="147"/>
    </row>
    <row r="9" spans="1:23" s="99" customFormat="1" ht="9" customHeight="1" x14ac:dyDescent="0.2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5"/>
      <c r="R9" s="146"/>
      <c r="S9" s="146"/>
      <c r="T9" s="147"/>
      <c r="U9" s="147"/>
      <c r="V9" s="147"/>
      <c r="W9" s="147"/>
    </row>
    <row r="10" spans="1:23" s="99" customFormat="1" ht="45" customHeight="1" x14ac:dyDescent="0.2">
      <c r="A10" s="581" t="s">
        <v>602</v>
      </c>
      <c r="B10" s="581"/>
      <c r="C10" s="581"/>
      <c r="D10" s="580" t="s">
        <v>342</v>
      </c>
      <c r="E10" s="580" t="s">
        <v>343</v>
      </c>
      <c r="F10" s="580" t="s">
        <v>344</v>
      </c>
      <c r="G10" s="580" t="s">
        <v>345</v>
      </c>
      <c r="H10" s="580" t="s">
        <v>346</v>
      </c>
      <c r="I10" s="580" t="s">
        <v>347</v>
      </c>
      <c r="J10" s="580" t="s">
        <v>348</v>
      </c>
      <c r="K10" s="580" t="s">
        <v>349</v>
      </c>
      <c r="L10" s="580" t="s">
        <v>350</v>
      </c>
      <c r="M10" s="580" t="s">
        <v>351</v>
      </c>
      <c r="N10" s="580" t="s">
        <v>352</v>
      </c>
      <c r="O10" s="580" t="s">
        <v>353</v>
      </c>
      <c r="P10" s="580" t="s">
        <v>354</v>
      </c>
      <c r="Q10" s="580" t="s">
        <v>355</v>
      </c>
      <c r="R10" s="577" t="s">
        <v>356</v>
      </c>
      <c r="S10" s="587" t="s">
        <v>357</v>
      </c>
      <c r="T10" s="588" t="s">
        <v>358</v>
      </c>
      <c r="U10" s="588"/>
      <c r="V10" s="588"/>
      <c r="W10" s="588"/>
    </row>
    <row r="11" spans="1:23" s="99" customFormat="1" ht="45" customHeight="1" x14ac:dyDescent="0.2">
      <c r="A11" s="581"/>
      <c r="B11" s="581"/>
      <c r="C11" s="581"/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580"/>
      <c r="Q11" s="580"/>
      <c r="R11" s="577"/>
      <c r="S11" s="587"/>
      <c r="T11" s="588"/>
      <c r="U11" s="588"/>
      <c r="V11" s="588"/>
      <c r="W11" s="588"/>
    </row>
    <row r="12" spans="1:23" s="99" customFormat="1" ht="47.25" customHeight="1" x14ac:dyDescent="0.2">
      <c r="A12" s="581"/>
      <c r="B12" s="581"/>
      <c r="C12" s="581"/>
      <c r="D12" s="580"/>
      <c r="E12" s="580"/>
      <c r="F12" s="580"/>
      <c r="G12" s="580"/>
      <c r="H12" s="580"/>
      <c r="I12" s="580"/>
      <c r="J12" s="580"/>
      <c r="K12" s="580"/>
      <c r="L12" s="580"/>
      <c r="M12" s="580"/>
      <c r="N12" s="580"/>
      <c r="O12" s="580"/>
      <c r="P12" s="580"/>
      <c r="Q12" s="580"/>
      <c r="R12" s="577"/>
      <c r="S12" s="587"/>
      <c r="T12" s="588"/>
      <c r="U12" s="588"/>
      <c r="V12" s="588"/>
      <c r="W12" s="588"/>
    </row>
    <row r="13" spans="1:23" s="99" customFormat="1" ht="69" customHeight="1" x14ac:dyDescent="0.2">
      <c r="A13" s="151" t="s">
        <v>48</v>
      </c>
      <c r="B13" s="152" t="s">
        <v>46</v>
      </c>
      <c r="C13" s="152" t="s">
        <v>47</v>
      </c>
      <c r="D13" s="152" t="s">
        <v>359</v>
      </c>
      <c r="E13" s="152" t="s">
        <v>360</v>
      </c>
      <c r="F13" s="152" t="s">
        <v>361</v>
      </c>
      <c r="G13" s="152" t="s">
        <v>362</v>
      </c>
      <c r="H13" s="152" t="s">
        <v>363</v>
      </c>
      <c r="I13" s="152" t="s">
        <v>364</v>
      </c>
      <c r="J13" s="152" t="s">
        <v>54</v>
      </c>
      <c r="K13" s="152" t="s">
        <v>54</v>
      </c>
      <c r="L13" s="152" t="s">
        <v>57</v>
      </c>
      <c r="M13" s="152" t="s">
        <v>365</v>
      </c>
      <c r="N13" s="152" t="s">
        <v>366</v>
      </c>
      <c r="O13" s="152" t="s">
        <v>367</v>
      </c>
      <c r="P13" s="152" t="s">
        <v>368</v>
      </c>
      <c r="Q13" s="152" t="s">
        <v>603</v>
      </c>
      <c r="R13" s="153" t="s">
        <v>369</v>
      </c>
      <c r="S13" s="154" t="s">
        <v>370</v>
      </c>
      <c r="T13" s="155" t="s">
        <v>371</v>
      </c>
      <c r="U13" s="154" t="s">
        <v>372</v>
      </c>
      <c r="V13" s="156" t="s">
        <v>34</v>
      </c>
      <c r="W13" s="155" t="s">
        <v>604</v>
      </c>
    </row>
    <row r="14" spans="1:23" s="99" customFormat="1" ht="18" customHeight="1" x14ac:dyDescent="0.2">
      <c r="A14" s="157">
        <f>Dados!D8</f>
        <v>1</v>
      </c>
      <c r="B14" s="158" t="str">
        <f>Resumo!B11</f>
        <v>Nível Superior Senior</v>
      </c>
      <c r="C14" s="159">
        <f>Resumo!C11</f>
        <v>200</v>
      </c>
      <c r="D14" s="524">
        <v>0</v>
      </c>
      <c r="E14" s="159" t="s">
        <v>373</v>
      </c>
      <c r="F14" s="159">
        <f>IF(E14="NÃO",0,D14*Dados!$G$45)</f>
        <v>0</v>
      </c>
      <c r="G14" s="524">
        <v>0</v>
      </c>
      <c r="H14" s="524">
        <v>0</v>
      </c>
      <c r="I14" s="525">
        <v>0</v>
      </c>
      <c r="J14" s="524">
        <v>0</v>
      </c>
      <c r="K14" s="161">
        <f>I14+J14</f>
        <v>0</v>
      </c>
      <c r="L14" s="524">
        <v>0</v>
      </c>
      <c r="M14" s="524">
        <v>0</v>
      </c>
      <c r="N14" s="162"/>
      <c r="O14" s="163">
        <f>Resumo!S11</f>
        <v>0</v>
      </c>
      <c r="P14" s="162"/>
      <c r="Q14" s="163">
        <f>Resumo!T11</f>
        <v>38122.54</v>
      </c>
      <c r="R14" s="162"/>
      <c r="S14" s="157">
        <v>1</v>
      </c>
      <c r="T14" s="164">
        <f>ROUND((Encargos!$H$59*Dados!H8*A14),2)</f>
        <v>5534.09</v>
      </c>
      <c r="U14" s="165" t="s">
        <v>374</v>
      </c>
      <c r="V14" s="163">
        <f>Resumo!E40</f>
        <v>176179.38</v>
      </c>
      <c r="W14" s="164">
        <f>SUMIF($S$14:$S$18,1,$T$14:$T$18)</f>
        <v>22975.599999999999</v>
      </c>
    </row>
    <row r="15" spans="1:23" s="99" customFormat="1" ht="18" customHeight="1" x14ac:dyDescent="0.2">
      <c r="A15" s="157">
        <f>Dados!D9</f>
        <v>2</v>
      </c>
      <c r="B15" s="158" t="str">
        <f>Resumo!B12</f>
        <v>Nível Superior Pleno</v>
      </c>
      <c r="C15" s="159">
        <f>Resumo!C12</f>
        <v>200</v>
      </c>
      <c r="D15" s="524">
        <v>0</v>
      </c>
      <c r="E15" s="159" t="s">
        <v>373</v>
      </c>
      <c r="F15" s="159">
        <f>IF(E15="NÃO",0,D15*Dados!$G$45)</f>
        <v>0</v>
      </c>
      <c r="G15" s="524">
        <v>0</v>
      </c>
      <c r="H15" s="524">
        <v>0</v>
      </c>
      <c r="I15" s="525">
        <v>0</v>
      </c>
      <c r="J15" s="524">
        <v>0</v>
      </c>
      <c r="K15" s="161">
        <f>I15+J15</f>
        <v>0</v>
      </c>
      <c r="L15" s="524">
        <v>0</v>
      </c>
      <c r="M15" s="524">
        <v>0</v>
      </c>
      <c r="N15" s="162"/>
      <c r="O15" s="163">
        <f>Resumo!S12</f>
        <v>0</v>
      </c>
      <c r="P15" s="162"/>
      <c r="Q15" s="163">
        <f>Resumo!T12</f>
        <v>61083.98</v>
      </c>
      <c r="R15" s="162"/>
      <c r="S15" s="157">
        <v>1</v>
      </c>
      <c r="T15" s="164">
        <f>ROUND((Encargos!$H$59*Dados!H9*A15),2)</f>
        <v>8847.5</v>
      </c>
      <c r="U15" s="165" t="s">
        <v>375</v>
      </c>
      <c r="V15" s="163">
        <f>SUMIF($S$14:$S$18,2,$Q$14:$Q$18)</f>
        <v>0</v>
      </c>
      <c r="W15" s="164">
        <f>SUMIF($S$14:$S$18,2,$T$14:$T$18)</f>
        <v>0</v>
      </c>
    </row>
    <row r="16" spans="1:23" s="99" customFormat="1" ht="18" customHeight="1" x14ac:dyDescent="0.2">
      <c r="A16" s="157">
        <f>Dados!D10</f>
        <v>0</v>
      </c>
      <c r="B16" s="158" t="str">
        <f>Resumo!B13</f>
        <v>Nível Superior Junior</v>
      </c>
      <c r="C16" s="159">
        <f>Resumo!C13</f>
        <v>200</v>
      </c>
      <c r="D16" s="524">
        <v>0</v>
      </c>
      <c r="E16" s="159" t="s">
        <v>373</v>
      </c>
      <c r="F16" s="159">
        <f>IF(E16="NÃO",0,D16*Dados!$G$45)</f>
        <v>0</v>
      </c>
      <c r="G16" s="524">
        <v>0</v>
      </c>
      <c r="H16" s="524">
        <v>0</v>
      </c>
      <c r="I16" s="525">
        <v>0</v>
      </c>
      <c r="J16" s="524">
        <v>0</v>
      </c>
      <c r="K16" s="161">
        <f>I16+J16</f>
        <v>0</v>
      </c>
      <c r="L16" s="524">
        <v>0</v>
      </c>
      <c r="M16" s="524">
        <v>0</v>
      </c>
      <c r="N16" s="162"/>
      <c r="O16" s="163">
        <f>Resumo!S13</f>
        <v>0</v>
      </c>
      <c r="P16" s="162"/>
      <c r="Q16" s="163">
        <f>Resumo!T13</f>
        <v>0</v>
      </c>
      <c r="R16" s="162"/>
      <c r="S16" s="157">
        <v>1</v>
      </c>
      <c r="T16" s="164">
        <f>ROUND((Encargos!$H$59*Dados!H10*A16),2)</f>
        <v>0</v>
      </c>
      <c r="U16" s="165" t="s">
        <v>376</v>
      </c>
      <c r="V16" s="163">
        <f>SUMIF($S$14:$S$18,3,$Q$14:$Q$18)</f>
        <v>0</v>
      </c>
      <c r="W16" s="164">
        <f>SUMIF($S$14:$S$18,3,$T$14:$T$18)</f>
        <v>0</v>
      </c>
    </row>
    <row r="17" spans="1:23" s="99" customFormat="1" ht="18" customHeight="1" x14ac:dyDescent="0.2">
      <c r="A17" s="157">
        <f>Dados!D11</f>
        <v>1</v>
      </c>
      <c r="B17" s="158" t="str">
        <f>Resumo!B14</f>
        <v>Técnico Nível Médio Sênior</v>
      </c>
      <c r="C17" s="159">
        <f>Resumo!C14</f>
        <v>200</v>
      </c>
      <c r="D17" s="524">
        <v>0</v>
      </c>
      <c r="E17" s="159" t="s">
        <v>373</v>
      </c>
      <c r="F17" s="159">
        <f>IF(E17="NÃO",0,D17*Dados!$G$45)</f>
        <v>0</v>
      </c>
      <c r="G17" s="524">
        <v>0</v>
      </c>
      <c r="H17" s="524">
        <v>0</v>
      </c>
      <c r="I17" s="525">
        <v>0</v>
      </c>
      <c r="J17" s="524">
        <v>0</v>
      </c>
      <c r="K17" s="161">
        <f>I17+J17</f>
        <v>0</v>
      </c>
      <c r="L17" s="524">
        <v>0</v>
      </c>
      <c r="M17" s="524">
        <v>0</v>
      </c>
      <c r="N17" s="162"/>
      <c r="O17" s="163">
        <f>Resumo!S14</f>
        <v>0</v>
      </c>
      <c r="P17" s="162"/>
      <c r="Q17" s="163">
        <f>Resumo!T14</f>
        <v>14784.42</v>
      </c>
      <c r="R17" s="162"/>
      <c r="S17" s="157">
        <v>1</v>
      </c>
      <c r="T17" s="164">
        <f>ROUND((Encargos!$H$59*Dados!H11*A17),2)</f>
        <v>1952.58</v>
      </c>
      <c r="U17" s="165" t="s">
        <v>377</v>
      </c>
      <c r="V17" s="163">
        <f>SUMIF($S$14:$S$18,4,$Q$14:$Q$18)</f>
        <v>0</v>
      </c>
      <c r="W17" s="164">
        <f>SUMIF($S$14:$S$18,4,$T$14:$T$18)</f>
        <v>0</v>
      </c>
    </row>
    <row r="18" spans="1:23" s="99" customFormat="1" ht="18" customHeight="1" x14ac:dyDescent="0.2">
      <c r="A18" s="157">
        <f>Dados!D12</f>
        <v>5</v>
      </c>
      <c r="B18" s="158" t="str">
        <f>Resumo!B15</f>
        <v>Técnico Nível Médio Pleno</v>
      </c>
      <c r="C18" s="159">
        <f>Resumo!C15</f>
        <v>200</v>
      </c>
      <c r="D18" s="524">
        <v>0</v>
      </c>
      <c r="E18" s="159" t="s">
        <v>373</v>
      </c>
      <c r="F18" s="159">
        <f>IF(E18="NÃO",0,D18*Dados!$G$45)</f>
        <v>0</v>
      </c>
      <c r="G18" s="524">
        <v>0</v>
      </c>
      <c r="H18" s="524">
        <v>0</v>
      </c>
      <c r="I18" s="525">
        <v>0</v>
      </c>
      <c r="J18" s="524">
        <v>0</v>
      </c>
      <c r="K18" s="161">
        <f>I18+J18</f>
        <v>0</v>
      </c>
      <c r="L18" s="524">
        <v>0</v>
      </c>
      <c r="M18" s="524">
        <v>0</v>
      </c>
      <c r="N18" s="162"/>
      <c r="O18" s="163">
        <f>Resumo!S15</f>
        <v>0</v>
      </c>
      <c r="P18" s="162"/>
      <c r="Q18" s="163">
        <f>Resumo!T15</f>
        <v>53335.95</v>
      </c>
      <c r="R18" s="162"/>
      <c r="S18" s="157">
        <v>1</v>
      </c>
      <c r="T18" s="164">
        <f>ROUND((Encargos!$H$59*Dados!H12*A18),2)</f>
        <v>6641.43</v>
      </c>
      <c r="U18" s="165" t="s">
        <v>378</v>
      </c>
      <c r="V18" s="163">
        <f>SUMIF($S$14:$S$18,5,$Q$14:$Q$18)</f>
        <v>0</v>
      </c>
      <c r="W18" s="164">
        <f>SUMIF($S$14:$S$18,5,$T$14:$T$18)</f>
        <v>0</v>
      </c>
    </row>
    <row r="19" spans="1:23" s="100" customFormat="1" ht="14.25" customHeight="1" thickBot="1" x14ac:dyDescent="0.25">
      <c r="A19" s="578" t="s">
        <v>379</v>
      </c>
      <c r="B19" s="578"/>
      <c r="C19" s="578"/>
      <c r="D19" s="578"/>
      <c r="E19" s="578"/>
      <c r="F19" s="578"/>
      <c r="G19" s="166"/>
      <c r="H19" s="167">
        <f>Resumo!I16</f>
        <v>0</v>
      </c>
      <c r="I19" s="579"/>
      <c r="J19" s="579"/>
      <c r="K19" s="167">
        <f>Resumo!L16</f>
        <v>0</v>
      </c>
      <c r="L19" s="167">
        <f>Resumo!O16</f>
        <v>0</v>
      </c>
      <c r="M19" s="167">
        <f>Resumo!R16</f>
        <v>0</v>
      </c>
      <c r="N19" s="167"/>
      <c r="O19" s="167">
        <f>(H19+K19+L19)</f>
        <v>0</v>
      </c>
      <c r="P19" s="168"/>
      <c r="Q19" s="167">
        <f>SUM(Q14:Q18)</f>
        <v>167326.89000000001</v>
      </c>
      <c r="R19" s="169">
        <f>SUM(R14:R18)</f>
        <v>0</v>
      </c>
      <c r="S19" s="170"/>
      <c r="T19" s="171">
        <f>SUM(T14:T18)</f>
        <v>22975.599999999999</v>
      </c>
      <c r="U19" s="172"/>
      <c r="V19" s="172"/>
      <c r="W19" s="172"/>
    </row>
    <row r="20" spans="1:23" x14ac:dyDescent="0.25">
      <c r="A20" s="173" t="s">
        <v>380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38"/>
      <c r="M20" s="138"/>
      <c r="N20" s="138"/>
      <c r="O20" s="138"/>
      <c r="P20" s="139"/>
      <c r="Q20" s="139"/>
      <c r="R20" s="139"/>
      <c r="S20" s="139"/>
      <c r="T20" s="140"/>
      <c r="U20" s="140"/>
      <c r="V20" s="140"/>
      <c r="W20" s="140"/>
    </row>
    <row r="21" spans="1:23" ht="14.25" customHeight="1" x14ac:dyDescent="0.25">
      <c r="A21" s="175" t="s">
        <v>381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38"/>
      <c r="M21" s="138"/>
      <c r="N21" s="138"/>
      <c r="O21" s="138"/>
      <c r="P21" s="139"/>
      <c r="Q21" s="139"/>
      <c r="R21" s="139"/>
      <c r="S21" s="139"/>
      <c r="T21" s="140"/>
      <c r="U21" s="140"/>
      <c r="V21" s="140"/>
      <c r="W21" s="140"/>
    </row>
    <row r="22" spans="1:23" s="100" customFormat="1" ht="22.5" customHeight="1" x14ac:dyDescent="0.2">
      <c r="A22" s="585" t="s">
        <v>382</v>
      </c>
      <c r="B22" s="585"/>
      <c r="C22" s="152" t="s">
        <v>383</v>
      </c>
      <c r="D22" s="152" t="s">
        <v>384</v>
      </c>
      <c r="E22" s="152" t="s">
        <v>385</v>
      </c>
      <c r="F22" s="152" t="s">
        <v>386</v>
      </c>
      <c r="G22" s="172"/>
      <c r="H22" s="172"/>
      <c r="I22" s="172"/>
      <c r="J22" s="172"/>
      <c r="K22" s="175"/>
      <c r="L22" s="177"/>
      <c r="M22" s="177"/>
      <c r="N22" s="177"/>
      <c r="O22" s="177"/>
      <c r="P22" s="172"/>
      <c r="Q22" s="172"/>
      <c r="R22" s="172"/>
      <c r="S22" s="172"/>
      <c r="T22" s="140"/>
      <c r="U22" s="177"/>
      <c r="V22" s="177"/>
      <c r="W22" s="177"/>
    </row>
    <row r="23" spans="1:23" s="100" customFormat="1" ht="18" customHeight="1" x14ac:dyDescent="0.2">
      <c r="A23" s="585"/>
      <c r="B23" s="585"/>
      <c r="C23" s="526">
        <v>200</v>
      </c>
      <c r="D23" s="526">
        <v>10</v>
      </c>
      <c r="E23" s="526">
        <v>25</v>
      </c>
      <c r="F23" s="527">
        <f>ROUND((D23/VLOOKUP(C23,$B$101:$C$107,2,FALSE())+E23/60/VLOOKUP(C23,$B$101:$C$107,2,FALSE())),2)</f>
        <v>1.3</v>
      </c>
      <c r="G23" s="178"/>
      <c r="H23" s="172"/>
      <c r="I23" s="172"/>
      <c r="J23" s="172"/>
      <c r="K23" s="175"/>
      <c r="L23" s="177"/>
      <c r="M23" s="177"/>
      <c r="N23" s="177"/>
      <c r="O23" s="177"/>
      <c r="P23" s="172"/>
      <c r="Q23" s="172"/>
      <c r="R23" s="172"/>
      <c r="S23" s="172"/>
      <c r="T23" s="140"/>
      <c r="U23" s="177"/>
      <c r="V23" s="177"/>
      <c r="W23" s="177"/>
    </row>
    <row r="24" spans="1:23" s="100" customFormat="1" ht="22.5" customHeight="1" x14ac:dyDescent="0.2">
      <c r="A24" s="586" t="s">
        <v>490</v>
      </c>
      <c r="B24" s="586"/>
      <c r="C24" s="586"/>
      <c r="D24" s="586"/>
      <c r="E24" s="586"/>
      <c r="F24" s="586"/>
      <c r="G24" s="179"/>
      <c r="H24" s="149"/>
      <c r="I24" s="149"/>
      <c r="J24" s="149"/>
      <c r="K24" s="175"/>
      <c r="L24" s="177"/>
      <c r="M24" s="177"/>
      <c r="N24" s="177"/>
      <c r="O24" s="177"/>
      <c r="P24" s="172"/>
      <c r="Q24" s="172"/>
      <c r="R24" s="172"/>
      <c r="S24" s="172"/>
      <c r="T24" s="140"/>
      <c r="U24" s="177"/>
      <c r="V24" s="177"/>
      <c r="W24" s="177"/>
    </row>
    <row r="25" spans="1:23" s="100" customFormat="1" x14ac:dyDescent="0.2">
      <c r="A25" s="586"/>
      <c r="B25" s="586"/>
      <c r="C25" s="586"/>
      <c r="D25" s="586"/>
      <c r="E25" s="586"/>
      <c r="F25" s="586"/>
      <c r="G25" s="179"/>
      <c r="H25" s="149"/>
      <c r="I25" s="149"/>
      <c r="J25" s="149"/>
      <c r="K25" s="175"/>
      <c r="L25" s="177"/>
      <c r="M25" s="177"/>
      <c r="N25" s="177"/>
      <c r="O25" s="177"/>
      <c r="P25" s="172"/>
      <c r="Q25" s="172"/>
      <c r="R25" s="172"/>
      <c r="S25" s="172"/>
      <c r="T25" s="140"/>
      <c r="U25" s="177"/>
      <c r="V25" s="177"/>
      <c r="W25" s="177"/>
    </row>
    <row r="26" spans="1:23" ht="15.75" thickBot="1" x14ac:dyDescent="0.3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8"/>
      <c r="M26" s="138"/>
      <c r="N26" s="138"/>
      <c r="O26" s="138"/>
      <c r="P26" s="139"/>
      <c r="Q26" s="139"/>
      <c r="R26" s="139"/>
      <c r="S26" s="139"/>
      <c r="T26" s="140"/>
      <c r="U26" s="140"/>
      <c r="V26" s="140"/>
      <c r="W26" s="140"/>
    </row>
    <row r="27" spans="1:23" ht="21.75" thickBot="1" x14ac:dyDescent="0.3">
      <c r="A27" s="565" t="s">
        <v>575</v>
      </c>
      <c r="B27" s="566"/>
      <c r="C27" s="566"/>
      <c r="D27" s="566"/>
      <c r="E27" s="567"/>
      <c r="F27" s="139"/>
      <c r="G27" s="139"/>
      <c r="H27" s="139"/>
      <c r="I27" s="139"/>
      <c r="J27" s="139"/>
      <c r="K27" s="139"/>
      <c r="L27" s="138"/>
      <c r="M27" s="138"/>
      <c r="N27" s="138"/>
      <c r="O27" s="138"/>
      <c r="P27" s="139"/>
      <c r="Q27" s="139"/>
      <c r="R27" s="139"/>
      <c r="S27" s="139"/>
      <c r="T27" s="140"/>
      <c r="U27" s="140"/>
      <c r="V27" s="140"/>
      <c r="W27" s="140"/>
    </row>
    <row r="28" spans="1:23" ht="25.5" x14ac:dyDescent="0.25">
      <c r="A28" s="607" t="s">
        <v>458</v>
      </c>
      <c r="B28" s="585"/>
      <c r="C28" s="585"/>
      <c r="D28" s="152" t="s">
        <v>574</v>
      </c>
      <c r="E28" s="153" t="s">
        <v>552</v>
      </c>
      <c r="F28" s="180" t="s">
        <v>553</v>
      </c>
      <c r="G28" s="180" t="s">
        <v>573</v>
      </c>
      <c r="H28" s="180" t="s">
        <v>550</v>
      </c>
      <c r="I28" s="139"/>
      <c r="J28" s="139"/>
      <c r="K28" s="139"/>
      <c r="L28" s="138"/>
      <c r="M28" s="138"/>
      <c r="N28" s="138"/>
      <c r="O28" s="138"/>
      <c r="P28" s="139"/>
      <c r="Q28" s="139"/>
      <c r="R28" s="139"/>
      <c r="S28" s="139"/>
      <c r="T28" s="140"/>
      <c r="U28" s="140"/>
      <c r="V28" s="140"/>
      <c r="W28" s="140"/>
    </row>
    <row r="29" spans="1:23" x14ac:dyDescent="0.25">
      <c r="A29" s="157"/>
      <c r="B29" s="603" t="str">
        <f>Equipamentos!B26</f>
        <v>Trena convencional</v>
      </c>
      <c r="C29" s="603"/>
      <c r="D29" s="524">
        <f>IF($D$7="PLANILHA PARA LICITAÇÃO (PRECIFICAÇÃO)",H29,0)</f>
        <v>6</v>
      </c>
      <c r="E29" s="129">
        <f>Equipamentos!D26</f>
        <v>17</v>
      </c>
      <c r="F29" s="132">
        <f>ROUND(IF($D$7="PLANILHA PARA LICITAÇÃO (PRECIFICAÇÃO)",D29*E29/IF(G29="Anual",12,IF(G29="Semestral",6,IF(G29="Quadrimestral",4,IF(G29="Trimestral",3,IF(G29="Bimestral",2,IF(G29="Mensal",1,"Verificar")))))),D29*E29),2)</f>
        <v>8.5</v>
      </c>
      <c r="G29" s="181" t="str">
        <f>Equipamentos!E26</f>
        <v>Anual</v>
      </c>
      <c r="H29" s="181">
        <v>6</v>
      </c>
      <c r="I29" s="139"/>
      <c r="J29" s="139"/>
      <c r="K29" s="139"/>
      <c r="L29" s="138"/>
      <c r="M29" s="138"/>
      <c r="N29" s="138"/>
      <c r="O29" s="138"/>
      <c r="P29" s="139"/>
      <c r="Q29" s="139"/>
      <c r="R29" s="139"/>
      <c r="S29" s="139"/>
      <c r="T29" s="140"/>
      <c r="U29" s="140"/>
      <c r="V29" s="140"/>
      <c r="W29" s="140"/>
    </row>
    <row r="30" spans="1:23" x14ac:dyDescent="0.25">
      <c r="A30" s="157"/>
      <c r="B30" s="603" t="str">
        <f>Equipamentos!B27</f>
        <v>Plano de internet para roteamento</v>
      </c>
      <c r="C30" s="603"/>
      <c r="D30" s="524">
        <f t="shared" ref="D30:D31" si="0">IF($D$7="PLANILHA PARA LICITAÇÃO (PRECIFICAÇÃO)",H30,0)</f>
        <v>3</v>
      </c>
      <c r="E30" s="129">
        <f>Equipamentos!D27</f>
        <v>199.95</v>
      </c>
      <c r="F30" s="132">
        <f>ROUND(IF($D$7="PLANILHA PARA LICITAÇÃO (PRECIFICAÇÃO)",D30*E30/IF(G30="Anual",12,IF(G30="Semestral",6,IF(G30="Quadrimestral",4,IF(G30="Trimestral",3,IF(G30="Bimestral",2,IF(G30="Mensal",1,"Verificar")))))),D30*E30),2)</f>
        <v>599.85</v>
      </c>
      <c r="G30" s="181" t="str">
        <f>Equipamentos!E27</f>
        <v>Mensal</v>
      </c>
      <c r="H30" s="181">
        <v>3</v>
      </c>
      <c r="I30" s="139"/>
      <c r="J30" s="139"/>
      <c r="K30" s="139"/>
      <c r="L30" s="138"/>
      <c r="M30" s="138"/>
      <c r="N30" s="138"/>
      <c r="O30" s="138"/>
      <c r="P30" s="139"/>
      <c r="Q30" s="139"/>
      <c r="R30" s="139"/>
      <c r="S30" s="139"/>
      <c r="T30" s="140"/>
      <c r="U30" s="140"/>
      <c r="V30" s="140"/>
      <c r="W30" s="140"/>
    </row>
    <row r="31" spans="1:23" x14ac:dyDescent="0.25">
      <c r="A31" s="157"/>
      <c r="B31" s="603" t="str">
        <f>Equipamentos!B28</f>
        <v>Plano de telefonia celular</v>
      </c>
      <c r="C31" s="603"/>
      <c r="D31" s="524">
        <f t="shared" si="0"/>
        <v>2</v>
      </c>
      <c r="E31" s="129">
        <f>Equipamentos!D28</f>
        <v>70.326666666666668</v>
      </c>
      <c r="F31" s="132">
        <f>ROUND(IF($D$7="PLANILHA PARA LICITAÇÃO (PRECIFICAÇÃO)",D31*E31/IF(G31="Anual",12,IF(G31="Semestral",6,IF(G31="Quadrimestral",4,IF(G31="Trimestral",3,IF(G31="Bimestral",2,IF(G31="Mensal",1,"Verificar")))))),D31*E31),2)</f>
        <v>140.65</v>
      </c>
      <c r="G31" s="181" t="str">
        <f>Equipamentos!E28</f>
        <v>Mensal</v>
      </c>
      <c r="H31" s="181">
        <v>2</v>
      </c>
      <c r="I31" s="139"/>
      <c r="J31" s="139"/>
      <c r="K31" s="139"/>
      <c r="L31" s="138"/>
      <c r="M31" s="138"/>
      <c r="N31" s="138"/>
      <c r="O31" s="138"/>
      <c r="P31" s="139"/>
      <c r="Q31" s="139"/>
      <c r="R31" s="139"/>
      <c r="S31" s="139"/>
      <c r="T31" s="140"/>
      <c r="U31" s="140"/>
      <c r="V31" s="140"/>
      <c r="W31" s="140"/>
    </row>
    <row r="32" spans="1:23" ht="15.75" thickBot="1" x14ac:dyDescent="0.3">
      <c r="A32" s="598" t="s">
        <v>427</v>
      </c>
      <c r="B32" s="599"/>
      <c r="C32" s="600"/>
      <c r="D32" s="113"/>
      <c r="E32" s="130"/>
      <c r="F32" s="131">
        <f>SUM(F29:F31)</f>
        <v>749</v>
      </c>
      <c r="G32" s="131"/>
      <c r="H32" s="131"/>
      <c r="I32" s="139"/>
      <c r="J32" s="139"/>
      <c r="K32" s="139"/>
      <c r="L32" s="138"/>
      <c r="M32" s="138"/>
      <c r="N32" s="138"/>
      <c r="O32" s="138"/>
      <c r="P32" s="139"/>
      <c r="Q32" s="139"/>
      <c r="R32" s="139"/>
      <c r="S32" s="139"/>
      <c r="T32" s="140"/>
      <c r="U32" s="140"/>
      <c r="V32" s="140"/>
      <c r="W32" s="140"/>
    </row>
    <row r="33" spans="1:1024" ht="15.75" thickBot="1" x14ac:dyDescent="0.3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8"/>
      <c r="M33" s="138"/>
      <c r="N33" s="138"/>
      <c r="O33" s="138"/>
      <c r="P33" s="139"/>
      <c r="Q33" s="139"/>
      <c r="R33" s="139"/>
      <c r="S33" s="139"/>
      <c r="T33" s="140"/>
      <c r="U33" s="140"/>
      <c r="V33" s="140"/>
      <c r="W33" s="140"/>
    </row>
    <row r="34" spans="1:1024" ht="15" customHeight="1" x14ac:dyDescent="0.25">
      <c r="A34" s="565" t="s">
        <v>576</v>
      </c>
      <c r="B34" s="566"/>
      <c r="C34" s="566"/>
      <c r="D34" s="566"/>
      <c r="E34" s="567"/>
      <c r="F34" s="139"/>
      <c r="G34" s="139"/>
      <c r="H34" s="139"/>
      <c r="I34" s="139"/>
      <c r="J34" s="139"/>
      <c r="K34" s="139"/>
      <c r="L34" s="138"/>
      <c r="M34" s="138"/>
      <c r="N34" s="138"/>
      <c r="O34" s="138"/>
      <c r="P34" s="139"/>
      <c r="Q34" s="139"/>
      <c r="R34" s="139"/>
      <c r="S34" s="139"/>
      <c r="T34" s="140"/>
      <c r="U34" s="140"/>
      <c r="V34" s="140"/>
      <c r="W34" s="140"/>
    </row>
    <row r="35" spans="1:1024" ht="15" customHeight="1" x14ac:dyDescent="0.25">
      <c r="A35" s="568"/>
      <c r="B35" s="569"/>
      <c r="C35" s="569"/>
      <c r="D35" s="569"/>
      <c r="E35" s="570"/>
      <c r="F35" s="139"/>
      <c r="G35" s="139"/>
      <c r="H35" s="139"/>
      <c r="I35" s="139"/>
      <c r="J35" s="139"/>
      <c r="K35" s="139"/>
      <c r="L35" s="138"/>
      <c r="M35" s="138"/>
      <c r="N35" s="138"/>
      <c r="O35" s="138"/>
      <c r="P35" s="139"/>
      <c r="Q35" s="139"/>
      <c r="R35" s="139"/>
      <c r="S35" s="139"/>
      <c r="T35" s="140"/>
      <c r="U35" s="140"/>
      <c r="V35" s="140"/>
      <c r="W35" s="140"/>
    </row>
    <row r="36" spans="1:1024" ht="14.45" customHeight="1" thickBot="1" x14ac:dyDescent="0.3">
      <c r="A36" s="571"/>
      <c r="B36" s="572"/>
      <c r="C36" s="572"/>
      <c r="D36" s="572"/>
      <c r="E36" s="573"/>
      <c r="F36" s="139"/>
      <c r="G36" s="139"/>
      <c r="H36" s="139"/>
      <c r="I36" s="139"/>
      <c r="J36" s="139"/>
      <c r="K36" s="139"/>
      <c r="L36" s="138"/>
      <c r="M36" s="138"/>
      <c r="N36" s="138"/>
      <c r="O36" s="138"/>
      <c r="P36" s="139"/>
      <c r="Q36" s="139"/>
      <c r="R36" s="139"/>
      <c r="S36" s="139"/>
      <c r="T36" s="140"/>
      <c r="U36" s="140"/>
      <c r="V36" s="140"/>
      <c r="W36" s="140"/>
    </row>
    <row r="37" spans="1:1024" ht="38.25" x14ac:dyDescent="0.25">
      <c r="A37" s="596" t="s">
        <v>46</v>
      </c>
      <c r="B37" s="597"/>
      <c r="C37" s="182" t="s">
        <v>440</v>
      </c>
      <c r="D37" s="152" t="s">
        <v>445</v>
      </c>
      <c r="E37" s="152" t="s">
        <v>441</v>
      </c>
      <c r="F37" s="152" t="s">
        <v>446</v>
      </c>
      <c r="G37" s="152" t="s">
        <v>442</v>
      </c>
      <c r="H37" s="152" t="s">
        <v>448</v>
      </c>
      <c r="I37" s="152" t="s">
        <v>477</v>
      </c>
      <c r="J37" s="152" t="s">
        <v>475</v>
      </c>
      <c r="K37" s="152" t="s">
        <v>478</v>
      </c>
      <c r="L37" s="152" t="s">
        <v>476</v>
      </c>
      <c r="M37" s="138"/>
      <c r="N37" s="139"/>
      <c r="O37" s="139"/>
      <c r="P37" s="139"/>
      <c r="Q37" s="139"/>
      <c r="R37" s="140"/>
      <c r="S37" s="140"/>
      <c r="T37" s="140"/>
      <c r="U37" s="140"/>
      <c r="V37" s="140"/>
      <c r="W37" s="140"/>
      <c r="X37" s="14"/>
      <c r="Y37" s="14"/>
      <c r="AMI37"/>
      <c r="AMJ37"/>
    </row>
    <row r="38" spans="1:1024" x14ac:dyDescent="0.25">
      <c r="A38" s="157"/>
      <c r="B38" s="158" t="str">
        <f>B14</f>
        <v>Nível Superior Senior</v>
      </c>
      <c r="C38" s="524">
        <f>IF($D$7="PLANILHA PARA LICITAÇÃO (PRECIFICAÇÃO)",Dados!C76,0)</f>
        <v>2</v>
      </c>
      <c r="D38" s="183">
        <f>'NS SENIOR 200'!$K$41*C38</f>
        <v>113.34</v>
      </c>
      <c r="E38" s="524">
        <f>IF($D$7="PLANILHA PARA LICITAÇÃO (PRECIFICAÇÃO)",Dados!D76,0)</f>
        <v>2</v>
      </c>
      <c r="F38" s="183">
        <f>'NS SENIOR 200'!$L$41*E38</f>
        <v>680.08</v>
      </c>
      <c r="G38" s="524">
        <f>IF($D$7="PLANILHA PARA LICITAÇÃO (PRECIFICAÇÃO)",Dados!E76,0)</f>
        <v>2</v>
      </c>
      <c r="H38" s="183">
        <f>'NS SENIOR 200'!$M$41*G38</f>
        <v>906.8</v>
      </c>
      <c r="I38" s="528">
        <f>IF($D$7="PLANILHA PARA LICITAÇÃO (PRECIFICAÇÃO)",Dados!F76,0)</f>
        <v>1</v>
      </c>
      <c r="J38" s="183">
        <f>ROUND('V.T e V.A - Extra'!$D$23*I38,2)</f>
        <v>49.08</v>
      </c>
      <c r="K38" s="528">
        <f>IF($D$7="PLANILHA PARA LICITAÇÃO (PRECIFICAÇÃO)",Dados!G76,0)</f>
        <v>1</v>
      </c>
      <c r="L38" s="183">
        <f>ROUND('V.T e V.A - Extra'!$D$46*K38,2)</f>
        <v>29.76</v>
      </c>
      <c r="M38" s="138"/>
      <c r="N38" s="139"/>
      <c r="O38" s="139"/>
      <c r="P38" s="139"/>
      <c r="Q38" s="139"/>
      <c r="R38" s="140"/>
      <c r="S38" s="140"/>
      <c r="T38" s="140"/>
      <c r="U38" s="140"/>
      <c r="V38" s="140"/>
      <c r="W38" s="140"/>
      <c r="X38" s="14"/>
      <c r="Y38" s="14"/>
      <c r="AMI38"/>
      <c r="AMJ38"/>
    </row>
    <row r="39" spans="1:1024" x14ac:dyDescent="0.25">
      <c r="A39" s="157"/>
      <c r="B39" s="158" t="str">
        <f>B15</f>
        <v>Nível Superior Pleno</v>
      </c>
      <c r="C39" s="524">
        <f>IF($D$7="PLANILHA PARA LICITAÇÃO (PRECIFICAÇÃO)",Dados!C77,0)</f>
        <v>2</v>
      </c>
      <c r="D39" s="183">
        <f>'NS PLENO 200'!$K$41*C39</f>
        <v>90.6</v>
      </c>
      <c r="E39" s="524">
        <f>IF($D$7="PLANILHA PARA LICITAÇÃO (PRECIFICAÇÃO)",Dados!D77,0)</f>
        <v>2</v>
      </c>
      <c r="F39" s="183">
        <f>'NS PLENO 200'!$L$41*E39</f>
        <v>543.64</v>
      </c>
      <c r="G39" s="524">
        <f>IF($D$7="PLANILHA PARA LICITAÇÃO (PRECIFICAÇÃO)",Dados!E77,0)</f>
        <v>2</v>
      </c>
      <c r="H39" s="183">
        <f>'NS PLENO 200'!$M$41*G39</f>
        <v>724.9</v>
      </c>
      <c r="I39" s="528">
        <f>IF($D$7="PLANILHA PARA LICITAÇÃO (PRECIFICAÇÃO)",Dados!F77,0)</f>
        <v>1</v>
      </c>
      <c r="J39" s="183">
        <f>ROUND('V.T e V.A - Extra'!$D$23*I39,2)</f>
        <v>49.08</v>
      </c>
      <c r="K39" s="528">
        <f>IF($D$7="PLANILHA PARA LICITAÇÃO (PRECIFICAÇÃO)",Dados!G77,0)</f>
        <v>1</v>
      </c>
      <c r="L39" s="183">
        <f>ROUND('V.T e V.A - Extra'!$D$46*K39,2)</f>
        <v>29.76</v>
      </c>
      <c r="M39" s="138"/>
      <c r="N39" s="139"/>
      <c r="O39" s="139"/>
      <c r="P39" s="139"/>
      <c r="Q39" s="139"/>
      <c r="R39" s="140"/>
      <c r="S39" s="140"/>
      <c r="T39" s="140"/>
      <c r="U39" s="140"/>
      <c r="V39" s="140"/>
      <c r="W39" s="140"/>
      <c r="X39" s="14"/>
      <c r="Y39" s="14"/>
      <c r="AMI39"/>
      <c r="AMJ39"/>
    </row>
    <row r="40" spans="1:1024" x14ac:dyDescent="0.25">
      <c r="A40" s="157"/>
      <c r="B40" s="158" t="str">
        <f>B16</f>
        <v>Nível Superior Junior</v>
      </c>
      <c r="C40" s="524">
        <f>IF($D$7="PLANILHA PARA LICITAÇÃO (PRECIFICAÇÃO)",Dados!C78,0)</f>
        <v>0</v>
      </c>
      <c r="D40" s="183">
        <f>'NS JUNIOR 200'!$K$41*C40</f>
        <v>0</v>
      </c>
      <c r="E40" s="524">
        <f>IF($D$7="PLANILHA PARA LICITAÇÃO (PRECIFICAÇÃO)",Dados!D78,0)</f>
        <v>0</v>
      </c>
      <c r="F40" s="183">
        <f>'NS JUNIOR 200'!$L$41*E40</f>
        <v>0</v>
      </c>
      <c r="G40" s="524">
        <f>IF($D$7="PLANILHA PARA LICITAÇÃO (PRECIFICAÇÃO)",Dados!E78,0)</f>
        <v>0</v>
      </c>
      <c r="H40" s="183">
        <f>'NS JUNIOR 200'!$M$41*G40</f>
        <v>0</v>
      </c>
      <c r="I40" s="528">
        <f>IF($D$7="PLANILHA PARA LICITAÇÃO (PRECIFICAÇÃO)",Dados!F78,0)</f>
        <v>0</v>
      </c>
      <c r="J40" s="183">
        <f>ROUND('V.T e V.A - Extra'!$D$23*I40,2)</f>
        <v>0</v>
      </c>
      <c r="K40" s="528">
        <f>IF($D$7="PLANILHA PARA LICITAÇÃO (PRECIFICAÇÃO)",Dados!G78,0)</f>
        <v>0</v>
      </c>
      <c r="L40" s="183">
        <f>ROUND('V.T e V.A - Extra'!$D$46*K40,2)</f>
        <v>0</v>
      </c>
      <c r="M40" s="138"/>
      <c r="N40" s="139"/>
      <c r="O40" s="139"/>
      <c r="P40" s="139"/>
      <c r="Q40" s="139"/>
      <c r="R40" s="140"/>
      <c r="S40" s="140"/>
      <c r="T40" s="140"/>
      <c r="U40" s="140"/>
      <c r="V40" s="140"/>
      <c r="W40" s="140"/>
      <c r="X40" s="14"/>
      <c r="Y40" s="14"/>
      <c r="AMI40"/>
      <c r="AMJ40"/>
    </row>
    <row r="41" spans="1:1024" x14ac:dyDescent="0.25">
      <c r="A41" s="157"/>
      <c r="B41" s="158" t="str">
        <f>B17</f>
        <v>Técnico Nível Médio Sênior</v>
      </c>
      <c r="C41" s="524">
        <f>IF($D$7="PLANILHA PARA LICITAÇÃO (PRECIFICAÇÃO)",Dados!C79,0)</f>
        <v>4</v>
      </c>
      <c r="D41" s="183">
        <f>'NM TECNICO SR 200'!$K$41*C41</f>
        <v>63.96</v>
      </c>
      <c r="E41" s="524">
        <f>IF($D$7="PLANILHA PARA LICITAÇÃO (PRECIFICAÇÃO)",Dados!D79,0)</f>
        <v>4</v>
      </c>
      <c r="F41" s="183">
        <f>'NM TECNICO SR 200'!$L$41*E41</f>
        <v>479.96</v>
      </c>
      <c r="G41" s="524">
        <f>IF($D$7="PLANILHA PARA LICITAÇÃO (PRECIFICAÇÃO)",Dados!E79,0)</f>
        <v>4</v>
      </c>
      <c r="H41" s="183">
        <f>'NM TECNICO SR 200'!M41*G41</f>
        <v>639.79999999999995</v>
      </c>
      <c r="I41" s="528">
        <f>IF($D$7="PLANILHA PARA LICITAÇÃO (PRECIFICAÇÃO)",Dados!F79,0)</f>
        <v>1</v>
      </c>
      <c r="J41" s="183">
        <f>ROUND('V.T e V.A - Extra'!$D$23*I41,2)</f>
        <v>49.08</v>
      </c>
      <c r="K41" s="528">
        <f>IF($D$7="PLANILHA PARA LICITAÇÃO (PRECIFICAÇÃO)",Dados!G79,0)</f>
        <v>1</v>
      </c>
      <c r="L41" s="183">
        <f>ROUND('V.T e V.A - Extra'!$D$46*K41,2)</f>
        <v>29.76</v>
      </c>
      <c r="M41" s="138"/>
      <c r="N41" s="139"/>
      <c r="O41" s="139"/>
      <c r="P41" s="139"/>
      <c r="Q41" s="139"/>
      <c r="R41" s="140"/>
      <c r="S41" s="140"/>
      <c r="T41" s="140"/>
      <c r="U41" s="140"/>
      <c r="V41" s="140"/>
      <c r="W41" s="140"/>
      <c r="X41" s="14"/>
      <c r="Y41" s="14"/>
      <c r="AMI41"/>
      <c r="AMJ41"/>
    </row>
    <row r="42" spans="1:1024" ht="14.45" customHeight="1" x14ac:dyDescent="0.25">
      <c r="A42" s="157"/>
      <c r="B42" s="158" t="str">
        <f>B18</f>
        <v>Técnico Nível Médio Pleno</v>
      </c>
      <c r="C42" s="524">
        <f>IF($D$7="PLANILHA PARA LICITAÇÃO (PRECIFICAÇÃO)",Dados!C80,0)</f>
        <v>4</v>
      </c>
      <c r="D42" s="183">
        <f>'NM TECNICO PL 200'!$K$41*C42</f>
        <v>43.48</v>
      </c>
      <c r="E42" s="524">
        <f>IF($D$7="PLANILHA PARA LICITAÇÃO (PRECIFICAÇÃO)",Dados!D80,0)</f>
        <v>4</v>
      </c>
      <c r="F42" s="183">
        <f>'NM TECNICO PL 200'!$L$41*E42</f>
        <v>326.48</v>
      </c>
      <c r="G42" s="524">
        <f>IF($D$7="PLANILHA PARA LICITAÇÃO (PRECIFICAÇÃO)",Dados!E80,0)</f>
        <v>4</v>
      </c>
      <c r="H42" s="183">
        <f>'NM TECNICO PL 200'!$M$41*G42</f>
        <v>435.36</v>
      </c>
      <c r="I42" s="528">
        <f>IF($D$7="PLANILHA PARA LICITAÇÃO (PRECIFICAÇÃO)",Dados!F80,0)</f>
        <v>1</v>
      </c>
      <c r="J42" s="183">
        <f>ROUND('V.T e V.A - Extra'!$D$23*I42,2)</f>
        <v>49.08</v>
      </c>
      <c r="K42" s="528">
        <f>IF($D$7="PLANILHA PARA LICITAÇÃO (PRECIFICAÇÃO)",Dados!G80,0)</f>
        <v>1</v>
      </c>
      <c r="L42" s="183">
        <f>ROUND('V.T e V.A - Extra'!$D$46*K42,2)</f>
        <v>29.76</v>
      </c>
      <c r="M42" s="138"/>
      <c r="N42" s="139"/>
      <c r="O42" s="139"/>
      <c r="P42" s="139"/>
      <c r="Q42" s="139"/>
      <c r="R42" s="140"/>
      <c r="S42" s="140"/>
      <c r="T42" s="140"/>
      <c r="U42" s="140"/>
      <c r="V42" s="140"/>
      <c r="W42" s="140"/>
      <c r="X42" s="14"/>
      <c r="Y42" s="14"/>
      <c r="AMI42"/>
      <c r="AMJ42"/>
    </row>
    <row r="43" spans="1:1024" ht="15" customHeight="1" thickBot="1" x14ac:dyDescent="0.3">
      <c r="A43" s="593" t="s">
        <v>444</v>
      </c>
      <c r="B43" s="594"/>
      <c r="C43" s="595"/>
      <c r="D43" s="167">
        <f>SUM(D38:D42)</f>
        <v>311.38</v>
      </c>
      <c r="E43" s="167"/>
      <c r="F43" s="167">
        <f>SUM(F38:F42)</f>
        <v>2030.16</v>
      </c>
      <c r="G43" s="167"/>
      <c r="H43" s="167">
        <f>SUM(H38:H42)</f>
        <v>2706.86</v>
      </c>
      <c r="I43" s="167"/>
      <c r="J43" s="167">
        <f>SUM(J38:J42)</f>
        <v>196.32</v>
      </c>
      <c r="K43" s="167"/>
      <c r="L43" s="167">
        <f>SUM(L38:L42)</f>
        <v>119.04</v>
      </c>
      <c r="M43" s="138"/>
      <c r="N43" s="139"/>
      <c r="O43" s="139"/>
      <c r="P43" s="139"/>
      <c r="Q43" s="139"/>
      <c r="R43" s="140"/>
      <c r="S43" s="140"/>
      <c r="T43" s="140"/>
      <c r="U43" s="140"/>
      <c r="V43" s="140"/>
      <c r="W43" s="140"/>
      <c r="X43" s="14"/>
      <c r="Y43" s="14"/>
      <c r="AMI43"/>
      <c r="AMJ43"/>
    </row>
    <row r="44" spans="1:1024" ht="15.75" thickBot="1" x14ac:dyDescent="0.3">
      <c r="A44" s="139"/>
      <c r="B44" s="139"/>
      <c r="C44" s="139"/>
      <c r="D44" s="139"/>
      <c r="E44" s="139"/>
      <c r="F44" s="139"/>
      <c r="G44" s="139"/>
      <c r="H44" s="139"/>
      <c r="I44" s="139"/>
      <c r="J44" s="138"/>
      <c r="K44" s="138"/>
      <c r="L44" s="138"/>
      <c r="M44" s="138"/>
      <c r="N44" s="139"/>
      <c r="O44" s="139"/>
      <c r="P44" s="139"/>
      <c r="Q44" s="139"/>
      <c r="R44" s="140"/>
      <c r="S44" s="140"/>
      <c r="T44" s="140"/>
      <c r="U44" s="140"/>
      <c r="V44" s="140"/>
      <c r="W44" s="140"/>
      <c r="X44" s="14"/>
      <c r="Y44" s="14"/>
      <c r="AMI44"/>
      <c r="AMJ44"/>
    </row>
    <row r="45" spans="1:1024" ht="15" customHeight="1" x14ac:dyDescent="0.25">
      <c r="A45" s="565" t="s">
        <v>485</v>
      </c>
      <c r="B45" s="566"/>
      <c r="C45" s="566"/>
      <c r="D45" s="566"/>
      <c r="E45" s="566"/>
      <c r="F45" s="566"/>
      <c r="G45" s="566"/>
      <c r="H45" s="566"/>
      <c r="I45" s="567"/>
      <c r="J45" s="139"/>
      <c r="K45" s="139"/>
      <c r="L45" s="138"/>
      <c r="M45" s="138"/>
      <c r="N45" s="138"/>
      <c r="O45" s="138"/>
      <c r="P45" s="139"/>
      <c r="Q45" s="139"/>
      <c r="R45" s="139"/>
      <c r="S45" s="139"/>
      <c r="T45" s="140"/>
      <c r="U45" s="140"/>
      <c r="V45" s="140"/>
      <c r="W45" s="140"/>
    </row>
    <row r="46" spans="1:1024" ht="15" customHeight="1" x14ac:dyDescent="0.25">
      <c r="A46" s="568"/>
      <c r="B46" s="569"/>
      <c r="C46" s="569"/>
      <c r="D46" s="569"/>
      <c r="E46" s="569"/>
      <c r="F46" s="569"/>
      <c r="G46" s="569"/>
      <c r="H46" s="569"/>
      <c r="I46" s="570"/>
      <c r="J46" s="138"/>
      <c r="K46" s="138"/>
      <c r="L46" s="138"/>
      <c r="M46" s="138"/>
      <c r="N46" s="138"/>
      <c r="O46" s="139"/>
      <c r="P46" s="139"/>
      <c r="Q46" s="139"/>
      <c r="R46" s="139"/>
      <c r="S46" s="140"/>
      <c r="T46" s="140"/>
      <c r="U46" s="140"/>
      <c r="V46" s="140"/>
      <c r="W46" s="140"/>
      <c r="Y46" s="14"/>
      <c r="AMJ46"/>
    </row>
    <row r="47" spans="1:1024" ht="14.45" customHeight="1" thickBot="1" x14ac:dyDescent="0.3">
      <c r="A47" s="571"/>
      <c r="B47" s="572"/>
      <c r="C47" s="572"/>
      <c r="D47" s="572"/>
      <c r="E47" s="572"/>
      <c r="F47" s="572"/>
      <c r="G47" s="572"/>
      <c r="H47" s="572"/>
      <c r="I47" s="573"/>
      <c r="J47" s="138"/>
      <c r="K47" s="138"/>
      <c r="L47" s="138"/>
      <c r="M47" s="139"/>
      <c r="N47" s="138"/>
      <c r="O47" s="139"/>
      <c r="P47" s="139"/>
      <c r="Q47" s="139"/>
      <c r="R47" s="139"/>
      <c r="S47" s="140"/>
      <c r="T47" s="140"/>
      <c r="U47" s="140"/>
      <c r="V47" s="140"/>
      <c r="W47" s="140"/>
      <c r="Y47" s="14"/>
      <c r="AMJ47"/>
    </row>
    <row r="48" spans="1:1024" ht="38.25" x14ac:dyDescent="0.25">
      <c r="A48" s="596" t="s">
        <v>458</v>
      </c>
      <c r="B48" s="597"/>
      <c r="C48" s="182" t="s">
        <v>457</v>
      </c>
      <c r="D48" s="182" t="s">
        <v>445</v>
      </c>
      <c r="E48" s="152" t="s">
        <v>446</v>
      </c>
      <c r="F48" s="152" t="s">
        <v>448</v>
      </c>
      <c r="G48" s="182" t="s">
        <v>488</v>
      </c>
      <c r="H48" s="182" t="s">
        <v>489</v>
      </c>
      <c r="I48" s="184" t="s">
        <v>427</v>
      </c>
      <c r="J48" s="139"/>
      <c r="K48" s="138"/>
      <c r="L48" s="138"/>
      <c r="M48" s="138"/>
      <c r="N48" s="138"/>
      <c r="O48" s="139"/>
      <c r="P48" s="139"/>
      <c r="Q48" s="139"/>
      <c r="R48" s="139"/>
      <c r="S48" s="140"/>
      <c r="T48" s="140"/>
      <c r="U48" s="140"/>
      <c r="V48" s="140"/>
      <c r="W48" s="140"/>
      <c r="Y48" s="14"/>
      <c r="AMJ48"/>
    </row>
    <row r="49" spans="1:1024" x14ac:dyDescent="0.25">
      <c r="A49" s="157"/>
      <c r="B49" s="185" t="str">
        <f>B14</f>
        <v>Nível Superior Senior</v>
      </c>
      <c r="C49" s="102">
        <f>Q14</f>
        <v>38122.54</v>
      </c>
      <c r="D49" s="102">
        <f>D38</f>
        <v>113.34</v>
      </c>
      <c r="E49" s="102">
        <f>F38</f>
        <v>680.08</v>
      </c>
      <c r="F49" s="102">
        <f>H38</f>
        <v>906.8</v>
      </c>
      <c r="G49" s="102">
        <f>J38</f>
        <v>49.08</v>
      </c>
      <c r="H49" s="102">
        <f>L38</f>
        <v>29.76</v>
      </c>
      <c r="I49" s="114">
        <f>SUM(C49:H49)</f>
        <v>39901.600000000006</v>
      </c>
      <c r="J49" s="139"/>
      <c r="K49" s="138"/>
      <c r="L49" s="138"/>
      <c r="M49" s="138"/>
      <c r="N49" s="138"/>
      <c r="O49" s="139"/>
      <c r="P49" s="139"/>
      <c r="Q49" s="139"/>
      <c r="R49" s="139"/>
      <c r="S49" s="140"/>
      <c r="T49" s="140"/>
      <c r="U49" s="140"/>
      <c r="V49" s="140"/>
      <c r="W49" s="140"/>
      <c r="Y49" s="14"/>
      <c r="AMJ49"/>
    </row>
    <row r="50" spans="1:1024" x14ac:dyDescent="0.25">
      <c r="A50" s="157"/>
      <c r="B50" s="185" t="str">
        <f>B15</f>
        <v>Nível Superior Pleno</v>
      </c>
      <c r="C50" s="102">
        <f>Q15</f>
        <v>61083.98</v>
      </c>
      <c r="D50" s="102">
        <f>D39</f>
        <v>90.6</v>
      </c>
      <c r="E50" s="102">
        <f>F39</f>
        <v>543.64</v>
      </c>
      <c r="F50" s="102">
        <f>H39</f>
        <v>724.9</v>
      </c>
      <c r="G50" s="102">
        <f>J39</f>
        <v>49.08</v>
      </c>
      <c r="H50" s="102">
        <f>L39</f>
        <v>29.76</v>
      </c>
      <c r="I50" s="114">
        <f>SUM(C50:H50)</f>
        <v>62521.960000000006</v>
      </c>
      <c r="J50" s="139"/>
      <c r="K50" s="138"/>
      <c r="L50" s="138"/>
      <c r="M50" s="138"/>
      <c r="N50" s="138"/>
      <c r="O50" s="139"/>
      <c r="P50" s="139"/>
      <c r="Q50" s="139"/>
      <c r="R50" s="139"/>
      <c r="S50" s="140"/>
      <c r="T50" s="140"/>
      <c r="U50" s="140"/>
      <c r="V50" s="140"/>
      <c r="W50" s="140"/>
      <c r="Y50" s="14"/>
      <c r="AMJ50"/>
    </row>
    <row r="51" spans="1:1024" x14ac:dyDescent="0.25">
      <c r="A51" s="157"/>
      <c r="B51" s="185" t="str">
        <f>B16</f>
        <v>Nível Superior Junior</v>
      </c>
      <c r="C51" s="102">
        <f>Q16</f>
        <v>0</v>
      </c>
      <c r="D51" s="102">
        <f>D40</f>
        <v>0</v>
      </c>
      <c r="E51" s="102">
        <f>F40</f>
        <v>0</v>
      </c>
      <c r="F51" s="102">
        <f>H40</f>
        <v>0</v>
      </c>
      <c r="G51" s="102">
        <f>J40</f>
        <v>0</v>
      </c>
      <c r="H51" s="102">
        <f>L40</f>
        <v>0</v>
      </c>
      <c r="I51" s="114">
        <f>SUM(C51:H51)</f>
        <v>0</v>
      </c>
      <c r="J51" s="139"/>
      <c r="K51" s="138"/>
      <c r="L51" s="138"/>
      <c r="M51" s="138"/>
      <c r="N51" s="138"/>
      <c r="O51" s="139"/>
      <c r="P51" s="139"/>
      <c r="Q51" s="139"/>
      <c r="R51" s="139"/>
      <c r="S51" s="140"/>
      <c r="T51" s="140"/>
      <c r="U51" s="140"/>
      <c r="V51" s="140"/>
      <c r="W51" s="140"/>
      <c r="Y51" s="14"/>
      <c r="AMJ51"/>
    </row>
    <row r="52" spans="1:1024" x14ac:dyDescent="0.25">
      <c r="A52" s="157"/>
      <c r="B52" s="185" t="str">
        <f>B17</f>
        <v>Técnico Nível Médio Sênior</v>
      </c>
      <c r="C52" s="102">
        <f>Q17</f>
        <v>14784.42</v>
      </c>
      <c r="D52" s="102">
        <f>D41</f>
        <v>63.96</v>
      </c>
      <c r="E52" s="102">
        <f>F41</f>
        <v>479.96</v>
      </c>
      <c r="F52" s="102">
        <f>H41</f>
        <v>639.79999999999995</v>
      </c>
      <c r="G52" s="102">
        <f>J41</f>
        <v>49.08</v>
      </c>
      <c r="H52" s="102">
        <f>L41</f>
        <v>29.76</v>
      </c>
      <c r="I52" s="114">
        <f>SUM(C52:H52)</f>
        <v>16046.979999999998</v>
      </c>
      <c r="J52" s="139"/>
      <c r="K52" s="138"/>
      <c r="L52" s="138"/>
      <c r="M52" s="138"/>
      <c r="N52" s="138"/>
      <c r="O52" s="139"/>
      <c r="P52" s="139"/>
      <c r="Q52" s="139"/>
      <c r="R52" s="139"/>
      <c r="S52" s="140"/>
      <c r="T52" s="140"/>
      <c r="U52" s="140"/>
      <c r="V52" s="140"/>
      <c r="W52" s="140"/>
      <c r="Y52" s="14"/>
      <c r="AMJ52"/>
    </row>
    <row r="53" spans="1:1024" x14ac:dyDescent="0.25">
      <c r="A53" s="157"/>
      <c r="B53" s="185" t="str">
        <f>B18</f>
        <v>Técnico Nível Médio Pleno</v>
      </c>
      <c r="C53" s="102">
        <f>Q18</f>
        <v>53335.95</v>
      </c>
      <c r="D53" s="102">
        <f>D42</f>
        <v>43.48</v>
      </c>
      <c r="E53" s="102">
        <f>F42</f>
        <v>326.48</v>
      </c>
      <c r="F53" s="102">
        <f>H42</f>
        <v>435.36</v>
      </c>
      <c r="G53" s="102">
        <f>J42</f>
        <v>49.08</v>
      </c>
      <c r="H53" s="102">
        <f>L42</f>
        <v>29.76</v>
      </c>
      <c r="I53" s="114">
        <f>SUM(C53:H53)</f>
        <v>54220.110000000008</v>
      </c>
      <c r="J53" s="139"/>
      <c r="K53" s="138"/>
      <c r="L53" s="138"/>
      <c r="M53" s="138"/>
      <c r="N53" s="138"/>
      <c r="O53" s="139"/>
      <c r="P53" s="139"/>
      <c r="Q53" s="139"/>
      <c r="R53" s="139"/>
      <c r="S53" s="140"/>
      <c r="T53" s="140"/>
      <c r="U53" s="140"/>
      <c r="V53" s="140"/>
      <c r="W53" s="140"/>
      <c r="Y53" s="14"/>
      <c r="AMJ53"/>
    </row>
    <row r="54" spans="1:1024" ht="15.75" thickBot="1" x14ac:dyDescent="0.3">
      <c r="A54" s="598" t="s">
        <v>427</v>
      </c>
      <c r="B54" s="599"/>
      <c r="C54" s="113">
        <f t="shared" ref="C54:I54" si="1">SUM(C49:C53)</f>
        <v>167326.89000000001</v>
      </c>
      <c r="D54" s="113">
        <f t="shared" si="1"/>
        <v>311.38</v>
      </c>
      <c r="E54" s="113">
        <f t="shared" si="1"/>
        <v>2030.16</v>
      </c>
      <c r="F54" s="113">
        <f t="shared" si="1"/>
        <v>2706.86</v>
      </c>
      <c r="G54" s="113">
        <f t="shared" si="1"/>
        <v>196.32</v>
      </c>
      <c r="H54" s="113">
        <f t="shared" si="1"/>
        <v>119.04</v>
      </c>
      <c r="I54" s="115">
        <f t="shared" si="1"/>
        <v>172690.65000000002</v>
      </c>
      <c r="J54" s="139"/>
      <c r="K54" s="138"/>
      <c r="L54" s="138"/>
      <c r="M54" s="138"/>
      <c r="N54" s="138"/>
      <c r="O54" s="139"/>
      <c r="P54" s="139"/>
      <c r="Q54" s="139"/>
      <c r="R54" s="139"/>
      <c r="S54" s="140"/>
      <c r="T54" s="140"/>
      <c r="U54" s="140"/>
      <c r="V54" s="140"/>
      <c r="W54" s="140"/>
      <c r="Y54" s="14"/>
      <c r="AMJ54"/>
    </row>
    <row r="55" spans="1:1024" x14ac:dyDescent="0.25">
      <c r="A55" s="139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8"/>
      <c r="M55" s="138"/>
      <c r="N55" s="138"/>
      <c r="O55" s="138"/>
      <c r="P55" s="139"/>
      <c r="Q55" s="139"/>
      <c r="R55" s="139"/>
      <c r="S55" s="139"/>
      <c r="T55" s="140"/>
      <c r="U55" s="140"/>
      <c r="V55" s="140"/>
      <c r="W55" s="140"/>
    </row>
    <row r="56" spans="1:1024" x14ac:dyDescent="0.25">
      <c r="A56" s="605" t="s">
        <v>621</v>
      </c>
      <c r="B56" s="605"/>
      <c r="C56" s="605"/>
      <c r="D56" s="605"/>
      <c r="E56" s="605"/>
      <c r="F56" s="605"/>
      <c r="G56" s="139"/>
      <c r="H56" s="139"/>
      <c r="I56" s="139"/>
      <c r="J56" s="139"/>
      <c r="K56" s="139"/>
      <c r="L56" s="138"/>
      <c r="M56" s="138"/>
      <c r="N56" s="138"/>
      <c r="O56" s="138"/>
      <c r="P56" s="139"/>
      <c r="Q56" s="139"/>
      <c r="R56" s="139"/>
      <c r="S56" s="139"/>
      <c r="T56" s="140"/>
      <c r="U56" s="140"/>
      <c r="V56" s="140"/>
      <c r="W56" s="140"/>
    </row>
    <row r="57" spans="1:1024" ht="14.45" customHeight="1" x14ac:dyDescent="0.25">
      <c r="A57" s="606" t="s">
        <v>500</v>
      </c>
      <c r="B57" s="606"/>
      <c r="C57" s="606"/>
      <c r="D57" s="606"/>
      <c r="E57" s="606"/>
      <c r="F57" s="606"/>
      <c r="G57" s="139"/>
      <c r="H57" s="139"/>
      <c r="I57" s="139"/>
      <c r="J57" s="139"/>
      <c r="K57" s="139"/>
      <c r="L57" s="138"/>
      <c r="M57" s="138"/>
      <c r="N57" s="138"/>
      <c r="O57" s="138"/>
      <c r="P57" s="139"/>
      <c r="Q57" s="139"/>
      <c r="R57" s="139"/>
      <c r="S57" s="139"/>
      <c r="T57" s="140"/>
      <c r="U57" s="140"/>
      <c r="V57" s="140"/>
      <c r="W57" s="140"/>
    </row>
    <row r="58" spans="1:1024" x14ac:dyDescent="0.25">
      <c r="A58" s="186"/>
      <c r="B58" s="186"/>
      <c r="C58" s="186"/>
      <c r="D58" s="187" t="s">
        <v>31</v>
      </c>
      <c r="E58" s="186" t="s">
        <v>502</v>
      </c>
      <c r="F58" s="186"/>
      <c r="G58" s="139"/>
      <c r="H58" s="139"/>
      <c r="I58" s="139"/>
      <c r="J58" s="139"/>
      <c r="K58" s="139"/>
      <c r="L58" s="138"/>
      <c r="M58" s="138"/>
      <c r="N58" s="138"/>
      <c r="O58" s="138"/>
      <c r="P58" s="139"/>
      <c r="Q58" s="139"/>
      <c r="R58" s="139"/>
      <c r="S58" s="139"/>
      <c r="T58" s="140"/>
      <c r="U58" s="140"/>
      <c r="V58" s="140"/>
      <c r="W58" s="140"/>
    </row>
    <row r="59" spans="1:1024" x14ac:dyDescent="0.25">
      <c r="A59" s="188" t="s">
        <v>196</v>
      </c>
      <c r="B59" s="188" t="s">
        <v>491</v>
      </c>
      <c r="C59" s="188" t="s">
        <v>494</v>
      </c>
      <c r="D59" s="188" t="s">
        <v>279</v>
      </c>
      <c r="E59" s="188" t="s">
        <v>492</v>
      </c>
      <c r="F59" s="188" t="s">
        <v>493</v>
      </c>
      <c r="G59" s="139"/>
      <c r="H59" s="139"/>
      <c r="I59" s="139"/>
      <c r="J59" s="139"/>
      <c r="K59" s="139"/>
      <c r="L59" s="138"/>
      <c r="M59" s="138"/>
      <c r="N59" s="138"/>
      <c r="O59" s="138"/>
      <c r="P59" s="139"/>
      <c r="Q59" s="139"/>
      <c r="R59" s="139"/>
      <c r="S59" s="139"/>
      <c r="T59" s="140"/>
      <c r="U59" s="140"/>
      <c r="V59" s="140"/>
      <c r="W59" s="140"/>
    </row>
    <row r="60" spans="1:1024" ht="38.25" x14ac:dyDescent="0.25">
      <c r="A60" s="128">
        <v>1</v>
      </c>
      <c r="B60" s="189" t="s">
        <v>135</v>
      </c>
      <c r="C60" s="118" t="s">
        <v>473</v>
      </c>
      <c r="D60" s="529">
        <f>Licenças!D8</f>
        <v>15141.956</v>
      </c>
      <c r="E60" s="524">
        <f>IF($D$7="PLANILHA PARA LICITAÇÃO (PRECIFICAÇÃO)",Licenças!F8,0)</f>
        <v>1</v>
      </c>
      <c r="F60" s="190">
        <f>IF($D$7="PLANILHA PARA LICITAÇÃO (PRECIFICAÇÃO)",D60/Licenças!E8*E60,D60*E60)</f>
        <v>1261.8296666666668</v>
      </c>
      <c r="G60" s="139"/>
      <c r="H60" s="139"/>
      <c r="I60" s="139"/>
      <c r="J60" s="139"/>
      <c r="K60" s="139"/>
      <c r="L60" s="138"/>
      <c r="M60" s="138"/>
      <c r="N60" s="138"/>
      <c r="O60" s="138"/>
      <c r="P60" s="139"/>
      <c r="Q60" s="139"/>
      <c r="R60" s="139"/>
      <c r="S60" s="139"/>
      <c r="T60" s="140"/>
      <c r="U60" s="140"/>
      <c r="V60" s="140"/>
      <c r="W60" s="140"/>
    </row>
    <row r="61" spans="1:1024" ht="25.5" x14ac:dyDescent="0.25">
      <c r="A61" s="128">
        <v>2</v>
      </c>
      <c r="B61" s="189" t="s">
        <v>136</v>
      </c>
      <c r="C61" s="118" t="s">
        <v>473</v>
      </c>
      <c r="D61" s="529">
        <f>Licenças!D9</f>
        <v>1988.4175</v>
      </c>
      <c r="E61" s="524">
        <f>IF($D$7="PLANILHA PARA LICITAÇÃO (PRECIFICAÇÃO)",Licenças!F9,0)</f>
        <v>2</v>
      </c>
      <c r="F61" s="190">
        <f>IF($D$7="PLANILHA PARA LICITAÇÃO (PRECIFICAÇÃO)",D61/Licenças!E9*E61,D61*E61)</f>
        <v>331.40291666666667</v>
      </c>
      <c r="G61" s="139"/>
      <c r="H61" s="139"/>
      <c r="I61" s="139"/>
      <c r="J61" s="139"/>
      <c r="K61" s="139"/>
      <c r="L61" s="138"/>
      <c r="M61" s="138"/>
      <c r="N61" s="138"/>
      <c r="O61" s="138"/>
      <c r="P61" s="139"/>
      <c r="Q61" s="139"/>
      <c r="R61" s="139"/>
      <c r="S61" s="139"/>
      <c r="T61" s="140"/>
      <c r="U61" s="140"/>
      <c r="V61" s="140"/>
      <c r="W61" s="140"/>
    </row>
    <row r="62" spans="1:1024" x14ac:dyDescent="0.25">
      <c r="A62" s="128">
        <v>3</v>
      </c>
      <c r="B62" s="189" t="s">
        <v>137</v>
      </c>
      <c r="C62" s="118" t="s">
        <v>473</v>
      </c>
      <c r="D62" s="529">
        <f>Licenças!D10</f>
        <v>2186</v>
      </c>
      <c r="E62" s="524">
        <f>IF($D$7="PLANILHA PARA LICITAÇÃO (PRECIFICAÇÃO)",Licenças!F10,0)</f>
        <v>2</v>
      </c>
      <c r="F62" s="190">
        <f>IF($D$7="PLANILHA PARA LICITAÇÃO (PRECIFICAÇÃO)",D62/Licenças!E10*E62,D62*E62)</f>
        <v>364.33333333333331</v>
      </c>
      <c r="G62" s="139"/>
      <c r="H62" s="139"/>
      <c r="I62" s="139"/>
      <c r="J62" s="139"/>
      <c r="K62" s="139"/>
      <c r="L62" s="138"/>
      <c r="M62" s="138"/>
      <c r="N62" s="138"/>
      <c r="O62" s="138"/>
      <c r="P62" s="139"/>
      <c r="Q62" s="139"/>
      <c r="R62" s="139"/>
      <c r="S62" s="139"/>
      <c r="T62" s="140"/>
      <c r="U62" s="140"/>
      <c r="V62" s="140"/>
      <c r="W62" s="140"/>
    </row>
    <row r="63" spans="1:1024" ht="25.5" x14ac:dyDescent="0.25">
      <c r="A63" s="128">
        <v>4</v>
      </c>
      <c r="B63" s="189" t="s">
        <v>138</v>
      </c>
      <c r="C63" s="118" t="s">
        <v>473</v>
      </c>
      <c r="D63" s="529">
        <f>Licenças!D11</f>
        <v>3772.4</v>
      </c>
      <c r="E63" s="524">
        <f>IF($D$7="PLANILHA PARA LICITAÇÃO (PRECIFICAÇÃO)",Licenças!F11,0)</f>
        <v>1</v>
      </c>
      <c r="F63" s="190">
        <f>IF($D$7="PLANILHA PARA LICITAÇÃO (PRECIFICAÇÃO)",D63/Licenças!E11*E63,D63*E63)</f>
        <v>314.36666666666667</v>
      </c>
      <c r="G63" s="139"/>
      <c r="H63" s="139"/>
      <c r="I63" s="139"/>
      <c r="J63" s="139"/>
      <c r="K63" s="139"/>
      <c r="L63" s="138"/>
      <c r="M63" s="138"/>
      <c r="N63" s="138"/>
      <c r="O63" s="138"/>
      <c r="P63" s="139"/>
      <c r="Q63" s="139"/>
      <c r="R63" s="139"/>
      <c r="S63" s="139"/>
      <c r="T63" s="140"/>
      <c r="U63" s="140"/>
      <c r="V63" s="140"/>
      <c r="W63" s="140"/>
    </row>
    <row r="64" spans="1:1024" ht="15.75" thickBot="1" x14ac:dyDescent="0.3">
      <c r="A64" s="598" t="s">
        <v>427</v>
      </c>
      <c r="B64" s="599"/>
      <c r="C64" s="600"/>
      <c r="D64" s="113"/>
      <c r="E64" s="113"/>
      <c r="F64" s="115">
        <f>SUM(F60:F63)</f>
        <v>2271.9325833333332</v>
      </c>
      <c r="G64" s="139"/>
      <c r="H64" s="139"/>
      <c r="I64" s="139"/>
      <c r="J64" s="139"/>
      <c r="K64" s="139"/>
      <c r="L64" s="138"/>
      <c r="M64" s="138"/>
      <c r="N64" s="138"/>
      <c r="O64" s="138"/>
      <c r="P64" s="139"/>
      <c r="Q64" s="139"/>
      <c r="R64" s="139"/>
      <c r="S64" s="139"/>
      <c r="T64" s="140"/>
      <c r="U64" s="140"/>
      <c r="V64" s="140"/>
      <c r="W64" s="140"/>
    </row>
    <row r="65" spans="1:23" x14ac:dyDescent="0.25">
      <c r="A65" s="608" t="s">
        <v>296</v>
      </c>
      <c r="B65" s="608"/>
      <c r="C65" s="608"/>
      <c r="D65" s="608"/>
      <c r="E65" s="192">
        <f>Dados!G53</f>
        <v>0.03</v>
      </c>
      <c r="F65" s="193">
        <f>F64*E65</f>
        <v>68.157977500000001</v>
      </c>
      <c r="G65" s="139"/>
      <c r="H65" s="139"/>
      <c r="I65" s="139"/>
      <c r="J65" s="139"/>
      <c r="K65" s="139"/>
      <c r="L65" s="138"/>
      <c r="M65" s="138"/>
      <c r="N65" s="138"/>
      <c r="O65" s="138"/>
      <c r="P65" s="139"/>
      <c r="Q65" s="139"/>
      <c r="R65" s="139"/>
      <c r="S65" s="139"/>
      <c r="T65" s="140"/>
      <c r="U65" s="140"/>
      <c r="V65" s="140"/>
      <c r="W65" s="140"/>
    </row>
    <row r="66" spans="1:23" x14ac:dyDescent="0.25">
      <c r="A66" s="608" t="s">
        <v>297</v>
      </c>
      <c r="B66" s="608"/>
      <c r="C66" s="608"/>
      <c r="D66" s="608"/>
      <c r="E66" s="191"/>
      <c r="F66" s="119">
        <f>F64+F65</f>
        <v>2340.0905608333333</v>
      </c>
      <c r="G66" s="139"/>
      <c r="H66" s="139"/>
      <c r="I66" s="139"/>
      <c r="J66" s="139"/>
      <c r="K66" s="139"/>
      <c r="L66" s="138"/>
      <c r="M66" s="138"/>
      <c r="N66" s="138"/>
      <c r="O66" s="138"/>
      <c r="P66" s="139"/>
      <c r="Q66" s="139"/>
      <c r="R66" s="139"/>
      <c r="S66" s="139"/>
      <c r="T66" s="140"/>
      <c r="U66" s="140"/>
      <c r="V66" s="140"/>
      <c r="W66" s="140"/>
    </row>
    <row r="67" spans="1:23" x14ac:dyDescent="0.25">
      <c r="A67" s="608" t="s">
        <v>125</v>
      </c>
      <c r="B67" s="608"/>
      <c r="C67" s="608"/>
      <c r="D67" s="608"/>
      <c r="E67" s="192">
        <f>Dados!G54</f>
        <v>6.7900000000000002E-2</v>
      </c>
      <c r="F67" s="193">
        <f>F66*E67</f>
        <v>158.89214908058332</v>
      </c>
      <c r="G67" s="139"/>
      <c r="H67" s="139"/>
      <c r="I67" s="139"/>
      <c r="J67" s="139"/>
      <c r="K67" s="139"/>
      <c r="L67" s="138"/>
      <c r="M67" s="138"/>
      <c r="N67" s="138"/>
      <c r="O67" s="138"/>
      <c r="P67" s="139"/>
      <c r="Q67" s="139"/>
      <c r="R67" s="139"/>
      <c r="S67" s="139"/>
      <c r="T67" s="140"/>
      <c r="U67" s="140"/>
      <c r="V67" s="140"/>
      <c r="W67" s="140"/>
    </row>
    <row r="68" spans="1:23" x14ac:dyDescent="0.25">
      <c r="A68" s="609" t="s">
        <v>430</v>
      </c>
      <c r="B68" s="609"/>
      <c r="C68" s="609"/>
      <c r="D68" s="609"/>
      <c r="E68" s="194"/>
      <c r="F68" s="195">
        <f>F65+F67</f>
        <v>227.05012658058331</v>
      </c>
      <c r="G68" s="139"/>
      <c r="H68" s="139"/>
      <c r="I68" s="139"/>
      <c r="J68" s="139"/>
      <c r="K68" s="139"/>
      <c r="L68" s="138"/>
      <c r="M68" s="138"/>
      <c r="N68" s="138"/>
      <c r="O68" s="138"/>
      <c r="P68" s="139"/>
      <c r="Q68" s="139"/>
      <c r="R68" s="139"/>
      <c r="S68" s="139"/>
      <c r="T68" s="140"/>
      <c r="U68" s="140"/>
      <c r="V68" s="140"/>
      <c r="W68" s="140"/>
    </row>
    <row r="69" spans="1:23" x14ac:dyDescent="0.25">
      <c r="A69" s="609" t="s">
        <v>498</v>
      </c>
      <c r="B69" s="609"/>
      <c r="C69" s="609"/>
      <c r="D69" s="609"/>
      <c r="E69" s="194"/>
      <c r="F69" s="195">
        <f>F64+F68</f>
        <v>2498.9827099139166</v>
      </c>
      <c r="G69" s="139"/>
      <c r="H69" s="139"/>
      <c r="I69" s="139"/>
      <c r="J69" s="139"/>
      <c r="K69" s="139"/>
      <c r="L69" s="138"/>
      <c r="M69" s="138"/>
      <c r="N69" s="138"/>
      <c r="O69" s="138"/>
      <c r="P69" s="139"/>
      <c r="Q69" s="139"/>
      <c r="R69" s="139"/>
      <c r="S69" s="139"/>
      <c r="T69" s="140"/>
      <c r="U69" s="140"/>
      <c r="V69" s="140"/>
      <c r="W69" s="140"/>
    </row>
    <row r="70" spans="1:23" x14ac:dyDescent="0.25">
      <c r="A70" s="608" t="s">
        <v>130</v>
      </c>
      <c r="B70" s="608"/>
      <c r="C70" s="608"/>
      <c r="D70" s="608"/>
      <c r="E70" s="196">
        <f>Dados!G61</f>
        <v>7.5999999999999998E-2</v>
      </c>
      <c r="F70" s="197">
        <f>$F$75*E70</f>
        <v>221.48452</v>
      </c>
      <c r="G70" s="139"/>
      <c r="H70" s="139"/>
      <c r="I70" s="139"/>
      <c r="J70" s="139"/>
      <c r="K70" s="139"/>
      <c r="L70" s="138"/>
      <c r="M70" s="138"/>
      <c r="N70" s="138"/>
      <c r="O70" s="138"/>
      <c r="P70" s="139"/>
      <c r="Q70" s="139"/>
      <c r="R70" s="139"/>
      <c r="S70" s="139"/>
      <c r="T70" s="140"/>
      <c r="U70" s="140"/>
      <c r="V70" s="140"/>
      <c r="W70" s="140"/>
    </row>
    <row r="71" spans="1:23" x14ac:dyDescent="0.25">
      <c r="A71" s="608" t="s">
        <v>131</v>
      </c>
      <c r="B71" s="608"/>
      <c r="C71" s="608"/>
      <c r="D71" s="608"/>
      <c r="E71" s="196">
        <f>Dados!G62</f>
        <v>1.6500000000000001E-2</v>
      </c>
      <c r="F71" s="197">
        <f>$F$75*E71</f>
        <v>48.085455000000003</v>
      </c>
      <c r="G71" s="139"/>
      <c r="H71" s="139"/>
      <c r="I71" s="139"/>
      <c r="J71" s="139"/>
      <c r="K71" s="139"/>
      <c r="L71" s="138"/>
      <c r="M71" s="138"/>
      <c r="N71" s="138"/>
      <c r="O71" s="138"/>
      <c r="P71" s="139"/>
      <c r="Q71" s="139"/>
      <c r="R71" s="139"/>
      <c r="S71" s="139"/>
      <c r="T71" s="140"/>
      <c r="U71" s="140"/>
      <c r="V71" s="140"/>
      <c r="W71" s="140"/>
    </row>
    <row r="72" spans="1:23" x14ac:dyDescent="0.25">
      <c r="A72" s="608" t="s">
        <v>132</v>
      </c>
      <c r="B72" s="608"/>
      <c r="C72" s="608"/>
      <c r="D72" s="608"/>
      <c r="E72" s="196">
        <f>Dados!G63</f>
        <v>0.05</v>
      </c>
      <c r="F72" s="197">
        <f>$F$75*E72</f>
        <v>145.71350000000001</v>
      </c>
      <c r="G72" s="139"/>
      <c r="H72" s="139"/>
      <c r="I72" s="139"/>
      <c r="J72" s="139"/>
      <c r="K72" s="139"/>
      <c r="L72" s="138"/>
      <c r="M72" s="138"/>
      <c r="N72" s="138"/>
      <c r="O72" s="138"/>
      <c r="P72" s="139"/>
      <c r="Q72" s="139"/>
      <c r="R72" s="139"/>
      <c r="S72" s="139"/>
      <c r="T72" s="140"/>
      <c r="U72" s="140"/>
      <c r="V72" s="140"/>
      <c r="W72" s="140"/>
    </row>
    <row r="73" spans="1:23" x14ac:dyDescent="0.25">
      <c r="A73" s="608" t="s">
        <v>499</v>
      </c>
      <c r="B73" s="608"/>
      <c r="C73" s="608"/>
      <c r="D73" s="608"/>
      <c r="E73" s="196">
        <f>Dados!G64</f>
        <v>0</v>
      </c>
      <c r="F73" s="197">
        <f>$F$75*E73</f>
        <v>0</v>
      </c>
      <c r="G73" s="139"/>
      <c r="H73" s="139"/>
      <c r="I73" s="139"/>
      <c r="J73" s="139"/>
      <c r="K73" s="139"/>
      <c r="L73" s="138"/>
      <c r="M73" s="138"/>
      <c r="N73" s="138"/>
      <c r="O73" s="138"/>
      <c r="P73" s="139"/>
      <c r="Q73" s="139"/>
      <c r="R73" s="139"/>
      <c r="S73" s="139"/>
      <c r="T73" s="140"/>
      <c r="U73" s="140"/>
      <c r="V73" s="140"/>
      <c r="W73" s="140"/>
    </row>
    <row r="74" spans="1:23" x14ac:dyDescent="0.25">
      <c r="A74" s="609" t="s">
        <v>432</v>
      </c>
      <c r="B74" s="609"/>
      <c r="C74" s="609"/>
      <c r="D74" s="609"/>
      <c r="E74" s="198">
        <f>SUM(E70:E73)</f>
        <v>0.14250000000000002</v>
      </c>
      <c r="F74" s="195">
        <f>SUM(F70:F73)</f>
        <v>415.28347500000001</v>
      </c>
      <c r="G74" s="139"/>
      <c r="H74" s="139"/>
      <c r="I74" s="139"/>
      <c r="J74" s="139"/>
      <c r="K74" s="139"/>
      <c r="L74" s="138"/>
      <c r="M74" s="138"/>
      <c r="N74" s="138"/>
      <c r="O74" s="138"/>
      <c r="P74" s="139"/>
      <c r="Q74" s="139"/>
      <c r="R74" s="139"/>
      <c r="S74" s="139"/>
      <c r="T74" s="140"/>
      <c r="U74" s="140"/>
      <c r="V74" s="140"/>
      <c r="W74" s="140"/>
    </row>
    <row r="75" spans="1:23" ht="15.75" thickBot="1" x14ac:dyDescent="0.3">
      <c r="A75" s="598" t="s">
        <v>501</v>
      </c>
      <c r="B75" s="599"/>
      <c r="C75" s="599"/>
      <c r="D75" s="600"/>
      <c r="E75" s="133">
        <f>E74</f>
        <v>0.14250000000000002</v>
      </c>
      <c r="F75" s="115">
        <f>ROUND(F69/(1-$E$75),2)</f>
        <v>2914.27</v>
      </c>
      <c r="G75" s="139"/>
      <c r="H75" s="139"/>
      <c r="I75" s="139"/>
      <c r="J75" s="139"/>
      <c r="K75" s="139"/>
      <c r="L75" s="138"/>
      <c r="M75" s="138"/>
      <c r="N75" s="138"/>
      <c r="O75" s="138"/>
      <c r="P75" s="139"/>
      <c r="Q75" s="139"/>
      <c r="R75" s="139"/>
      <c r="S75" s="139"/>
      <c r="T75" s="140"/>
      <c r="U75" s="140"/>
      <c r="V75" s="140"/>
      <c r="W75" s="140"/>
    </row>
    <row r="76" spans="1:23" ht="15.75" thickBot="1" x14ac:dyDescent="0.3">
      <c r="A76" s="139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8"/>
      <c r="M76" s="138"/>
      <c r="N76" s="138"/>
      <c r="O76" s="138"/>
      <c r="P76" s="139"/>
      <c r="Q76" s="139"/>
      <c r="R76" s="139"/>
      <c r="S76" s="139"/>
      <c r="T76" s="140"/>
      <c r="U76" s="140"/>
      <c r="V76" s="140"/>
      <c r="W76" s="140"/>
    </row>
    <row r="77" spans="1:23" ht="21.75" thickBot="1" x14ac:dyDescent="0.3">
      <c r="A77" s="582" t="s">
        <v>463</v>
      </c>
      <c r="B77" s="583"/>
      <c r="C77" s="583"/>
      <c r="D77" s="583"/>
      <c r="E77" s="584"/>
      <c r="F77" s="139"/>
      <c r="G77" s="139"/>
      <c r="H77" s="139"/>
      <c r="I77" s="139"/>
      <c r="J77" s="139"/>
      <c r="K77" s="139"/>
      <c r="L77" s="138"/>
      <c r="M77" s="138"/>
      <c r="N77" s="138"/>
      <c r="O77" s="138"/>
      <c r="P77" s="139"/>
      <c r="Q77" s="139"/>
      <c r="R77" s="139"/>
      <c r="S77" s="139"/>
      <c r="T77" s="140"/>
      <c r="U77" s="140"/>
      <c r="V77" s="140"/>
      <c r="W77" s="140"/>
    </row>
    <row r="78" spans="1:23" ht="27.6" customHeight="1" x14ac:dyDescent="0.25">
      <c r="A78" s="601" t="s">
        <v>458</v>
      </c>
      <c r="B78" s="602"/>
      <c r="C78" s="602"/>
      <c r="D78" s="182" t="s">
        <v>574</v>
      </c>
      <c r="E78" s="184" t="s">
        <v>457</v>
      </c>
      <c r="F78" s="139"/>
      <c r="G78" s="139"/>
      <c r="H78" s="139"/>
      <c r="I78" s="139"/>
      <c r="J78" s="139"/>
      <c r="K78" s="139"/>
      <c r="L78" s="138"/>
      <c r="M78" s="138"/>
      <c r="N78" s="138"/>
      <c r="O78" s="138"/>
      <c r="P78" s="139"/>
      <c r="Q78" s="139"/>
      <c r="R78" s="139"/>
      <c r="S78" s="139"/>
      <c r="T78" s="140"/>
      <c r="U78" s="140"/>
      <c r="V78" s="140"/>
      <c r="W78" s="140"/>
    </row>
    <row r="79" spans="1:23" ht="28.9" customHeight="1" x14ac:dyDescent="0.25">
      <c r="A79" s="157"/>
      <c r="B79" s="603" t="str">
        <f>Dados!B69</f>
        <v>ART PARA SERVIÇOS COM VALOR IGUAL OU MENOR QUE R$15.000,00</v>
      </c>
      <c r="C79" s="603"/>
      <c r="D79" s="524">
        <f>IF(D7="PLANILHA PARA LICITAÇÃO (PRECIFICAÇÃO)",Dados!F69,0)</f>
        <v>2</v>
      </c>
      <c r="E79" s="114">
        <f>D79*ART!D24</f>
        <v>247.88</v>
      </c>
      <c r="F79" s="139"/>
      <c r="G79" s="139"/>
      <c r="H79" s="139"/>
      <c r="I79" s="139"/>
      <c r="J79" s="139"/>
      <c r="K79" s="139"/>
      <c r="L79" s="138"/>
      <c r="M79" s="138"/>
      <c r="N79" s="138"/>
      <c r="O79" s="138"/>
      <c r="P79" s="139"/>
      <c r="Q79" s="139"/>
      <c r="R79" s="139"/>
      <c r="S79" s="139"/>
      <c r="T79" s="140"/>
      <c r="U79" s="140"/>
      <c r="V79" s="140"/>
      <c r="W79" s="140"/>
    </row>
    <row r="80" spans="1:23" x14ac:dyDescent="0.25">
      <c r="A80" s="157"/>
      <c r="B80" s="603" t="str">
        <f>Dados!B70</f>
        <v>ART PARA SERVIÇOS COM VALOR MAIOR QUE R$15.000,00</v>
      </c>
      <c r="C80" s="603"/>
      <c r="D80" s="524">
        <f>IF(D7="PLANILHA PARA LICITAÇÃO (PRECIFICAÇÃO)",Dados!F70,0)</f>
        <v>1</v>
      </c>
      <c r="E80" s="114">
        <f>D80*ART!D46</f>
        <v>326.58</v>
      </c>
      <c r="F80" s="139"/>
      <c r="G80" s="139"/>
      <c r="H80" s="139"/>
      <c r="I80" s="139"/>
      <c r="J80" s="139"/>
      <c r="K80" s="139"/>
      <c r="L80" s="138"/>
      <c r="M80" s="138"/>
      <c r="N80" s="138"/>
      <c r="O80" s="138"/>
      <c r="P80" s="139"/>
      <c r="Q80" s="139"/>
      <c r="R80" s="139"/>
      <c r="S80" s="139"/>
      <c r="T80" s="140"/>
      <c r="U80" s="140"/>
      <c r="V80" s="140"/>
      <c r="W80" s="140"/>
    </row>
    <row r="81" spans="1:1024" ht="15.75" thickBot="1" x14ac:dyDescent="0.3">
      <c r="A81" s="598" t="s">
        <v>427</v>
      </c>
      <c r="B81" s="599"/>
      <c r="C81" s="600"/>
      <c r="D81" s="113"/>
      <c r="E81" s="115">
        <f>SUM(E79:E80)</f>
        <v>574.46</v>
      </c>
      <c r="F81" s="139"/>
      <c r="G81" s="139"/>
      <c r="H81" s="139"/>
      <c r="I81" s="139"/>
      <c r="J81" s="139"/>
      <c r="K81" s="139"/>
      <c r="L81" s="138"/>
      <c r="M81" s="138"/>
      <c r="N81" s="138"/>
      <c r="O81" s="138"/>
      <c r="P81" s="139"/>
      <c r="Q81" s="139"/>
      <c r="R81" s="139"/>
      <c r="S81" s="139"/>
      <c r="T81" s="140"/>
      <c r="U81" s="140"/>
      <c r="V81" s="140"/>
      <c r="W81" s="140"/>
    </row>
    <row r="82" spans="1:1024" ht="15.75" thickBot="1" x14ac:dyDescent="0.3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8"/>
      <c r="L82" s="138"/>
      <c r="M82" s="138"/>
      <c r="N82" s="138"/>
      <c r="O82" s="139"/>
      <c r="P82" s="139"/>
      <c r="Q82" s="139"/>
      <c r="R82" s="139"/>
      <c r="S82" s="140"/>
      <c r="T82" s="140"/>
      <c r="U82" s="140"/>
      <c r="V82" s="140"/>
      <c r="W82" s="140"/>
      <c r="Y82" s="14"/>
      <c r="AMJ82"/>
    </row>
    <row r="83" spans="1:1024" ht="21.75" thickBot="1" x14ac:dyDescent="0.3">
      <c r="A83" s="582" t="s">
        <v>469</v>
      </c>
      <c r="B83" s="583"/>
      <c r="C83" s="583"/>
      <c r="D83" s="583"/>
      <c r="E83" s="584"/>
      <c r="F83" s="199"/>
      <c r="G83" s="139"/>
      <c r="H83" s="139"/>
      <c r="I83" s="139"/>
      <c r="J83" s="139"/>
      <c r="K83" s="139"/>
      <c r="L83" s="138"/>
      <c r="M83" s="138"/>
      <c r="N83" s="138"/>
      <c r="O83" s="138"/>
      <c r="P83" s="139"/>
      <c r="Q83" s="139"/>
      <c r="R83" s="139"/>
      <c r="S83" s="139"/>
      <c r="T83" s="140"/>
      <c r="U83" s="140"/>
      <c r="V83" s="140"/>
      <c r="W83" s="140"/>
    </row>
    <row r="84" spans="1:1024" ht="25.5" x14ac:dyDescent="0.25">
      <c r="A84" s="596" t="s">
        <v>147</v>
      </c>
      <c r="B84" s="604"/>
      <c r="C84" s="604"/>
      <c r="D84" s="597"/>
      <c r="E84" s="184" t="s">
        <v>470</v>
      </c>
      <c r="F84" s="139"/>
      <c r="G84" s="139"/>
      <c r="H84" s="139"/>
      <c r="I84" s="139"/>
      <c r="J84" s="139"/>
      <c r="K84" s="139"/>
      <c r="L84" s="138"/>
      <c r="M84" s="138"/>
      <c r="N84" s="138"/>
      <c r="O84" s="138"/>
      <c r="P84" s="139"/>
      <c r="Q84" s="139"/>
      <c r="R84" s="139"/>
      <c r="S84" s="139"/>
      <c r="T84" s="140"/>
      <c r="U84" s="140"/>
      <c r="V84" s="140"/>
      <c r="W84" s="140"/>
    </row>
    <row r="85" spans="1:1024" x14ac:dyDescent="0.25">
      <c r="A85" s="157"/>
      <c r="B85" s="574" t="s">
        <v>464</v>
      </c>
      <c r="C85" s="575"/>
      <c r="D85" s="576"/>
      <c r="E85" s="114">
        <f>Q19</f>
        <v>167326.89000000001</v>
      </c>
      <c r="F85" s="139"/>
      <c r="G85" s="139"/>
      <c r="H85" s="139"/>
      <c r="I85" s="139"/>
      <c r="J85" s="139"/>
      <c r="K85" s="139"/>
      <c r="L85" s="138"/>
      <c r="M85" s="138"/>
      <c r="N85" s="138"/>
      <c r="O85" s="138"/>
      <c r="P85" s="139"/>
      <c r="Q85" s="139"/>
      <c r="R85" s="139"/>
      <c r="S85" s="139"/>
      <c r="T85" s="140"/>
      <c r="U85" s="140"/>
      <c r="V85" s="140"/>
      <c r="W85" s="140"/>
    </row>
    <row r="86" spans="1:1024" x14ac:dyDescent="0.25">
      <c r="A86" s="157"/>
      <c r="B86" s="574" t="s">
        <v>465</v>
      </c>
      <c r="C86" s="575"/>
      <c r="D86" s="576"/>
      <c r="E86" s="114">
        <f>D54</f>
        <v>311.38</v>
      </c>
      <c r="F86" s="139"/>
      <c r="G86" s="139"/>
      <c r="H86" s="139"/>
      <c r="I86" s="139"/>
      <c r="J86" s="139"/>
      <c r="K86" s="139"/>
      <c r="L86" s="138"/>
      <c r="M86" s="138"/>
      <c r="N86" s="138"/>
      <c r="O86" s="138"/>
      <c r="P86" s="139"/>
      <c r="Q86" s="139"/>
      <c r="R86" s="139"/>
      <c r="S86" s="139"/>
      <c r="T86" s="140"/>
      <c r="U86" s="140"/>
      <c r="V86" s="140"/>
      <c r="W86" s="140"/>
    </row>
    <row r="87" spans="1:1024" x14ac:dyDescent="0.25">
      <c r="A87" s="157"/>
      <c r="B87" s="574" t="s">
        <v>466</v>
      </c>
      <c r="C87" s="575"/>
      <c r="D87" s="576"/>
      <c r="E87" s="114">
        <f>E54</f>
        <v>2030.16</v>
      </c>
      <c r="F87" s="139"/>
      <c r="G87" s="139"/>
      <c r="H87" s="139"/>
      <c r="I87" s="139"/>
      <c r="J87" s="139"/>
      <c r="K87" s="139"/>
      <c r="L87" s="138"/>
      <c r="M87" s="138"/>
      <c r="N87" s="138"/>
      <c r="O87" s="138"/>
      <c r="P87" s="139"/>
      <c r="Q87" s="139"/>
      <c r="R87" s="139"/>
      <c r="S87" s="139"/>
      <c r="T87" s="140"/>
      <c r="U87" s="140"/>
      <c r="V87" s="140"/>
      <c r="W87" s="140"/>
    </row>
    <row r="88" spans="1:1024" x14ac:dyDescent="0.25">
      <c r="A88" s="157"/>
      <c r="B88" s="574" t="s">
        <v>467</v>
      </c>
      <c r="C88" s="575"/>
      <c r="D88" s="576"/>
      <c r="E88" s="114">
        <f>F54</f>
        <v>2706.86</v>
      </c>
      <c r="F88" s="139"/>
      <c r="G88" s="139"/>
      <c r="H88" s="139"/>
      <c r="I88" s="139"/>
      <c r="J88" s="139"/>
      <c r="K88" s="139"/>
      <c r="L88" s="138"/>
      <c r="M88" s="138"/>
      <c r="N88" s="138"/>
      <c r="O88" s="138"/>
      <c r="P88" s="139"/>
      <c r="Q88" s="139"/>
      <c r="R88" s="139"/>
      <c r="S88" s="139"/>
      <c r="T88" s="140"/>
      <c r="U88" s="140"/>
      <c r="V88" s="140"/>
      <c r="W88" s="140"/>
    </row>
    <row r="89" spans="1:1024" x14ac:dyDescent="0.25">
      <c r="A89" s="157"/>
      <c r="B89" s="574" t="s">
        <v>486</v>
      </c>
      <c r="C89" s="575"/>
      <c r="D89" s="576"/>
      <c r="E89" s="114">
        <f>J43</f>
        <v>196.32</v>
      </c>
      <c r="F89" s="139"/>
      <c r="G89" s="139"/>
      <c r="H89" s="139"/>
      <c r="I89" s="139"/>
      <c r="J89" s="139"/>
      <c r="K89" s="139"/>
      <c r="L89" s="138"/>
      <c r="M89" s="138"/>
      <c r="N89" s="138"/>
      <c r="O89" s="138"/>
      <c r="P89" s="139"/>
      <c r="Q89" s="139"/>
      <c r="R89" s="139"/>
      <c r="S89" s="139"/>
      <c r="T89" s="140"/>
      <c r="U89" s="140"/>
      <c r="V89" s="140"/>
      <c r="W89" s="140"/>
    </row>
    <row r="90" spans="1:1024" x14ac:dyDescent="0.25">
      <c r="A90" s="157"/>
      <c r="B90" s="574" t="s">
        <v>487</v>
      </c>
      <c r="C90" s="575"/>
      <c r="D90" s="576"/>
      <c r="E90" s="114">
        <f>L43</f>
        <v>119.04</v>
      </c>
      <c r="F90" s="139"/>
      <c r="G90" s="139"/>
      <c r="H90" s="139"/>
      <c r="I90" s="139"/>
      <c r="J90" s="139"/>
      <c r="K90" s="139"/>
      <c r="L90" s="138"/>
      <c r="M90" s="138"/>
      <c r="N90" s="138"/>
      <c r="O90" s="138"/>
      <c r="P90" s="139"/>
      <c r="Q90" s="139"/>
      <c r="R90" s="139"/>
      <c r="S90" s="139"/>
      <c r="T90" s="140"/>
      <c r="U90" s="140"/>
      <c r="V90" s="140"/>
      <c r="W90" s="140"/>
    </row>
    <row r="91" spans="1:1024" x14ac:dyDescent="0.25">
      <c r="A91" s="157"/>
      <c r="B91" s="574" t="s">
        <v>539</v>
      </c>
      <c r="C91" s="575"/>
      <c r="D91" s="576" t="e">
        <f>Dados!#REF!</f>
        <v>#REF!</v>
      </c>
      <c r="E91" s="114">
        <f>F75</f>
        <v>2914.27</v>
      </c>
      <c r="F91" s="139"/>
      <c r="G91" s="139"/>
      <c r="H91" s="139"/>
      <c r="I91" s="139"/>
      <c r="J91" s="139"/>
      <c r="K91" s="139"/>
      <c r="L91" s="138"/>
      <c r="M91" s="138"/>
      <c r="N91" s="138"/>
      <c r="O91" s="138"/>
      <c r="P91" s="139"/>
      <c r="Q91" s="139"/>
      <c r="R91" s="139"/>
      <c r="S91" s="139"/>
      <c r="T91" s="140"/>
      <c r="U91" s="140"/>
      <c r="V91" s="140"/>
      <c r="W91" s="140"/>
    </row>
    <row r="92" spans="1:1024" x14ac:dyDescent="0.25">
      <c r="A92" s="157"/>
      <c r="B92" s="574" t="s">
        <v>468</v>
      </c>
      <c r="C92" s="575"/>
      <c r="D92" s="576" t="e">
        <f>Dados!#REF!</f>
        <v>#REF!</v>
      </c>
      <c r="E92" s="114">
        <f>E81</f>
        <v>574.46</v>
      </c>
      <c r="F92" s="139"/>
      <c r="G92" s="139"/>
      <c r="H92" s="139"/>
      <c r="I92" s="139"/>
      <c r="J92" s="139"/>
      <c r="K92" s="139"/>
      <c r="L92" s="138"/>
      <c r="M92" s="138"/>
      <c r="N92" s="138"/>
      <c r="O92" s="138"/>
      <c r="P92" s="139"/>
      <c r="Q92" s="139"/>
      <c r="R92" s="139"/>
      <c r="S92" s="139"/>
      <c r="T92" s="140"/>
      <c r="U92" s="140"/>
      <c r="V92" s="140"/>
      <c r="W92" s="140"/>
    </row>
    <row r="93" spans="1:1024" ht="15.75" thickBot="1" x14ac:dyDescent="0.3">
      <c r="A93" s="598" t="s">
        <v>427</v>
      </c>
      <c r="B93" s="599"/>
      <c r="C93" s="599"/>
      <c r="D93" s="600"/>
      <c r="E93" s="115">
        <f>SUM(E85:E92)</f>
        <v>176179.38</v>
      </c>
      <c r="F93" s="139"/>
      <c r="G93" s="139"/>
      <c r="H93" s="139"/>
      <c r="I93" s="139"/>
      <c r="J93" s="139"/>
      <c r="K93" s="139"/>
      <c r="L93" s="138"/>
      <c r="M93" s="138"/>
      <c r="N93" s="138"/>
      <c r="O93" s="138"/>
      <c r="P93" s="139"/>
      <c r="Q93" s="139"/>
      <c r="R93" s="139"/>
      <c r="S93" s="139"/>
      <c r="T93" s="140"/>
      <c r="U93" s="140"/>
      <c r="V93" s="140"/>
      <c r="W93" s="140"/>
    </row>
    <row r="94" spans="1:1024" x14ac:dyDescent="0.25">
      <c r="A94" s="139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8"/>
      <c r="M94" s="138"/>
      <c r="N94" s="138"/>
      <c r="O94" s="138"/>
      <c r="P94" s="139"/>
      <c r="Q94" s="139"/>
      <c r="R94" s="139"/>
      <c r="S94" s="139"/>
      <c r="T94" s="140"/>
      <c r="U94" s="140"/>
      <c r="V94" s="140"/>
      <c r="W94" s="140"/>
    </row>
    <row r="95" spans="1:1024" x14ac:dyDescent="0.25">
      <c r="A95" s="139"/>
      <c r="B95" s="592" t="s">
        <v>387</v>
      </c>
      <c r="C95" s="592"/>
      <c r="D95" s="139"/>
      <c r="E95" s="139"/>
      <c r="F95" s="139"/>
      <c r="G95" s="139"/>
      <c r="H95" s="139"/>
      <c r="I95" s="139"/>
      <c r="J95" s="139"/>
      <c r="K95" s="139"/>
      <c r="L95" s="138"/>
      <c r="M95" s="138"/>
      <c r="N95" s="138"/>
      <c r="O95" s="138"/>
      <c r="P95" s="139"/>
      <c r="Q95" s="139"/>
      <c r="R95" s="139"/>
      <c r="S95" s="139"/>
      <c r="T95" s="140"/>
      <c r="U95" s="140"/>
      <c r="V95" s="140"/>
      <c r="W95" s="140"/>
    </row>
    <row r="96" spans="1:1024" x14ac:dyDescent="0.25">
      <c r="A96" s="139"/>
      <c r="B96" s="200" t="s">
        <v>388</v>
      </c>
      <c r="C96" s="201">
        <f>Dados!G37</f>
        <v>22</v>
      </c>
      <c r="D96" s="139" t="s">
        <v>389</v>
      </c>
      <c r="E96" s="139"/>
      <c r="F96" s="139"/>
      <c r="G96" s="139"/>
      <c r="H96" s="139"/>
      <c r="I96" s="139"/>
      <c r="J96" s="139"/>
      <c r="K96" s="139"/>
      <c r="L96" s="138"/>
      <c r="M96" s="138"/>
      <c r="N96" s="138"/>
      <c r="O96" s="138"/>
      <c r="P96" s="139"/>
      <c r="Q96" s="139"/>
      <c r="R96" s="139"/>
      <c r="S96" s="139"/>
      <c r="T96" s="140"/>
      <c r="U96" s="140"/>
      <c r="V96" s="140"/>
      <c r="W96" s="140"/>
    </row>
    <row r="97" spans="1:23" x14ac:dyDescent="0.25">
      <c r="A97" s="139"/>
      <c r="B97" s="200" t="s">
        <v>341</v>
      </c>
      <c r="C97" s="202">
        <v>30</v>
      </c>
      <c r="D97" s="139" t="s">
        <v>390</v>
      </c>
      <c r="E97" s="139"/>
      <c r="F97" s="139"/>
      <c r="G97" s="139"/>
      <c r="H97" s="139"/>
      <c r="I97" s="139"/>
      <c r="J97" s="139"/>
      <c r="K97" s="139"/>
      <c r="L97" s="138"/>
      <c r="M97" s="138"/>
      <c r="N97" s="138"/>
      <c r="O97" s="138"/>
      <c r="P97" s="139"/>
      <c r="Q97" s="139"/>
      <c r="R97" s="139"/>
      <c r="S97" s="139"/>
      <c r="T97" s="140"/>
      <c r="U97" s="140"/>
      <c r="V97" s="140"/>
      <c r="W97" s="140"/>
    </row>
    <row r="98" spans="1:23" x14ac:dyDescent="0.25">
      <c r="A98" s="139"/>
      <c r="B98" s="200" t="s">
        <v>391</v>
      </c>
      <c r="C98" s="202" t="s">
        <v>392</v>
      </c>
      <c r="D98" s="139" t="s">
        <v>393</v>
      </c>
      <c r="E98" s="139"/>
      <c r="F98" s="139"/>
      <c r="G98" s="139"/>
      <c r="H98" s="139"/>
      <c r="I98" s="139"/>
      <c r="J98" s="139"/>
      <c r="K98" s="139"/>
      <c r="L98" s="138"/>
      <c r="M98" s="138"/>
      <c r="N98" s="138"/>
      <c r="O98" s="138"/>
      <c r="P98" s="139"/>
      <c r="Q98" s="139"/>
      <c r="R98" s="139"/>
      <c r="S98" s="139"/>
      <c r="T98" s="140"/>
      <c r="U98" s="140"/>
      <c r="V98" s="140"/>
      <c r="W98" s="140"/>
    </row>
    <row r="99" spans="1:23" x14ac:dyDescent="0.25">
      <c r="A99" s="139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8"/>
      <c r="M99" s="138"/>
      <c r="N99" s="138"/>
      <c r="O99" s="138"/>
      <c r="P99" s="139"/>
      <c r="Q99" s="139"/>
      <c r="R99" s="139"/>
      <c r="S99" s="139"/>
      <c r="T99" s="140"/>
      <c r="U99" s="140"/>
      <c r="V99" s="140"/>
      <c r="W99" s="140"/>
    </row>
    <row r="100" spans="1:23" ht="26.25" x14ac:dyDescent="0.25">
      <c r="A100" s="139"/>
      <c r="B100" s="203" t="s">
        <v>394</v>
      </c>
      <c r="C100" s="204" t="s">
        <v>395</v>
      </c>
      <c r="D100" s="139"/>
      <c r="E100" s="139"/>
      <c r="F100" s="139"/>
      <c r="G100" s="139"/>
      <c r="H100" s="139"/>
      <c r="I100" s="139"/>
      <c r="J100" s="139"/>
      <c r="K100" s="139"/>
      <c r="L100" s="138"/>
      <c r="M100" s="138"/>
      <c r="N100" s="138"/>
      <c r="O100" s="138"/>
      <c r="P100" s="139"/>
      <c r="Q100" s="139"/>
      <c r="R100" s="139"/>
      <c r="S100" s="139"/>
      <c r="T100" s="140"/>
      <c r="U100" s="140"/>
      <c r="V100" s="140"/>
      <c r="W100" s="140"/>
    </row>
    <row r="101" spans="1:23" x14ac:dyDescent="0.25">
      <c r="A101" s="139"/>
      <c r="B101" s="200">
        <v>220</v>
      </c>
      <c r="C101" s="200">
        <f t="shared" ref="C101:C107" si="2">B101/5/5</f>
        <v>8.8000000000000007</v>
      </c>
      <c r="D101" s="139"/>
      <c r="E101" s="139"/>
      <c r="F101" s="139"/>
      <c r="G101" s="139"/>
      <c r="H101" s="139"/>
      <c r="I101" s="139"/>
      <c r="J101" s="139"/>
      <c r="K101" s="139"/>
      <c r="L101" s="138"/>
      <c r="M101" s="138"/>
      <c r="N101" s="138"/>
      <c r="O101" s="138"/>
      <c r="P101" s="139"/>
      <c r="Q101" s="139"/>
      <c r="R101" s="139"/>
      <c r="S101" s="139"/>
      <c r="T101" s="140"/>
      <c r="U101" s="140"/>
      <c r="V101" s="140"/>
      <c r="W101" s="140"/>
    </row>
    <row r="102" spans="1:23" x14ac:dyDescent="0.25">
      <c r="A102" s="139"/>
      <c r="B102" s="200">
        <v>200</v>
      </c>
      <c r="C102" s="200">
        <f t="shared" si="2"/>
        <v>8</v>
      </c>
      <c r="D102" s="139"/>
      <c r="E102" s="139"/>
      <c r="F102" s="139"/>
      <c r="G102" s="139"/>
      <c r="H102" s="139"/>
      <c r="I102" s="139"/>
      <c r="J102" s="139"/>
      <c r="K102" s="139"/>
      <c r="L102" s="138"/>
      <c r="M102" s="138"/>
      <c r="N102" s="138"/>
      <c r="O102" s="138"/>
      <c r="P102" s="139"/>
      <c r="Q102" s="139"/>
      <c r="R102" s="139"/>
      <c r="S102" s="139"/>
      <c r="T102" s="140"/>
      <c r="U102" s="140"/>
      <c r="V102" s="140"/>
      <c r="W102" s="140"/>
    </row>
    <row r="103" spans="1:23" x14ac:dyDescent="0.25">
      <c r="A103" s="139"/>
      <c r="B103" s="200">
        <v>180</v>
      </c>
      <c r="C103" s="200">
        <f t="shared" si="2"/>
        <v>7.2</v>
      </c>
      <c r="D103" s="139"/>
      <c r="E103" s="139"/>
      <c r="F103" s="139"/>
      <c r="G103" s="139"/>
      <c r="H103" s="139"/>
      <c r="I103" s="139"/>
      <c r="J103" s="139"/>
      <c r="K103" s="139"/>
      <c r="L103" s="138"/>
      <c r="M103" s="138"/>
      <c r="N103" s="138"/>
      <c r="O103" s="138"/>
      <c r="P103" s="139"/>
      <c r="Q103" s="139"/>
      <c r="R103" s="139"/>
      <c r="S103" s="139"/>
      <c r="T103" s="140"/>
      <c r="U103" s="140"/>
      <c r="V103" s="140"/>
      <c r="W103" s="140"/>
    </row>
    <row r="104" spans="1:23" x14ac:dyDescent="0.25">
      <c r="A104" s="139"/>
      <c r="B104" s="200">
        <v>150</v>
      </c>
      <c r="C104" s="200">
        <f t="shared" si="2"/>
        <v>6</v>
      </c>
      <c r="D104" s="139"/>
      <c r="E104" s="139"/>
      <c r="F104" s="139"/>
      <c r="G104" s="139"/>
      <c r="H104" s="139"/>
      <c r="I104" s="139"/>
      <c r="J104" s="139"/>
      <c r="K104" s="139"/>
      <c r="L104" s="138"/>
      <c r="M104" s="138"/>
      <c r="N104" s="138"/>
      <c r="O104" s="138"/>
      <c r="P104" s="139"/>
      <c r="Q104" s="139"/>
      <c r="R104" s="139"/>
      <c r="S104" s="139"/>
      <c r="T104" s="140"/>
      <c r="U104" s="140"/>
      <c r="V104" s="140"/>
      <c r="W104" s="140"/>
    </row>
    <row r="105" spans="1:23" x14ac:dyDescent="0.25">
      <c r="A105" s="139"/>
      <c r="B105" s="200">
        <v>120</v>
      </c>
      <c r="C105" s="200">
        <f t="shared" si="2"/>
        <v>4.8</v>
      </c>
      <c r="D105" s="139"/>
      <c r="E105" s="139"/>
      <c r="F105" s="139"/>
      <c r="G105" s="139"/>
      <c r="H105" s="139"/>
      <c r="I105" s="139"/>
      <c r="J105" s="139"/>
      <c r="K105" s="139"/>
      <c r="L105" s="138"/>
      <c r="M105" s="138"/>
      <c r="N105" s="138"/>
      <c r="O105" s="138"/>
      <c r="P105" s="139"/>
      <c r="Q105" s="139"/>
      <c r="R105" s="139"/>
      <c r="S105" s="139"/>
      <c r="T105" s="140"/>
      <c r="U105" s="140"/>
      <c r="V105" s="140"/>
      <c r="W105" s="140"/>
    </row>
    <row r="106" spans="1:23" x14ac:dyDescent="0.25">
      <c r="A106" s="139"/>
      <c r="B106" s="200">
        <v>100</v>
      </c>
      <c r="C106" s="200">
        <f t="shared" si="2"/>
        <v>4</v>
      </c>
      <c r="D106" s="139"/>
      <c r="E106" s="139"/>
      <c r="F106" s="139"/>
      <c r="G106" s="139"/>
      <c r="H106" s="139"/>
      <c r="I106" s="139"/>
      <c r="J106" s="139"/>
      <c r="K106" s="139"/>
      <c r="L106" s="138"/>
      <c r="M106" s="138"/>
      <c r="N106" s="138"/>
      <c r="O106" s="138"/>
      <c r="P106" s="139"/>
      <c r="Q106" s="139"/>
      <c r="R106" s="139"/>
      <c r="S106" s="139"/>
      <c r="T106" s="140"/>
      <c r="U106" s="140"/>
      <c r="V106" s="140"/>
      <c r="W106" s="140"/>
    </row>
    <row r="107" spans="1:23" x14ac:dyDescent="0.25">
      <c r="A107" s="139"/>
      <c r="B107" s="200">
        <v>75</v>
      </c>
      <c r="C107" s="200">
        <f t="shared" si="2"/>
        <v>3</v>
      </c>
      <c r="D107" s="139"/>
      <c r="E107" s="139"/>
      <c r="F107" s="139"/>
      <c r="G107" s="139"/>
      <c r="H107" s="139"/>
      <c r="I107" s="139"/>
      <c r="J107" s="139"/>
      <c r="K107" s="139"/>
      <c r="L107" s="138"/>
      <c r="M107" s="138"/>
      <c r="N107" s="138"/>
      <c r="O107" s="138"/>
      <c r="P107" s="139"/>
      <c r="Q107" s="139"/>
      <c r="R107" s="139"/>
      <c r="S107" s="139"/>
      <c r="T107" s="140"/>
      <c r="U107" s="140"/>
      <c r="V107" s="140"/>
      <c r="W107" s="140"/>
    </row>
    <row r="108" spans="1:23" x14ac:dyDescent="0.25">
      <c r="A108" s="139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8"/>
      <c r="M108" s="138"/>
      <c r="N108" s="138"/>
      <c r="O108" s="138"/>
      <c r="P108" s="139"/>
      <c r="Q108" s="139"/>
      <c r="R108" s="139"/>
      <c r="S108" s="139"/>
      <c r="T108" s="140"/>
      <c r="U108" s="140"/>
      <c r="V108" s="140"/>
      <c r="W108" s="140"/>
    </row>
    <row r="109" spans="1:23" x14ac:dyDescent="0.25">
      <c r="A109" s="139"/>
      <c r="B109" s="200" t="s">
        <v>396</v>
      </c>
      <c r="C109" s="139"/>
      <c r="D109" s="139"/>
      <c r="E109" s="139"/>
      <c r="F109" s="139"/>
      <c r="G109" s="139"/>
      <c r="H109" s="139"/>
      <c r="I109" s="139"/>
      <c r="J109" s="139"/>
      <c r="K109" s="139"/>
      <c r="L109" s="138"/>
      <c r="M109" s="138"/>
      <c r="N109" s="138"/>
      <c r="O109" s="138"/>
      <c r="P109" s="139"/>
      <c r="Q109" s="139"/>
      <c r="R109" s="139"/>
      <c r="S109" s="139"/>
      <c r="T109" s="140"/>
      <c r="U109" s="140"/>
      <c r="V109" s="140"/>
      <c r="W109" s="140"/>
    </row>
    <row r="110" spans="1:23" x14ac:dyDescent="0.25">
      <c r="A110" s="139"/>
      <c r="B110" s="205">
        <v>0</v>
      </c>
      <c r="C110" s="139"/>
      <c r="D110" s="139"/>
      <c r="E110" s="139"/>
      <c r="F110" s="139"/>
      <c r="G110" s="139"/>
      <c r="H110" s="139"/>
      <c r="I110" s="139"/>
      <c r="J110" s="139"/>
      <c r="K110" s="139"/>
      <c r="L110" s="138"/>
      <c r="M110" s="138"/>
      <c r="N110" s="138"/>
      <c r="O110" s="138"/>
      <c r="P110" s="139"/>
      <c r="Q110" s="139"/>
      <c r="R110" s="139"/>
      <c r="S110" s="139"/>
      <c r="T110" s="140"/>
      <c r="U110" s="140"/>
      <c r="V110" s="140"/>
      <c r="W110" s="140"/>
    </row>
    <row r="111" spans="1:23" x14ac:dyDescent="0.25">
      <c r="A111" s="139"/>
      <c r="B111" s="205">
        <v>1</v>
      </c>
      <c r="C111" s="139"/>
      <c r="D111" s="139"/>
      <c r="E111" s="139"/>
      <c r="F111" s="139"/>
      <c r="G111" s="139"/>
      <c r="H111" s="139"/>
      <c r="I111" s="139"/>
      <c r="J111" s="139"/>
      <c r="K111" s="139"/>
      <c r="L111" s="138"/>
      <c r="M111" s="138"/>
      <c r="N111" s="138"/>
      <c r="O111" s="138"/>
      <c r="P111" s="139"/>
      <c r="Q111" s="139"/>
      <c r="R111" s="139"/>
      <c r="S111" s="139"/>
      <c r="T111" s="140"/>
      <c r="U111" s="140"/>
      <c r="V111" s="140"/>
      <c r="W111" s="140"/>
    </row>
    <row r="112" spans="1:23" x14ac:dyDescent="0.25">
      <c r="A112" s="139"/>
      <c r="B112" s="205">
        <v>2</v>
      </c>
      <c r="C112" s="139"/>
      <c r="D112" s="139"/>
      <c r="E112" s="139"/>
      <c r="F112" s="139"/>
      <c r="G112" s="139"/>
      <c r="H112" s="139"/>
      <c r="I112" s="139"/>
      <c r="J112" s="139"/>
      <c r="K112" s="139"/>
      <c r="L112" s="138"/>
      <c r="M112" s="138"/>
      <c r="N112" s="138"/>
      <c r="O112" s="138"/>
      <c r="P112" s="139"/>
      <c r="Q112" s="139"/>
      <c r="R112" s="139"/>
      <c r="S112" s="139"/>
      <c r="T112" s="140"/>
      <c r="U112" s="140"/>
      <c r="V112" s="140"/>
      <c r="W112" s="140"/>
    </row>
    <row r="113" spans="1:23" x14ac:dyDescent="0.25">
      <c r="A113" s="139"/>
      <c r="B113" s="205">
        <v>3</v>
      </c>
      <c r="C113" s="139"/>
      <c r="D113" s="139"/>
      <c r="E113" s="139"/>
      <c r="F113" s="139"/>
      <c r="G113" s="139"/>
      <c r="H113" s="139"/>
      <c r="I113" s="139"/>
      <c r="J113" s="139"/>
      <c r="K113" s="139"/>
      <c r="L113" s="138"/>
      <c r="M113" s="138"/>
      <c r="N113" s="138"/>
      <c r="O113" s="138"/>
      <c r="P113" s="139"/>
      <c r="Q113" s="139"/>
      <c r="R113" s="139"/>
      <c r="S113" s="139"/>
      <c r="T113" s="140"/>
      <c r="U113" s="140"/>
      <c r="V113" s="140"/>
      <c r="W113" s="140"/>
    </row>
    <row r="114" spans="1:23" x14ac:dyDescent="0.25">
      <c r="A114" s="139"/>
      <c r="B114" s="205">
        <v>4</v>
      </c>
      <c r="C114" s="139"/>
      <c r="D114" s="139"/>
      <c r="E114" s="139"/>
      <c r="F114" s="139"/>
      <c r="G114" s="139"/>
      <c r="H114" s="139"/>
      <c r="I114" s="139"/>
      <c r="J114" s="139"/>
      <c r="K114" s="139"/>
      <c r="L114" s="138"/>
      <c r="M114" s="138"/>
      <c r="N114" s="138"/>
      <c r="O114" s="138"/>
      <c r="P114" s="139"/>
      <c r="Q114" s="139"/>
      <c r="R114" s="139"/>
      <c r="S114" s="139"/>
      <c r="T114" s="140"/>
      <c r="U114" s="140"/>
      <c r="V114" s="140"/>
      <c r="W114" s="140"/>
    </row>
    <row r="115" spans="1:23" x14ac:dyDescent="0.25">
      <c r="A115" s="139"/>
      <c r="B115" s="205">
        <v>5</v>
      </c>
      <c r="C115" s="139"/>
      <c r="D115" s="139"/>
      <c r="E115" s="139"/>
      <c r="F115" s="139"/>
      <c r="G115" s="139"/>
      <c r="H115" s="139"/>
      <c r="I115" s="139"/>
      <c r="J115" s="139"/>
      <c r="K115" s="139"/>
      <c r="L115" s="138"/>
      <c r="M115" s="138"/>
      <c r="N115" s="138"/>
      <c r="O115" s="138"/>
      <c r="P115" s="139"/>
      <c r="Q115" s="139"/>
      <c r="R115" s="139"/>
      <c r="S115" s="139"/>
      <c r="T115" s="140"/>
      <c r="U115" s="140"/>
      <c r="V115" s="140"/>
      <c r="W115" s="140"/>
    </row>
  </sheetData>
  <sheetProtection algorithmName="SHA-512" hashValue="UlT0wwQeCQ3L/48Weyt6PkWm464d1h0aVLdyBLqb5HKDvfvEhhQaa3KhI/BdiRHwc7zMfX2mMKDUwusXK5TsQA==" saltValue="a6QqlCedBw0iXxQ8rPmiRw==" spinCount="100000" sheet="1" objects="1" scenarios="1"/>
  <mergeCells count="70">
    <mergeCell ref="A66:D66"/>
    <mergeCell ref="A67:D67"/>
    <mergeCell ref="A68:D68"/>
    <mergeCell ref="A69:D69"/>
    <mergeCell ref="A75:D75"/>
    <mergeCell ref="A70:D70"/>
    <mergeCell ref="A71:D71"/>
    <mergeCell ref="A72:D72"/>
    <mergeCell ref="A73:D73"/>
    <mergeCell ref="A74:D74"/>
    <mergeCell ref="B80:C80"/>
    <mergeCell ref="I10:I12"/>
    <mergeCell ref="J10:J12"/>
    <mergeCell ref="A81:C81"/>
    <mergeCell ref="H10:H12"/>
    <mergeCell ref="A56:F56"/>
    <mergeCell ref="A57:F57"/>
    <mergeCell ref="A34:E36"/>
    <mergeCell ref="A64:C64"/>
    <mergeCell ref="A27:E27"/>
    <mergeCell ref="A28:C28"/>
    <mergeCell ref="B29:C29"/>
    <mergeCell ref="B31:C31"/>
    <mergeCell ref="A32:C32"/>
    <mergeCell ref="B30:C30"/>
    <mergeCell ref="A65:D65"/>
    <mergeCell ref="K10:K12"/>
    <mergeCell ref="B85:D85"/>
    <mergeCell ref="B95:C95"/>
    <mergeCell ref="A43:C43"/>
    <mergeCell ref="A48:B48"/>
    <mergeCell ref="A37:B37"/>
    <mergeCell ref="A54:B54"/>
    <mergeCell ref="B87:D87"/>
    <mergeCell ref="B88:D88"/>
    <mergeCell ref="B92:D92"/>
    <mergeCell ref="A93:D93"/>
    <mergeCell ref="A78:C78"/>
    <mergeCell ref="B79:C79"/>
    <mergeCell ref="A84:D84"/>
    <mergeCell ref="A83:E83"/>
    <mergeCell ref="B86:D86"/>
    <mergeCell ref="A4:W4"/>
    <mergeCell ref="A5:W5"/>
    <mergeCell ref="A7:C7"/>
    <mergeCell ref="D7:E7"/>
    <mergeCell ref="A8:C8"/>
    <mergeCell ref="S10:S12"/>
    <mergeCell ref="T10:W12"/>
    <mergeCell ref="P10:P12"/>
    <mergeCell ref="Q10:Q12"/>
    <mergeCell ref="M10:M12"/>
    <mergeCell ref="N10:N12"/>
    <mergeCell ref="O10:O12"/>
    <mergeCell ref="A45:I47"/>
    <mergeCell ref="B90:D90"/>
    <mergeCell ref="B89:D89"/>
    <mergeCell ref="B91:D91"/>
    <mergeCell ref="R10:R12"/>
    <mergeCell ref="A19:F19"/>
    <mergeCell ref="I19:J19"/>
    <mergeCell ref="L10:L12"/>
    <mergeCell ref="A10:C12"/>
    <mergeCell ref="D10:D12"/>
    <mergeCell ref="E10:E12"/>
    <mergeCell ref="F10:F12"/>
    <mergeCell ref="G10:G12"/>
    <mergeCell ref="A77:E77"/>
    <mergeCell ref="A22:B23"/>
    <mergeCell ref="A24:F25"/>
  </mergeCells>
  <dataValidations count="10">
    <dataValidation type="list" allowBlank="1" showInputMessage="1" showErrorMessage="1" sqref="C23 JA23 SW23 ACS23" xr:uid="{00000000-0002-0000-1200-000000000000}">
      <formula1>$B$101:$B$107</formula1>
      <formula2>0</formula2>
    </dataValidation>
    <dataValidation type="list" allowBlank="1" showInputMessage="1" showErrorMessage="1" sqref="D8 JB8 SX8 ACT8" xr:uid="{00000000-0002-0000-1200-000001000000}">
      <formula1>$B$96:$B$98</formula1>
      <formula2>0</formula2>
    </dataValidation>
    <dataValidation type="list" allowBlank="1" showInputMessage="1" showErrorMessage="1" sqref="D7:E7 JB7:JC7 SX7:SY7 ACT7:ACU7" xr:uid="{00000000-0002-0000-1200-000002000000}">
      <formula1>"PLANILHA PARA LICITAÇÃO (PRECIFICAÇÃO),PLANILHA PARA FATURAMENTO"</formula1>
      <formula2>0</formula2>
    </dataValidation>
    <dataValidation type="list" allowBlank="1" showInputMessage="1" showErrorMessage="1" sqref="S14:S18 JO14:JO18 TK14:TK18 ADG14:ADG18" xr:uid="{00000000-0002-0000-1200-000003000000}">
      <formula1>"1,2,3,4,5"</formula1>
      <formula2>0</formula2>
    </dataValidation>
    <dataValidation type="list" allowBlank="1" showInputMessage="1" showErrorMessage="1" sqref="E14:E18 JC14:JC18 SY14:SY18 ACU14:ACU18" xr:uid="{00000000-0002-0000-1200-000004000000}">
      <formula1>"SIM,NÃO"</formula1>
      <formula2>0</formula2>
    </dataValidation>
    <dataValidation type="list" allowBlank="1" showInputMessage="1" showErrorMessage="1" sqref="JB14:JB18 SX14:SX18 ACT14:ACT18" xr:uid="{00000000-0002-0000-1200-000005000000}">
      <formula1>"0,1"</formula1>
      <formula2>0</formula2>
    </dataValidation>
    <dataValidation type="list" allowBlank="1" showInputMessage="1" showErrorMessage="1" sqref="D16" xr:uid="{00000000-0002-0000-1200-000008000000}">
      <formula1>$B$110:$B$110</formula1>
    </dataValidation>
    <dataValidation type="list" allowBlank="1" showInputMessage="1" showErrorMessage="1" sqref="D18" xr:uid="{00000000-0002-0000-1200-00000A000000}">
      <formula1>$B$110:$B$115</formula1>
    </dataValidation>
    <dataValidation type="list" allowBlank="1" showInputMessage="1" showErrorMessage="1" sqref="D14 D17" xr:uid="{BF7D4BC7-DC25-40C7-8ED1-5EDBAA03F7CB}">
      <formula1>$B$110:$B$111</formula1>
    </dataValidation>
    <dataValidation type="list" allowBlank="1" showInputMessage="1" showErrorMessage="1" sqref="D15" xr:uid="{2857C04A-3D74-459C-B9A2-C01659EA2880}">
      <formula1>$B$110:$B$112</formula1>
    </dataValidation>
  </dataValidations>
  <printOptions horizontalCentered="1"/>
  <pageMargins left="0.196527777777778" right="0.196527777777778" top="0.196527777777778" bottom="0.39374999999999999" header="0.511811023622047" footer="0.511811023622047"/>
  <pageSetup paperSize="9" scale="60" orientation="landscape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2"/>
  <sheetViews>
    <sheetView showGridLines="0" zoomScale="90" zoomScaleNormal="90" workbookViewId="0">
      <selection activeCell="A46" sqref="A46:D48"/>
    </sheetView>
  </sheetViews>
  <sheetFormatPr defaultColWidth="9" defaultRowHeight="12.75" x14ac:dyDescent="0.2"/>
  <cols>
    <col min="1" max="1" width="11.33203125" customWidth="1"/>
    <col min="2" max="2" width="28.83203125" customWidth="1"/>
    <col min="3" max="3" width="10.33203125" customWidth="1"/>
    <col min="4" max="5" width="17.5" customWidth="1"/>
    <col min="6" max="8" width="17.83203125" style="31" customWidth="1"/>
    <col min="9" max="13" width="17.83203125" customWidth="1"/>
  </cols>
  <sheetData>
    <row r="1" spans="1:13" x14ac:dyDescent="0.2">
      <c r="A1" s="438"/>
      <c r="B1" s="439" t="s">
        <v>26</v>
      </c>
      <c r="C1" s="440"/>
      <c r="D1" s="440"/>
      <c r="E1" s="440"/>
      <c r="F1" s="441"/>
      <c r="G1" s="441"/>
      <c r="H1" s="441"/>
      <c r="I1" s="219"/>
      <c r="J1" s="223"/>
      <c r="K1" s="223"/>
      <c r="L1" s="223"/>
      <c r="M1" s="223"/>
    </row>
    <row r="2" spans="1:13" x14ac:dyDescent="0.2">
      <c r="A2" s="442"/>
      <c r="B2" s="443" t="s">
        <v>27</v>
      </c>
      <c r="C2" s="301"/>
      <c r="D2" s="301"/>
      <c r="E2" s="301"/>
      <c r="F2" s="444"/>
      <c r="G2" s="444"/>
      <c r="H2" s="444"/>
      <c r="I2" s="223"/>
      <c r="J2" s="223"/>
      <c r="K2" s="223"/>
      <c r="L2" s="223"/>
      <c r="M2" s="223"/>
    </row>
    <row r="3" spans="1:13" ht="13.5" thickBot="1" x14ac:dyDescent="0.25">
      <c r="A3" s="445"/>
      <c r="B3" s="443" t="str">
        <f>Dados!B3</f>
        <v>Divisão de Engenharia e Arquitetura - DIEAR</v>
      </c>
      <c r="C3" s="301"/>
      <c r="D3" s="301"/>
      <c r="E3" s="301"/>
      <c r="F3" s="444"/>
      <c r="G3" s="444"/>
      <c r="H3" s="444"/>
      <c r="I3" s="223"/>
      <c r="J3" s="223"/>
      <c r="K3" s="223"/>
      <c r="L3" s="223"/>
      <c r="M3" s="223"/>
    </row>
    <row r="4" spans="1:13" ht="32.25" customHeight="1" x14ac:dyDescent="0.2">
      <c r="A4" s="754" t="s">
        <v>270</v>
      </c>
      <c r="B4" s="754"/>
      <c r="C4" s="754"/>
      <c r="D4" s="754"/>
      <c r="E4" s="754"/>
      <c r="F4" s="754"/>
      <c r="G4" s="754"/>
      <c r="H4" s="754"/>
      <c r="I4" s="754"/>
      <c r="J4" s="777"/>
      <c r="K4" s="778"/>
      <c r="L4" s="778"/>
      <c r="M4" s="778"/>
    </row>
    <row r="5" spans="1:13" ht="32.25" customHeight="1" x14ac:dyDescent="0.2">
      <c r="A5" s="755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755"/>
      <c r="C5" s="755"/>
      <c r="D5" s="755"/>
      <c r="E5" s="755"/>
      <c r="F5" s="755"/>
      <c r="G5" s="755"/>
      <c r="H5" s="755"/>
      <c r="I5" s="755"/>
      <c r="J5" s="779"/>
      <c r="K5" s="780"/>
      <c r="L5" s="780"/>
      <c r="M5" s="780"/>
    </row>
    <row r="6" spans="1:13" ht="29.25" customHeight="1" thickBot="1" x14ac:dyDescent="0.25">
      <c r="A6" s="756" t="s">
        <v>616</v>
      </c>
      <c r="B6" s="756"/>
      <c r="C6" s="756"/>
      <c r="D6" s="756"/>
      <c r="E6" s="756"/>
      <c r="F6" s="756"/>
      <c r="G6" s="756"/>
      <c r="H6" s="756"/>
      <c r="I6" s="757"/>
      <c r="J6" s="783" t="s">
        <v>424</v>
      </c>
      <c r="K6" s="782" t="s">
        <v>420</v>
      </c>
      <c r="L6" s="782"/>
      <c r="M6" s="782"/>
    </row>
    <row r="7" spans="1:13" ht="30" customHeight="1" thickBot="1" x14ac:dyDescent="0.25">
      <c r="A7" s="758" t="str">
        <f>Dados!B9&amp;" - "&amp;D10</f>
        <v>Nível Superior Pleno - 200</v>
      </c>
      <c r="B7" s="758"/>
      <c r="C7" s="758"/>
      <c r="D7" s="758"/>
      <c r="E7" s="758"/>
      <c r="F7" s="759" t="s">
        <v>271</v>
      </c>
      <c r="G7" s="759" t="s">
        <v>272</v>
      </c>
      <c r="H7" s="760" t="s">
        <v>273</v>
      </c>
      <c r="I7" s="761" t="s">
        <v>274</v>
      </c>
      <c r="J7" s="784"/>
      <c r="K7" s="446" t="s">
        <v>421</v>
      </c>
      <c r="L7" s="446" t="s">
        <v>422</v>
      </c>
      <c r="M7" s="446" t="s">
        <v>423</v>
      </c>
    </row>
    <row r="8" spans="1:13" ht="18" customHeight="1" thickBot="1" x14ac:dyDescent="0.25">
      <c r="A8" s="762" t="s">
        <v>275</v>
      </c>
      <c r="B8" s="762"/>
      <c r="C8" s="762"/>
      <c r="D8" s="762"/>
      <c r="E8" s="447" t="s">
        <v>69</v>
      </c>
      <c r="F8" s="759"/>
      <c r="G8" s="759"/>
      <c r="H8" s="760"/>
      <c r="I8" s="761"/>
      <c r="J8" s="784"/>
      <c r="K8" s="448">
        <f>Dados!G71</f>
        <v>0.25</v>
      </c>
      <c r="L8" s="448">
        <f>100%+Dados!G73</f>
        <v>1.5</v>
      </c>
      <c r="M8" s="448">
        <f>100%+Dados!G74</f>
        <v>2</v>
      </c>
    </row>
    <row r="9" spans="1:13" ht="24.75" customHeight="1" x14ac:dyDescent="0.2">
      <c r="A9" s="449" t="s">
        <v>64</v>
      </c>
      <c r="B9" s="763" t="s">
        <v>276</v>
      </c>
      <c r="C9" s="763"/>
      <c r="D9" s="450" t="s">
        <v>277</v>
      </c>
      <c r="E9" s="451" t="s">
        <v>278</v>
      </c>
      <c r="F9" s="764" t="s">
        <v>279</v>
      </c>
      <c r="G9" s="764"/>
      <c r="H9" s="764"/>
      <c r="I9" s="765"/>
      <c r="J9" s="116" t="s">
        <v>459</v>
      </c>
      <c r="K9" s="117">
        <v>25</v>
      </c>
      <c r="L9" s="117" t="s">
        <v>460</v>
      </c>
      <c r="M9" s="117">
        <v>5</v>
      </c>
    </row>
    <row r="10" spans="1:13" ht="26.25" customHeight="1" x14ac:dyDescent="0.2">
      <c r="A10" s="766">
        <v>1</v>
      </c>
      <c r="B10" s="767" t="str">
        <f>A7</f>
        <v>Nível Superior Pleno - 200</v>
      </c>
      <c r="C10" s="767"/>
      <c r="D10" s="499">
        <f>Dados!C9</f>
        <v>200</v>
      </c>
      <c r="E10" s="453">
        <f>Dados!$E9</f>
        <v>13347.64</v>
      </c>
      <c r="F10" s="454">
        <f>Dados!F9</f>
        <v>13347.64</v>
      </c>
      <c r="G10" s="455"/>
      <c r="H10" s="456"/>
      <c r="I10" s="457"/>
      <c r="J10" s="458" t="s">
        <v>425</v>
      </c>
      <c r="K10" s="458">
        <f>ROUND($F$10/$D$10*K8,2)</f>
        <v>16.68</v>
      </c>
      <c r="L10" s="458">
        <f t="shared" ref="L10:M10" si="0">ROUND($F$10/$D$10*L8,2)</f>
        <v>100.11</v>
      </c>
      <c r="M10" s="458">
        <f t="shared" si="0"/>
        <v>133.47999999999999</v>
      </c>
    </row>
    <row r="11" spans="1:13" ht="24" customHeight="1" x14ac:dyDescent="0.2">
      <c r="A11" s="766"/>
      <c r="B11" s="768"/>
      <c r="C11" s="768"/>
      <c r="D11" s="500"/>
      <c r="E11" s="460"/>
      <c r="F11" s="454">
        <f>ROUND(((E11/220*D10)*C11)*D11,2)</f>
        <v>0</v>
      </c>
      <c r="G11" s="455"/>
      <c r="H11" s="456"/>
      <c r="I11" s="457"/>
      <c r="J11" s="457" t="s">
        <v>426</v>
      </c>
      <c r="K11" s="457">
        <f>ROUND($M$9/$K$9*K10,2)</f>
        <v>3.34</v>
      </c>
      <c r="L11" s="457">
        <f>ROUND($M$9/$K$9*L10,2)</f>
        <v>20.02</v>
      </c>
      <c r="M11" s="457">
        <f>ROUND($M$9/$K$9*M10,2)</f>
        <v>26.7</v>
      </c>
    </row>
    <row r="12" spans="1:13" ht="19.5" customHeight="1" x14ac:dyDescent="0.2">
      <c r="A12" s="766"/>
      <c r="B12" s="791" t="s">
        <v>280</v>
      </c>
      <c r="C12" s="791"/>
      <c r="D12" s="791"/>
      <c r="E12" s="791"/>
      <c r="F12" s="466">
        <f>F10+F11</f>
        <v>13347.64</v>
      </c>
      <c r="G12" s="462"/>
      <c r="H12" s="463"/>
      <c r="I12" s="464"/>
      <c r="J12" s="464" t="s">
        <v>427</v>
      </c>
      <c r="K12" s="464">
        <f>SUM(K10:K11)</f>
        <v>20.02</v>
      </c>
      <c r="L12" s="464">
        <f t="shared" ref="L12:M12" si="1">SUM(L10:L11)</f>
        <v>120.13</v>
      </c>
      <c r="M12" s="464">
        <f t="shared" si="1"/>
        <v>160.17999999999998</v>
      </c>
    </row>
    <row r="13" spans="1:13" ht="19.5" customHeight="1" x14ac:dyDescent="0.2">
      <c r="A13" s="766"/>
      <c r="B13" s="770" t="s">
        <v>281</v>
      </c>
      <c r="C13" s="770"/>
      <c r="D13" s="770"/>
      <c r="E13" s="501">
        <f>Dados!G23</f>
        <v>0.76400000000000001</v>
      </c>
      <c r="F13" s="454">
        <f>(ROUND((E13*F12),2))</f>
        <v>10197.6</v>
      </c>
      <c r="G13" s="455"/>
      <c r="H13" s="456"/>
      <c r="I13" s="457"/>
      <c r="J13" s="457" t="s">
        <v>428</v>
      </c>
      <c r="K13" s="457">
        <f>K12*$E$13</f>
        <v>15.29528</v>
      </c>
      <c r="L13" s="457">
        <f t="shared" ref="L13:M13" si="2">L12*$E$13</f>
        <v>91.779319999999998</v>
      </c>
      <c r="M13" s="457">
        <f t="shared" si="2"/>
        <v>122.37751999999999</v>
      </c>
    </row>
    <row r="14" spans="1:13" ht="24.75" customHeight="1" x14ac:dyDescent="0.2">
      <c r="A14" s="792" t="s">
        <v>282</v>
      </c>
      <c r="B14" s="792"/>
      <c r="C14" s="792"/>
      <c r="D14" s="792"/>
      <c r="E14" s="792"/>
      <c r="F14" s="466">
        <f>ROUND(SUM(F12:F13),2)</f>
        <v>23545.24</v>
      </c>
      <c r="G14" s="467"/>
      <c r="H14" s="468"/>
      <c r="I14" s="469"/>
      <c r="J14" s="469" t="s">
        <v>429</v>
      </c>
      <c r="K14" s="469">
        <f>K12+K13</f>
        <v>35.315280000000001</v>
      </c>
      <c r="L14" s="469">
        <f t="shared" ref="L14:M14" si="3">L12+L13</f>
        <v>211.90931999999998</v>
      </c>
      <c r="M14" s="469">
        <f t="shared" si="3"/>
        <v>282.55751999999995</v>
      </c>
    </row>
    <row r="15" spans="1:13" ht="19.5" customHeight="1" x14ac:dyDescent="0.2">
      <c r="A15" s="773" t="s">
        <v>283</v>
      </c>
      <c r="B15" s="773"/>
      <c r="C15" s="773"/>
      <c r="D15" s="773"/>
      <c r="E15" s="773"/>
      <c r="F15" s="773"/>
      <c r="G15" s="773"/>
      <c r="H15" s="773"/>
      <c r="I15" s="773"/>
      <c r="J15" s="470"/>
      <c r="K15" s="223"/>
      <c r="L15" s="223"/>
      <c r="M15" s="223"/>
    </row>
    <row r="16" spans="1:13" ht="19.5" customHeight="1" x14ac:dyDescent="0.2">
      <c r="A16" s="774" t="s">
        <v>284</v>
      </c>
      <c r="B16" s="774"/>
      <c r="C16" s="117" t="s">
        <v>285</v>
      </c>
      <c r="D16" s="775" t="s">
        <v>279</v>
      </c>
      <c r="E16" s="775"/>
      <c r="F16" s="775"/>
      <c r="G16" s="775"/>
      <c r="H16" s="775"/>
      <c r="I16" s="775"/>
      <c r="J16" s="471"/>
      <c r="K16" s="223"/>
      <c r="L16" s="223"/>
      <c r="M16" s="223"/>
    </row>
    <row r="17" spans="1:13" ht="19.5" customHeight="1" x14ac:dyDescent="0.2">
      <c r="A17" s="771" t="s">
        <v>287</v>
      </c>
      <c r="B17" s="771"/>
      <c r="C17" s="472">
        <v>1</v>
      </c>
      <c r="D17" s="456">
        <f>Dados!G31</f>
        <v>20</v>
      </c>
      <c r="E17" s="473"/>
      <c r="F17" s="454">
        <f>ROUND((C17*D17),2)</f>
        <v>20</v>
      </c>
      <c r="G17" s="455"/>
      <c r="H17" s="456"/>
      <c r="I17" s="457"/>
      <c r="J17" s="457"/>
      <c r="K17" s="457"/>
      <c r="L17" s="457"/>
      <c r="M17" s="457"/>
    </row>
    <row r="18" spans="1:13" ht="25.5" customHeight="1" x14ac:dyDescent="0.2">
      <c r="A18" s="776" t="s">
        <v>288</v>
      </c>
      <c r="B18" s="776"/>
      <c r="C18" s="472">
        <f>1</f>
        <v>1</v>
      </c>
      <c r="D18" s="456">
        <f>Dados!G32</f>
        <v>380.02</v>
      </c>
      <c r="E18" s="474">
        <f>IF(Dados!G33="SIM",IF(E10&gt;=10312,20%,30%),Dados!G35)</f>
        <v>0.2</v>
      </c>
      <c r="F18" s="454">
        <f>IFERROR(C18*D18*E18,C18*D18)</f>
        <v>76.004000000000005</v>
      </c>
      <c r="G18" s="455"/>
      <c r="H18" s="456"/>
      <c r="I18" s="457"/>
      <c r="J18" s="457"/>
      <c r="K18" s="457"/>
      <c r="L18" s="457"/>
      <c r="M18" s="457"/>
    </row>
    <row r="19" spans="1:13" ht="25.5" customHeight="1" x14ac:dyDescent="0.2">
      <c r="A19" s="730" t="s">
        <v>105</v>
      </c>
      <c r="B19" s="730"/>
      <c r="C19" s="456">
        <f>Dados!$G$37</f>
        <v>22</v>
      </c>
      <c r="D19" s="456">
        <f>Dados!$G$36</f>
        <v>38.26</v>
      </c>
      <c r="E19" s="474">
        <f>Dados!$G$38</f>
        <v>0.2</v>
      </c>
      <c r="F19" s="454">
        <f>IF(Dados!G39="SIM",IF(E10&gt;10312,0,C19*D19*(100%-E19)),Dados!G35)</f>
        <v>0</v>
      </c>
      <c r="G19" s="455">
        <f>F19</f>
        <v>0</v>
      </c>
      <c r="H19" s="456"/>
      <c r="I19" s="457"/>
      <c r="J19" s="457"/>
      <c r="K19" s="457"/>
      <c r="L19" s="457"/>
      <c r="M19" s="457"/>
    </row>
    <row r="20" spans="1:13" ht="19.5" customHeight="1" x14ac:dyDescent="0.2">
      <c r="A20" s="771" t="s">
        <v>303</v>
      </c>
      <c r="B20" s="771"/>
      <c r="C20" s="456">
        <f>Dados!$G$45</f>
        <v>22</v>
      </c>
      <c r="D20" s="456">
        <f>Dados!$G$44</f>
        <v>7.1</v>
      </c>
      <c r="E20" s="475">
        <f>Dados!$G$42</f>
        <v>4.5</v>
      </c>
      <c r="F20" s="454">
        <f>IF(ROUND((($C$20*$D$20*Dados!$G$43)+($C$20*$E$20*Dados!$G$41) -(F10*Dados!$G$46)),2)&lt;0,0,ROUND((($C$20*$D$20*Dados!$G$43)+($C$20*$E$20*Dados!$G$41) -(F10*Dados!$G$46)),2))</f>
        <v>0</v>
      </c>
      <c r="G20" s="455"/>
      <c r="H20" s="456"/>
      <c r="I20" s="457">
        <f>F20</f>
        <v>0</v>
      </c>
      <c r="J20" s="457"/>
      <c r="K20" s="457"/>
      <c r="L20" s="457"/>
      <c r="M20" s="457"/>
    </row>
    <row r="21" spans="1:13" ht="19.5" customHeight="1" x14ac:dyDescent="0.2">
      <c r="A21" s="771" t="str">
        <f>Dados!B47</f>
        <v>Equipamentos</v>
      </c>
      <c r="B21" s="771"/>
      <c r="C21" s="456">
        <v>1</v>
      </c>
      <c r="D21" s="456">
        <f>Dados!$G$47</f>
        <v>100.15547800925926</v>
      </c>
      <c r="E21" s="453"/>
      <c r="F21" s="454">
        <f>ROUND((C21*D21),2)</f>
        <v>100.16</v>
      </c>
      <c r="G21" s="455"/>
      <c r="H21" s="456"/>
      <c r="I21" s="457"/>
      <c r="J21" s="457"/>
      <c r="K21" s="457"/>
      <c r="L21" s="457"/>
      <c r="M21" s="457"/>
    </row>
    <row r="22" spans="1:13" ht="19.5" customHeight="1" x14ac:dyDescent="0.2">
      <c r="A22" s="771" t="str">
        <f>Dados!B48</f>
        <v>Ferramentas</v>
      </c>
      <c r="B22" s="771"/>
      <c r="C22" s="456">
        <v>1</v>
      </c>
      <c r="D22" s="456">
        <f>IF('Ocorrências Mensais - FAT'!D7="PLANILHA PARA LICITAÇÃO (PRECIFICAÇÃO)",Dados!$G$48,'Ocorrências Mensais - FAT'!F32/SUM(Dados!D8:D12))</f>
        <v>68.819999999999993</v>
      </c>
      <c r="E22" s="453"/>
      <c r="F22" s="454">
        <f>ROUND((C22*D22),2)</f>
        <v>68.819999999999993</v>
      </c>
      <c r="G22" s="455"/>
      <c r="H22" s="456"/>
      <c r="I22" s="457"/>
      <c r="J22" s="457"/>
      <c r="K22" s="457"/>
      <c r="L22" s="457"/>
      <c r="M22" s="457"/>
    </row>
    <row r="23" spans="1:13" ht="19.5" customHeight="1" x14ac:dyDescent="0.2">
      <c r="A23" s="771" t="str">
        <f>Dados!B49</f>
        <v>Outros (inserir somente com a justificativa legal)</v>
      </c>
      <c r="B23" s="771"/>
      <c r="C23" s="456">
        <v>1</v>
      </c>
      <c r="D23" s="456">
        <f>Dados!$G$49</f>
        <v>0</v>
      </c>
      <c r="E23" s="453"/>
      <c r="F23" s="454">
        <f>ROUND((C23*D23),2)</f>
        <v>0</v>
      </c>
      <c r="G23" s="455"/>
      <c r="H23" s="456"/>
      <c r="I23" s="457"/>
      <c r="J23" s="457"/>
      <c r="K23" s="457"/>
      <c r="L23" s="457"/>
      <c r="M23" s="457"/>
    </row>
    <row r="24" spans="1:13" ht="19.5" customHeight="1" x14ac:dyDescent="0.2">
      <c r="A24" s="771" t="str">
        <f>Dados!B49</f>
        <v>Outros (inserir somente com a justificativa legal)</v>
      </c>
      <c r="B24" s="771"/>
      <c r="C24" s="456">
        <v>1</v>
      </c>
      <c r="D24" s="456">
        <f>Dados!$G$50</f>
        <v>0</v>
      </c>
      <c r="E24" s="453"/>
      <c r="F24" s="454">
        <f>ROUND((C24*D24),2)</f>
        <v>0</v>
      </c>
      <c r="G24" s="455"/>
      <c r="H24" s="456"/>
      <c r="I24" s="457"/>
      <c r="J24" s="457"/>
      <c r="K24" s="457"/>
      <c r="L24" s="457"/>
      <c r="M24" s="457"/>
    </row>
    <row r="25" spans="1:13" ht="24.75" customHeight="1" x14ac:dyDescent="0.2">
      <c r="A25" s="772" t="s">
        <v>291</v>
      </c>
      <c r="B25" s="772"/>
      <c r="C25" s="772"/>
      <c r="D25" s="772"/>
      <c r="E25" s="772"/>
      <c r="F25" s="466">
        <f>SUM(F17:F24)</f>
        <v>264.98399999999998</v>
      </c>
      <c r="G25" s="466">
        <f>SUM(G17:G24)</f>
        <v>0</v>
      </c>
      <c r="H25" s="468">
        <f>SUM($H$17:$H$24)</f>
        <v>0</v>
      </c>
      <c r="I25" s="469">
        <f>SUM($I$17:$I$24)</f>
        <v>0</v>
      </c>
      <c r="J25" s="469" t="s">
        <v>430</v>
      </c>
      <c r="K25" s="469">
        <f>SUM(K17:K24)</f>
        <v>0</v>
      </c>
      <c r="L25" s="469">
        <f>SUM(L17:L24)</f>
        <v>0</v>
      </c>
      <c r="M25" s="469">
        <f>SUM(M17:M24)</f>
        <v>0</v>
      </c>
    </row>
    <row r="26" spans="1:13" ht="24.75" customHeight="1" x14ac:dyDescent="0.2">
      <c r="A26" s="772" t="s">
        <v>292</v>
      </c>
      <c r="B26" s="772"/>
      <c r="C26" s="772"/>
      <c r="D26" s="772"/>
      <c r="E26" s="772"/>
      <c r="F26" s="466">
        <f>F14+F25</f>
        <v>23810.224000000002</v>
      </c>
      <c r="G26" s="466">
        <f>$G$14+$G$25</f>
        <v>0</v>
      </c>
      <c r="H26" s="468">
        <f>$H$14+$H$25</f>
        <v>0</v>
      </c>
      <c r="I26" s="469">
        <f>$I$14+$I$25</f>
        <v>0</v>
      </c>
      <c r="J26" s="469" t="s">
        <v>431</v>
      </c>
      <c r="K26" s="469">
        <f>K14+K25</f>
        <v>35.315280000000001</v>
      </c>
      <c r="L26" s="469">
        <f>L14+L25</f>
        <v>211.90931999999998</v>
      </c>
      <c r="M26" s="469">
        <f>M14+M25</f>
        <v>282.55751999999995</v>
      </c>
    </row>
    <row r="27" spans="1:13" ht="19.5" customHeight="1" x14ac:dyDescent="0.2">
      <c r="A27" s="773" t="s">
        <v>293</v>
      </c>
      <c r="B27" s="773"/>
      <c r="C27" s="773"/>
      <c r="D27" s="773"/>
      <c r="E27" s="773"/>
      <c r="F27" s="773"/>
      <c r="G27" s="773"/>
      <c r="H27" s="773">
        <f>SUM($H$17:$H$26)</f>
        <v>0</v>
      </c>
      <c r="I27" s="773">
        <f>SUM($I$17:$I$26)</f>
        <v>0</v>
      </c>
      <c r="J27" s="470"/>
      <c r="K27" s="223"/>
      <c r="L27" s="223"/>
      <c r="M27" s="223"/>
    </row>
    <row r="28" spans="1:13" ht="19.5" customHeight="1" x14ac:dyDescent="0.2">
      <c r="A28" s="788" t="s">
        <v>294</v>
      </c>
      <c r="B28" s="788"/>
      <c r="C28" s="788"/>
      <c r="D28" s="789" t="s">
        <v>295</v>
      </c>
      <c r="E28" s="789"/>
      <c r="F28" s="790" t="s">
        <v>279</v>
      </c>
      <c r="G28" s="790"/>
      <c r="H28" s="790"/>
      <c r="I28" s="790"/>
      <c r="J28" s="476"/>
      <c r="K28" s="223"/>
      <c r="L28" s="223"/>
      <c r="M28" s="223"/>
    </row>
    <row r="29" spans="1:13" ht="19.5" customHeight="1" x14ac:dyDescent="0.2">
      <c r="A29" s="477" t="s">
        <v>296</v>
      </c>
      <c r="B29" s="478"/>
      <c r="C29" s="478"/>
      <c r="D29" s="479">
        <f>Dados!$G$53</f>
        <v>0.03</v>
      </c>
      <c r="E29" s="455"/>
      <c r="F29" s="454">
        <f>ROUND((F26*D29),2)</f>
        <v>714.31</v>
      </c>
      <c r="G29" s="455">
        <f>ROUND(($G$26*$D$29),2)</f>
        <v>0</v>
      </c>
      <c r="H29" s="456">
        <f>ROUND((H26*D29),2)</f>
        <v>0</v>
      </c>
      <c r="I29" s="457">
        <f>ROUND((I26*D29),2)</f>
        <v>0</v>
      </c>
      <c r="J29" s="457" t="s">
        <v>437</v>
      </c>
      <c r="K29" s="457">
        <f>ROUND((K26*$D$29),2)</f>
        <v>1.06</v>
      </c>
      <c r="L29" s="457">
        <f t="shared" ref="L29:M29" si="4">ROUND((L26*$D$29),2)</f>
        <v>6.36</v>
      </c>
      <c r="M29" s="457">
        <f t="shared" si="4"/>
        <v>8.48</v>
      </c>
    </row>
    <row r="30" spans="1:13" ht="19.5" customHeight="1" x14ac:dyDescent="0.2">
      <c r="A30" s="785" t="s">
        <v>297</v>
      </c>
      <c r="B30" s="785"/>
      <c r="C30" s="785"/>
      <c r="D30" s="479"/>
      <c r="E30" s="455"/>
      <c r="F30" s="454">
        <f>F26+F29</f>
        <v>24524.534000000003</v>
      </c>
      <c r="G30" s="455">
        <f>$G$29+$G$26</f>
        <v>0</v>
      </c>
      <c r="H30" s="456">
        <f>H26+H29</f>
        <v>0</v>
      </c>
      <c r="I30" s="457">
        <f>I26+I29</f>
        <v>0</v>
      </c>
      <c r="J30" s="457" t="s">
        <v>436</v>
      </c>
      <c r="K30" s="457">
        <f t="shared" ref="K30" si="5">K26+K29</f>
        <v>36.375280000000004</v>
      </c>
      <c r="L30" s="457">
        <f t="shared" ref="L30" si="6">L26+L29</f>
        <v>218.26931999999999</v>
      </c>
      <c r="M30" s="457">
        <f t="shared" ref="M30" si="7">M26+M29</f>
        <v>291.03751999999997</v>
      </c>
    </row>
    <row r="31" spans="1:13" ht="19.5" customHeight="1" x14ac:dyDescent="0.2">
      <c r="A31" s="477" t="s">
        <v>125</v>
      </c>
      <c r="B31" s="478"/>
      <c r="C31" s="478"/>
      <c r="D31" s="479">
        <f>Dados!$G$54</f>
        <v>6.7900000000000002E-2</v>
      </c>
      <c r="E31" s="455">
        <f>F26+F29</f>
        <v>24524.534000000003</v>
      </c>
      <c r="F31" s="454">
        <f>ROUND((E31*D31),2)</f>
        <v>1665.22</v>
      </c>
      <c r="G31" s="455">
        <f>ROUND(($G$30*$D$31),2)</f>
        <v>0</v>
      </c>
      <c r="H31" s="456">
        <f>ROUND((H30*D31),2)</f>
        <v>0</v>
      </c>
      <c r="I31" s="457">
        <f>ROUND((I30*D31),2)</f>
        <v>0</v>
      </c>
      <c r="J31" s="457" t="s">
        <v>125</v>
      </c>
      <c r="K31" s="457">
        <f>ROUND((K30*$D$31),2)</f>
        <v>2.4700000000000002</v>
      </c>
      <c r="L31" s="457">
        <f t="shared" ref="L31:M31" si="8">ROUND((L30*$D$31),2)</f>
        <v>14.82</v>
      </c>
      <c r="M31" s="457">
        <f t="shared" si="8"/>
        <v>19.760000000000002</v>
      </c>
    </row>
    <row r="32" spans="1:13" ht="24.75" customHeight="1" x14ac:dyDescent="0.2">
      <c r="A32" s="481" t="s">
        <v>298</v>
      </c>
      <c r="B32" s="482"/>
      <c r="C32" s="482"/>
      <c r="D32" s="483">
        <f>SUM(D29:D31)</f>
        <v>9.7900000000000001E-2</v>
      </c>
      <c r="E32" s="467"/>
      <c r="F32" s="466">
        <f>F29+F31</f>
        <v>2379.5299999999997</v>
      </c>
      <c r="G32" s="467">
        <f>$G$29+$G$31</f>
        <v>0</v>
      </c>
      <c r="H32" s="468">
        <f>H29+H31</f>
        <v>0</v>
      </c>
      <c r="I32" s="469">
        <f>I29+I31</f>
        <v>0</v>
      </c>
      <c r="J32" s="469" t="s">
        <v>432</v>
      </c>
      <c r="K32" s="469">
        <f t="shared" ref="K32:M32" si="9">K29+K31</f>
        <v>3.5300000000000002</v>
      </c>
      <c r="L32" s="469">
        <f t="shared" si="9"/>
        <v>21.18</v>
      </c>
      <c r="M32" s="469">
        <f t="shared" si="9"/>
        <v>28.240000000000002</v>
      </c>
    </row>
    <row r="33" spans="1:13" ht="24.75" customHeight="1" x14ac:dyDescent="0.2">
      <c r="A33" s="792" t="s">
        <v>299</v>
      </c>
      <c r="B33" s="792"/>
      <c r="C33" s="792"/>
      <c r="D33" s="792"/>
      <c r="E33" s="792"/>
      <c r="F33" s="466">
        <f>F14+F25+F32</f>
        <v>26189.754000000001</v>
      </c>
      <c r="G33" s="467">
        <f>$G$14+$G$25+$G$32</f>
        <v>0</v>
      </c>
      <c r="H33" s="468">
        <f>H14+H25+H32</f>
        <v>0</v>
      </c>
      <c r="I33" s="469">
        <f>I14+I25+I32</f>
        <v>0</v>
      </c>
      <c r="J33" s="469" t="s">
        <v>433</v>
      </c>
      <c r="K33" s="469">
        <f>K14+K25+K32</f>
        <v>38.845280000000002</v>
      </c>
      <c r="L33" s="469">
        <f>L14+L25+L32</f>
        <v>233.08931999999999</v>
      </c>
      <c r="M33" s="469">
        <f>M14+M25+M32</f>
        <v>310.79751999999996</v>
      </c>
    </row>
    <row r="34" spans="1:13" ht="19.5" customHeight="1" x14ac:dyDescent="0.2">
      <c r="A34" s="773" t="s">
        <v>300</v>
      </c>
      <c r="B34" s="773"/>
      <c r="C34" s="773"/>
      <c r="D34" s="773"/>
      <c r="E34" s="773"/>
      <c r="F34" s="773"/>
      <c r="G34" s="773"/>
      <c r="H34" s="773"/>
      <c r="I34" s="773"/>
      <c r="J34" s="470"/>
      <c r="K34" s="223"/>
      <c r="L34" s="223"/>
      <c r="M34" s="223"/>
    </row>
    <row r="35" spans="1:13" ht="19.5" customHeight="1" x14ac:dyDescent="0.2">
      <c r="A35" s="477" t="s">
        <v>130</v>
      </c>
      <c r="B35" s="478"/>
      <c r="C35" s="485"/>
      <c r="D35" s="479">
        <f>Dados!$G$61</f>
        <v>7.5999999999999998E-2</v>
      </c>
      <c r="E35" s="453"/>
      <c r="F35" s="454">
        <f>ROUND((F40*D35),2)</f>
        <v>2321.19</v>
      </c>
      <c r="G35" s="455">
        <f>ROUND(($G$40*$D$35),2)</f>
        <v>0</v>
      </c>
      <c r="H35" s="456">
        <f>ROUND((H40*D35),2)</f>
        <v>0</v>
      </c>
      <c r="I35" s="457">
        <f>ROUND((I40*D35),2)</f>
        <v>0</v>
      </c>
      <c r="J35" s="477" t="s">
        <v>130</v>
      </c>
      <c r="K35" s="457">
        <f>ROUND((K40*$D$35),2)</f>
        <v>3.44</v>
      </c>
      <c r="L35" s="457">
        <f t="shared" ref="L35:M35" si="10">ROUND((L40*$D$35),2)</f>
        <v>20.66</v>
      </c>
      <c r="M35" s="457">
        <f t="shared" si="10"/>
        <v>27.55</v>
      </c>
    </row>
    <row r="36" spans="1:13" ht="19.5" customHeight="1" x14ac:dyDescent="0.2">
      <c r="A36" s="477" t="s">
        <v>131</v>
      </c>
      <c r="B36" s="478"/>
      <c r="C36" s="485"/>
      <c r="D36" s="479">
        <f>Dados!$G$62</f>
        <v>1.6500000000000001E-2</v>
      </c>
      <c r="E36" s="453"/>
      <c r="F36" s="454">
        <f>ROUND((F40*D36),2)</f>
        <v>503.94</v>
      </c>
      <c r="G36" s="455">
        <f>ROUND(($G$40*$D$36),2)</f>
        <v>0</v>
      </c>
      <c r="H36" s="456">
        <f>ROUND((H40*D36),2)</f>
        <v>0</v>
      </c>
      <c r="I36" s="457">
        <f>ROUND((I40*D36),2)</f>
        <v>0</v>
      </c>
      <c r="J36" s="477" t="s">
        <v>131</v>
      </c>
      <c r="K36" s="457">
        <f>ROUND((K40*$D$36),2)</f>
        <v>0.75</v>
      </c>
      <c r="L36" s="457">
        <f t="shared" ref="L36:M36" si="11">ROUND((L40*$D$36),2)</f>
        <v>4.49</v>
      </c>
      <c r="M36" s="457">
        <f t="shared" si="11"/>
        <v>5.98</v>
      </c>
    </row>
    <row r="37" spans="1:13" ht="19.5" customHeight="1" x14ac:dyDescent="0.2">
      <c r="A37" s="477" t="s">
        <v>132</v>
      </c>
      <c r="B37" s="478"/>
      <c r="C37" s="485"/>
      <c r="D37" s="479">
        <f>Dados!$G$63</f>
        <v>0.05</v>
      </c>
      <c r="E37" s="453"/>
      <c r="F37" s="454">
        <f>ROUND((F40*D37),2)</f>
        <v>1527.1</v>
      </c>
      <c r="G37" s="455">
        <f>ROUND(($G$40*$D$37),2)</f>
        <v>0</v>
      </c>
      <c r="H37" s="456">
        <f>ROUND((H40*D37),2)</f>
        <v>0</v>
      </c>
      <c r="I37" s="457">
        <f>ROUND((I40*D37),2)</f>
        <v>0</v>
      </c>
      <c r="J37" s="477" t="s">
        <v>132</v>
      </c>
      <c r="K37" s="457">
        <f>ROUND((K40*$D$37),2)</f>
        <v>2.27</v>
      </c>
      <c r="L37" s="457">
        <f t="shared" ref="L37:M37" si="12">ROUND((L40*$D$37),2)</f>
        <v>13.59</v>
      </c>
      <c r="M37" s="457">
        <f t="shared" si="12"/>
        <v>18.12</v>
      </c>
    </row>
    <row r="38" spans="1:13" ht="19.5" customHeight="1" x14ac:dyDescent="0.2">
      <c r="A38" s="477" t="str">
        <f>Dados!B64</f>
        <v>Outros (inserir somente com a justificativa legal) - Exemplo - CPRB</v>
      </c>
      <c r="B38" s="478"/>
      <c r="C38" s="485"/>
      <c r="D38" s="479">
        <f>Dados!G64</f>
        <v>0</v>
      </c>
      <c r="E38" s="453"/>
      <c r="F38" s="454">
        <f>ROUND((F40*$D$38),2)</f>
        <v>0</v>
      </c>
      <c r="G38" s="454">
        <f>ROUND((G40*$D$38),2)</f>
        <v>0</v>
      </c>
      <c r="H38" s="454">
        <f>ROUND((H40*$D$38),2)</f>
        <v>0</v>
      </c>
      <c r="I38" s="454">
        <f>ROUND((I40*$D$38),2)</f>
        <v>0</v>
      </c>
      <c r="J38" s="477" t="s">
        <v>438</v>
      </c>
      <c r="K38" s="454">
        <f t="shared" ref="K38" si="13">ROUND((K40*$D$38),2)</f>
        <v>0</v>
      </c>
      <c r="L38" s="454">
        <f t="shared" ref="L38:M38" si="14">ROUND((L40*$D$38),2)</f>
        <v>0</v>
      </c>
      <c r="M38" s="454">
        <f t="shared" si="14"/>
        <v>0</v>
      </c>
    </row>
    <row r="39" spans="1:13" ht="30" customHeight="1" thickBot="1" x14ac:dyDescent="0.25">
      <c r="A39" s="481" t="s">
        <v>301</v>
      </c>
      <c r="B39" s="482"/>
      <c r="C39" s="486"/>
      <c r="D39" s="483">
        <f>SUM(D35:D38)</f>
        <v>0.14250000000000002</v>
      </c>
      <c r="E39" s="487"/>
      <c r="F39" s="466">
        <f>SUM(F35:F38)</f>
        <v>4352.2299999999996</v>
      </c>
      <c r="G39" s="466">
        <f>SUM(G35:G38)</f>
        <v>0</v>
      </c>
      <c r="H39" s="466">
        <f>SUM(H35:H38)</f>
        <v>0</v>
      </c>
      <c r="I39" s="488">
        <f>SUM(I35:I38)</f>
        <v>0</v>
      </c>
      <c r="J39" s="469" t="s">
        <v>434</v>
      </c>
      <c r="K39" s="488">
        <f t="shared" ref="K39" si="15">SUM(K35:K38)</f>
        <v>6.4599999999999991</v>
      </c>
      <c r="L39" s="488">
        <f t="shared" ref="L39" si="16">SUM(L35:L38)</f>
        <v>38.739999999999995</v>
      </c>
      <c r="M39" s="488">
        <f t="shared" ref="M39" si="17">SUM(M35:M38)</f>
        <v>51.650000000000006</v>
      </c>
    </row>
    <row r="40" spans="1:13" ht="34.5" hidden="1" customHeight="1" thickBot="1" x14ac:dyDescent="0.25">
      <c r="A40" s="786" t="str">
        <f>A7</f>
        <v>Nível Superior Pleno - 200</v>
      </c>
      <c r="B40" s="786"/>
      <c r="C40" s="786"/>
      <c r="D40" s="786"/>
      <c r="E40" s="786"/>
      <c r="F40" s="489">
        <f>ROUND(F33/(1-D39),2)</f>
        <v>30541.99</v>
      </c>
      <c r="G40" s="490">
        <f>ROUND($G$33/(1-$D$39),2)</f>
        <v>0</v>
      </c>
      <c r="H40" s="491">
        <f>ROUND(H33/(1-D39),2)</f>
        <v>0</v>
      </c>
      <c r="I40" s="492">
        <f>ROUND(I33/(1-D39),2)</f>
        <v>0</v>
      </c>
      <c r="J40" s="492" t="s">
        <v>435</v>
      </c>
      <c r="K40" s="492">
        <f>ROUND(K33/(1-$D$39),2)</f>
        <v>45.3</v>
      </c>
      <c r="L40" s="492">
        <f t="shared" ref="L40:M40" si="18">ROUND(L33/(1-$D$39),2)</f>
        <v>271.82</v>
      </c>
      <c r="M40" s="492">
        <f t="shared" si="18"/>
        <v>362.45</v>
      </c>
    </row>
    <row r="41" spans="1:13" ht="30" customHeight="1" thickBot="1" x14ac:dyDescent="0.25">
      <c r="A41" s="794" t="str">
        <f>A7</f>
        <v>Nível Superior Pleno - 200</v>
      </c>
      <c r="B41" s="794"/>
      <c r="C41" s="794"/>
      <c r="D41" s="794"/>
      <c r="E41" s="794"/>
      <c r="F41" s="502">
        <f>F40</f>
        <v>30541.99</v>
      </c>
      <c r="G41" s="502">
        <f>$G$40</f>
        <v>0</v>
      </c>
      <c r="H41" s="502">
        <f>H40</f>
        <v>0</v>
      </c>
      <c r="I41" s="503">
        <f>I40</f>
        <v>0</v>
      </c>
      <c r="J41" s="492" t="s">
        <v>435</v>
      </c>
      <c r="K41" s="503">
        <f t="shared" ref="K41:M41" si="19">K40</f>
        <v>45.3</v>
      </c>
      <c r="L41" s="503">
        <f t="shared" si="19"/>
        <v>271.82</v>
      </c>
      <c r="M41" s="503">
        <f t="shared" si="19"/>
        <v>362.45</v>
      </c>
    </row>
    <row r="42" spans="1:13" ht="29.25" customHeight="1" thickBot="1" x14ac:dyDescent="0.25">
      <c r="A42" s="793" t="s">
        <v>302</v>
      </c>
      <c r="B42" s="793"/>
      <c r="C42" s="793"/>
      <c r="D42" s="793"/>
      <c r="E42" s="793"/>
      <c r="F42" s="504">
        <f>($F$41/$F$12)/100</f>
        <v>2.2881940178188804E-2</v>
      </c>
      <c r="G42" s="502">
        <f>ROUND(G41/22,2)</f>
        <v>0</v>
      </c>
      <c r="H42" s="502">
        <f>(D20+E20)*2</f>
        <v>23.2</v>
      </c>
      <c r="I42" s="505"/>
      <c r="J42" s="505"/>
      <c r="K42" s="505"/>
      <c r="L42" s="505"/>
      <c r="M42" s="505"/>
    </row>
  </sheetData>
  <sheetProtection algorithmName="SHA-512" hashValue="FFf0Li8sFyBgy79UTT7ZbrvhcsQzLLrCZgyW6v09GbHVTNWmuzrioPBN9uDB1uCellnD/vpKRgTRFifITiVicg==" saltValue="x9hriVd0zxVJH6vWbtJcQw==" spinCount="100000" sheet="1" objects="1" scenarios="1"/>
  <mergeCells count="43">
    <mergeCell ref="J4:M5"/>
    <mergeCell ref="A42:E42"/>
    <mergeCell ref="K6:M6"/>
    <mergeCell ref="J6:J8"/>
    <mergeCell ref="A30:C30"/>
    <mergeCell ref="A33:E33"/>
    <mergeCell ref="A34:I34"/>
    <mergeCell ref="A40:E40"/>
    <mergeCell ref="A41:E41"/>
    <mergeCell ref="A24:B24"/>
    <mergeCell ref="A25:E25"/>
    <mergeCell ref="A26:E26"/>
    <mergeCell ref="A27:I27"/>
    <mergeCell ref="A28:C28"/>
    <mergeCell ref="D28:E28"/>
    <mergeCell ref="F28:I28"/>
    <mergeCell ref="A22:B22"/>
    <mergeCell ref="A23:B2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B9:C9"/>
    <mergeCell ref="F9:I9"/>
    <mergeCell ref="A10:A13"/>
    <mergeCell ref="B10:C10"/>
    <mergeCell ref="B11:C11"/>
    <mergeCell ref="B12:E12"/>
    <mergeCell ref="B13:D13"/>
    <mergeCell ref="A4:I4"/>
    <mergeCell ref="A5:I5"/>
    <mergeCell ref="A6:I6"/>
    <mergeCell ref="A7:E7"/>
    <mergeCell ref="F7:F8"/>
    <mergeCell ref="G7:G8"/>
    <mergeCell ref="H7:H8"/>
    <mergeCell ref="I7:I8"/>
    <mergeCell ref="A8:D8"/>
  </mergeCells>
  <pageMargins left="0.39374999999999999" right="0" top="0.39374999999999999" bottom="0" header="0.511811023622047" footer="0.511811023622047"/>
  <pageSetup paperSize="9" scale="75" orientation="portrait" horizontalDpi="300" verticalDpi="300"/>
  <rowBreaks count="1" manualBreakCount="1">
    <brk id="42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2"/>
  <sheetViews>
    <sheetView showGridLines="0" zoomScale="90" zoomScaleNormal="90" workbookViewId="0"/>
  </sheetViews>
  <sheetFormatPr defaultColWidth="9" defaultRowHeight="12.75" x14ac:dyDescent="0.2"/>
  <cols>
    <col min="1" max="1" width="11.33203125" customWidth="1"/>
    <col min="2" max="2" width="28.83203125" customWidth="1"/>
    <col min="3" max="3" width="10.33203125" customWidth="1"/>
    <col min="4" max="5" width="17.5" customWidth="1"/>
    <col min="6" max="8" width="17.83203125" style="31" customWidth="1"/>
    <col min="9" max="13" width="17.83203125" customWidth="1"/>
  </cols>
  <sheetData>
    <row r="1" spans="1:13" x14ac:dyDescent="0.2">
      <c r="A1" s="438"/>
      <c r="B1" s="439" t="s">
        <v>26</v>
      </c>
      <c r="C1" s="440"/>
      <c r="D1" s="440"/>
      <c r="E1" s="440"/>
      <c r="F1" s="441"/>
      <c r="G1" s="441"/>
      <c r="H1" s="441"/>
      <c r="I1" s="219"/>
      <c r="J1" s="223"/>
      <c r="K1" s="223"/>
      <c r="L1" s="223"/>
      <c r="M1" s="223"/>
    </row>
    <row r="2" spans="1:13" x14ac:dyDescent="0.2">
      <c r="A2" s="442"/>
      <c r="B2" s="443" t="s">
        <v>27</v>
      </c>
      <c r="C2" s="301"/>
      <c r="D2" s="301"/>
      <c r="E2" s="301"/>
      <c r="F2" s="444"/>
      <c r="G2" s="444"/>
      <c r="H2" s="444"/>
      <c r="I2" s="223"/>
      <c r="J2" s="223"/>
      <c r="K2" s="223"/>
      <c r="L2" s="223"/>
      <c r="M2" s="223"/>
    </row>
    <row r="3" spans="1:13" ht="13.5" thickBot="1" x14ac:dyDescent="0.25">
      <c r="A3" s="445"/>
      <c r="B3" s="443" t="str">
        <f>Dados!B3</f>
        <v>Divisão de Engenharia e Arquitetura - DIEAR</v>
      </c>
      <c r="C3" s="301"/>
      <c r="D3" s="301"/>
      <c r="E3" s="301"/>
      <c r="F3" s="444"/>
      <c r="G3" s="444"/>
      <c r="H3" s="444"/>
      <c r="I3" s="223"/>
      <c r="J3" s="223"/>
      <c r="K3" s="223"/>
      <c r="L3" s="223"/>
      <c r="M3" s="223"/>
    </row>
    <row r="4" spans="1:13" ht="32.25" customHeight="1" x14ac:dyDescent="0.2">
      <c r="A4" s="754" t="s">
        <v>270</v>
      </c>
      <c r="B4" s="754"/>
      <c r="C4" s="754"/>
      <c r="D4" s="754"/>
      <c r="E4" s="754"/>
      <c r="F4" s="754"/>
      <c r="G4" s="754"/>
      <c r="H4" s="754"/>
      <c r="I4" s="754"/>
      <c r="J4" s="777"/>
      <c r="K4" s="778"/>
      <c r="L4" s="778"/>
      <c r="M4" s="778"/>
    </row>
    <row r="5" spans="1:13" ht="32.25" customHeight="1" x14ac:dyDescent="0.2">
      <c r="A5" s="755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755"/>
      <c r="C5" s="755"/>
      <c r="D5" s="755"/>
      <c r="E5" s="755"/>
      <c r="F5" s="755"/>
      <c r="G5" s="755"/>
      <c r="H5" s="755"/>
      <c r="I5" s="755"/>
      <c r="J5" s="779"/>
      <c r="K5" s="780"/>
      <c r="L5" s="780"/>
      <c r="M5" s="780"/>
    </row>
    <row r="6" spans="1:13" ht="27.75" customHeight="1" thickBot="1" x14ac:dyDescent="0.25">
      <c r="A6" s="756" t="s">
        <v>616</v>
      </c>
      <c r="B6" s="756"/>
      <c r="C6" s="756"/>
      <c r="D6" s="756"/>
      <c r="E6" s="756"/>
      <c r="F6" s="756"/>
      <c r="G6" s="756"/>
      <c r="H6" s="756"/>
      <c r="I6" s="757"/>
      <c r="J6" s="783" t="s">
        <v>424</v>
      </c>
      <c r="K6" s="782" t="s">
        <v>420</v>
      </c>
      <c r="L6" s="782"/>
      <c r="M6" s="782"/>
    </row>
    <row r="7" spans="1:13" ht="30" customHeight="1" thickBot="1" x14ac:dyDescent="0.25">
      <c r="A7" s="758" t="str">
        <f>Dados!B10&amp;" - "&amp;D10</f>
        <v>Nível Superior Junior - 200</v>
      </c>
      <c r="B7" s="758"/>
      <c r="C7" s="758"/>
      <c r="D7" s="758"/>
      <c r="E7" s="758"/>
      <c r="F7" s="759" t="s">
        <v>271</v>
      </c>
      <c r="G7" s="759" t="s">
        <v>272</v>
      </c>
      <c r="H7" s="760" t="s">
        <v>273</v>
      </c>
      <c r="I7" s="761" t="s">
        <v>274</v>
      </c>
      <c r="J7" s="784"/>
      <c r="K7" s="446" t="s">
        <v>421</v>
      </c>
      <c r="L7" s="446" t="s">
        <v>422</v>
      </c>
      <c r="M7" s="446" t="s">
        <v>423</v>
      </c>
    </row>
    <row r="8" spans="1:13" ht="18" customHeight="1" thickBot="1" x14ac:dyDescent="0.25">
      <c r="A8" s="762" t="s">
        <v>275</v>
      </c>
      <c r="B8" s="762"/>
      <c r="C8" s="762"/>
      <c r="D8" s="762"/>
      <c r="E8" s="447" t="s">
        <v>69</v>
      </c>
      <c r="F8" s="759"/>
      <c r="G8" s="759"/>
      <c r="H8" s="760"/>
      <c r="I8" s="761"/>
      <c r="J8" s="784"/>
      <c r="K8" s="448">
        <f>Dados!G71</f>
        <v>0.25</v>
      </c>
      <c r="L8" s="448">
        <f>100%+Dados!G73</f>
        <v>1.5</v>
      </c>
      <c r="M8" s="448">
        <f>100%+Dados!G74</f>
        <v>2</v>
      </c>
    </row>
    <row r="9" spans="1:13" ht="24.75" customHeight="1" x14ac:dyDescent="0.2">
      <c r="A9" s="449" t="s">
        <v>64</v>
      </c>
      <c r="B9" s="763" t="s">
        <v>276</v>
      </c>
      <c r="C9" s="763"/>
      <c r="D9" s="450" t="s">
        <v>277</v>
      </c>
      <c r="E9" s="451" t="s">
        <v>278</v>
      </c>
      <c r="F9" s="764" t="s">
        <v>279</v>
      </c>
      <c r="G9" s="764"/>
      <c r="H9" s="764"/>
      <c r="I9" s="765"/>
      <c r="J9" s="116" t="s">
        <v>459</v>
      </c>
      <c r="K9" s="117">
        <v>25</v>
      </c>
      <c r="L9" s="117" t="s">
        <v>460</v>
      </c>
      <c r="M9" s="117">
        <v>5</v>
      </c>
    </row>
    <row r="10" spans="1:13" ht="26.25" customHeight="1" x14ac:dyDescent="0.2">
      <c r="A10" s="766">
        <v>1</v>
      </c>
      <c r="B10" s="767" t="str">
        <f>A7</f>
        <v>Nível Superior Junior - 200</v>
      </c>
      <c r="C10" s="767"/>
      <c r="D10" s="499">
        <f>Dados!C10</f>
        <v>200</v>
      </c>
      <c r="E10" s="453">
        <f>Dados!E10</f>
        <v>12903</v>
      </c>
      <c r="F10" s="454">
        <f>Dados!F10</f>
        <v>12903</v>
      </c>
      <c r="G10" s="455"/>
      <c r="H10" s="456"/>
      <c r="I10" s="457"/>
      <c r="J10" s="458" t="s">
        <v>425</v>
      </c>
      <c r="K10" s="458">
        <f>ROUND($F$10/$D$10*K8,2)</f>
        <v>16.13</v>
      </c>
      <c r="L10" s="458">
        <f t="shared" ref="L10:M10" si="0">ROUND($F$10/$D$10*L8,2)</f>
        <v>96.77</v>
      </c>
      <c r="M10" s="458">
        <f t="shared" si="0"/>
        <v>129.03</v>
      </c>
    </row>
    <row r="11" spans="1:13" ht="24" customHeight="1" x14ac:dyDescent="0.2">
      <c r="A11" s="766"/>
      <c r="B11" s="768"/>
      <c r="C11" s="768"/>
      <c r="D11" s="500"/>
      <c r="E11" s="460"/>
      <c r="F11" s="454">
        <f>ROUND(((E11/220*D10)*C11)*D11,2)</f>
        <v>0</v>
      </c>
      <c r="G11" s="455"/>
      <c r="H11" s="456"/>
      <c r="I11" s="457"/>
      <c r="J11" s="457" t="s">
        <v>426</v>
      </c>
      <c r="K11" s="457">
        <f>ROUND($M$9/$K$9*K10,2)</f>
        <v>3.23</v>
      </c>
      <c r="L11" s="457">
        <f>ROUND($M$9/$K$9*L10,2)</f>
        <v>19.350000000000001</v>
      </c>
      <c r="M11" s="457">
        <f>ROUND($M$9/$K$9*M10,2)</f>
        <v>25.81</v>
      </c>
    </row>
    <row r="12" spans="1:13" ht="19.5" customHeight="1" x14ac:dyDescent="0.2">
      <c r="A12" s="766"/>
      <c r="B12" s="791" t="s">
        <v>280</v>
      </c>
      <c r="C12" s="791"/>
      <c r="D12" s="791"/>
      <c r="E12" s="791"/>
      <c r="F12" s="466">
        <f>F10+F11</f>
        <v>12903</v>
      </c>
      <c r="G12" s="462"/>
      <c r="H12" s="463"/>
      <c r="I12" s="464"/>
      <c r="J12" s="464" t="s">
        <v>427</v>
      </c>
      <c r="K12" s="464">
        <f>SUM(K10:K11)</f>
        <v>19.36</v>
      </c>
      <c r="L12" s="464">
        <f t="shared" ref="L12:M12" si="1">SUM(L10:L11)</f>
        <v>116.12</v>
      </c>
      <c r="M12" s="464">
        <f t="shared" si="1"/>
        <v>154.84</v>
      </c>
    </row>
    <row r="13" spans="1:13" ht="19.5" customHeight="1" x14ac:dyDescent="0.2">
      <c r="A13" s="766"/>
      <c r="B13" s="770" t="s">
        <v>281</v>
      </c>
      <c r="C13" s="770"/>
      <c r="D13" s="770"/>
      <c r="E13" s="501">
        <f>Dados!G23</f>
        <v>0.76400000000000001</v>
      </c>
      <c r="F13" s="454">
        <f>(ROUND((E13*F12),2))</f>
        <v>9857.89</v>
      </c>
      <c r="G13" s="455"/>
      <c r="H13" s="456"/>
      <c r="I13" s="457"/>
      <c r="J13" s="457" t="s">
        <v>428</v>
      </c>
      <c r="K13" s="457">
        <f>K12*$E$13</f>
        <v>14.791040000000001</v>
      </c>
      <c r="L13" s="457">
        <f t="shared" ref="L13:M13" si="2">L12*$E$13</f>
        <v>88.715680000000006</v>
      </c>
      <c r="M13" s="457">
        <f t="shared" si="2"/>
        <v>118.29776000000001</v>
      </c>
    </row>
    <row r="14" spans="1:13" ht="24.75" customHeight="1" x14ac:dyDescent="0.2">
      <c r="A14" s="792" t="s">
        <v>282</v>
      </c>
      <c r="B14" s="792"/>
      <c r="C14" s="792"/>
      <c r="D14" s="792"/>
      <c r="E14" s="792"/>
      <c r="F14" s="466">
        <f>ROUND(SUM(F12:F13),2)</f>
        <v>22760.89</v>
      </c>
      <c r="G14" s="467"/>
      <c r="H14" s="468"/>
      <c r="I14" s="469"/>
      <c r="J14" s="469" t="s">
        <v>429</v>
      </c>
      <c r="K14" s="469">
        <f>K12+K13</f>
        <v>34.151040000000002</v>
      </c>
      <c r="L14" s="469">
        <f t="shared" ref="L14:M14" si="3">L12+L13</f>
        <v>204.83568000000002</v>
      </c>
      <c r="M14" s="469">
        <f t="shared" si="3"/>
        <v>273.13776000000001</v>
      </c>
    </row>
    <row r="15" spans="1:13" ht="19.5" customHeight="1" x14ac:dyDescent="0.2">
      <c r="A15" s="773" t="s">
        <v>283</v>
      </c>
      <c r="B15" s="773"/>
      <c r="C15" s="773"/>
      <c r="D15" s="773"/>
      <c r="E15" s="773"/>
      <c r="F15" s="773"/>
      <c r="G15" s="773"/>
      <c r="H15" s="773"/>
      <c r="I15" s="773"/>
      <c r="J15" s="470"/>
      <c r="K15" s="223"/>
      <c r="L15" s="223"/>
      <c r="M15" s="223"/>
    </row>
    <row r="16" spans="1:13" ht="19.5" customHeight="1" x14ac:dyDescent="0.2">
      <c r="A16" s="774" t="s">
        <v>284</v>
      </c>
      <c r="B16" s="774"/>
      <c r="C16" s="117" t="s">
        <v>285</v>
      </c>
      <c r="D16" s="775" t="s">
        <v>279</v>
      </c>
      <c r="E16" s="775"/>
      <c r="F16" s="775"/>
      <c r="G16" s="775"/>
      <c r="H16" s="775"/>
      <c r="I16" s="775"/>
      <c r="J16" s="471"/>
      <c r="K16" s="223"/>
      <c r="L16" s="223"/>
      <c r="M16" s="223"/>
    </row>
    <row r="17" spans="1:13" ht="19.5" customHeight="1" x14ac:dyDescent="0.2">
      <c r="A17" s="771" t="s">
        <v>287</v>
      </c>
      <c r="B17" s="771"/>
      <c r="C17" s="472">
        <v>1</v>
      </c>
      <c r="D17" s="456">
        <f>Dados!G31</f>
        <v>20</v>
      </c>
      <c r="E17" s="473"/>
      <c r="F17" s="454">
        <f>ROUND((C17*D17),2)</f>
        <v>20</v>
      </c>
      <c r="G17" s="455"/>
      <c r="H17" s="456"/>
      <c r="I17" s="457"/>
      <c r="J17" s="457"/>
      <c r="K17" s="457"/>
      <c r="L17" s="457"/>
      <c r="M17" s="457"/>
    </row>
    <row r="18" spans="1:13" ht="25.5" customHeight="1" x14ac:dyDescent="0.2">
      <c r="A18" s="776" t="s">
        <v>288</v>
      </c>
      <c r="B18" s="776"/>
      <c r="C18" s="472">
        <f>1</f>
        <v>1</v>
      </c>
      <c r="D18" s="456">
        <f>Dados!G32</f>
        <v>380.02</v>
      </c>
      <c r="E18" s="474">
        <f>IF(Dados!G33="SIM",IF(E10&gt;=10312,20%,30%),Dados!G35)</f>
        <v>0.2</v>
      </c>
      <c r="F18" s="454">
        <f>IFERROR(C18*D18*E18,C18*D18)</f>
        <v>76.004000000000005</v>
      </c>
      <c r="G18" s="455"/>
      <c r="H18" s="456"/>
      <c r="I18" s="457"/>
      <c r="J18" s="457"/>
      <c r="K18" s="457"/>
      <c r="L18" s="457"/>
      <c r="M18" s="457"/>
    </row>
    <row r="19" spans="1:13" ht="25.5" customHeight="1" x14ac:dyDescent="0.2">
      <c r="A19" s="730" t="s">
        <v>105</v>
      </c>
      <c r="B19" s="730"/>
      <c r="C19" s="456">
        <f>Dados!$G$37</f>
        <v>22</v>
      </c>
      <c r="D19" s="456">
        <f>Dados!$G$36</f>
        <v>38.26</v>
      </c>
      <c r="E19" s="474">
        <f>Dados!$G$38</f>
        <v>0.2</v>
      </c>
      <c r="F19" s="454">
        <f>IF(Dados!G39="SIM",IF(E10&gt;10312,0,C19*D19*(100%-E19)),Dados!G35)</f>
        <v>0</v>
      </c>
      <c r="G19" s="455">
        <f>F19</f>
        <v>0</v>
      </c>
      <c r="H19" s="456"/>
      <c r="I19" s="457"/>
      <c r="J19" s="457"/>
      <c r="K19" s="457"/>
      <c r="L19" s="457"/>
      <c r="M19" s="457"/>
    </row>
    <row r="20" spans="1:13" ht="19.5" customHeight="1" x14ac:dyDescent="0.2">
      <c r="A20" s="771" t="s">
        <v>303</v>
      </c>
      <c r="B20" s="771"/>
      <c r="C20" s="456">
        <f>Dados!$G$45</f>
        <v>22</v>
      </c>
      <c r="D20" s="456">
        <f>Dados!$G$44</f>
        <v>7.1</v>
      </c>
      <c r="E20" s="475">
        <f>Dados!$G$42</f>
        <v>4.5</v>
      </c>
      <c r="F20" s="454">
        <f>IF(ROUND((($C$20*$D$20*Dados!$G$43)+($C$20*$E$20*Dados!$G$41) -(F10*Dados!$G$46)),2)&lt;0,0,ROUND((($C$20*$D$20*Dados!$G$43)+($C$20*$E$20*Dados!$G$41) -(F10*Dados!$G$46)),2))</f>
        <v>0</v>
      </c>
      <c r="G20" s="455"/>
      <c r="H20" s="456"/>
      <c r="I20" s="457">
        <f>F20</f>
        <v>0</v>
      </c>
      <c r="J20" s="457"/>
      <c r="K20" s="457"/>
      <c r="L20" s="457"/>
      <c r="M20" s="457"/>
    </row>
    <row r="21" spans="1:13" ht="19.5" customHeight="1" x14ac:dyDescent="0.2">
      <c r="A21" s="771" t="str">
        <f>Dados!B47</f>
        <v>Equipamentos</v>
      </c>
      <c r="B21" s="771"/>
      <c r="C21" s="456">
        <v>1</v>
      </c>
      <c r="D21" s="456">
        <f>Dados!$G$47</f>
        <v>100.15547800925926</v>
      </c>
      <c r="E21" s="453"/>
      <c r="F21" s="454">
        <f>ROUND((C21*D21),2)</f>
        <v>100.16</v>
      </c>
      <c r="G21" s="455"/>
      <c r="H21" s="456"/>
      <c r="I21" s="457"/>
      <c r="J21" s="457"/>
      <c r="K21" s="457"/>
      <c r="L21" s="457"/>
      <c r="M21" s="457"/>
    </row>
    <row r="22" spans="1:13" ht="19.5" customHeight="1" x14ac:dyDescent="0.2">
      <c r="A22" s="771" t="str">
        <f>Dados!B48</f>
        <v>Ferramentas</v>
      </c>
      <c r="B22" s="771"/>
      <c r="C22" s="456">
        <v>1</v>
      </c>
      <c r="D22" s="456">
        <f>IF('Ocorrências Mensais - FAT'!D7="PLANILHA PARA LICITAÇÃO (PRECIFICAÇÃO)",Dados!$G$48,'Ocorrências Mensais - FAT'!F32/SUM(Dados!D8:D12))</f>
        <v>68.819999999999993</v>
      </c>
      <c r="E22" s="453"/>
      <c r="F22" s="454">
        <f>ROUND((C22*D22),2)</f>
        <v>68.819999999999993</v>
      </c>
      <c r="G22" s="455"/>
      <c r="H22" s="456"/>
      <c r="I22" s="457"/>
      <c r="J22" s="457"/>
      <c r="K22" s="457"/>
      <c r="L22" s="457"/>
      <c r="M22" s="457"/>
    </row>
    <row r="23" spans="1:13" ht="19.5" customHeight="1" x14ac:dyDescent="0.2">
      <c r="A23" s="771" t="str">
        <f>Dados!B49</f>
        <v>Outros (inserir somente com a justificativa legal)</v>
      </c>
      <c r="B23" s="771"/>
      <c r="C23" s="456">
        <v>1</v>
      </c>
      <c r="D23" s="456">
        <f>Dados!$G$49</f>
        <v>0</v>
      </c>
      <c r="E23" s="453"/>
      <c r="F23" s="454">
        <f>ROUND((C23*D23),2)</f>
        <v>0</v>
      </c>
      <c r="G23" s="455"/>
      <c r="H23" s="456"/>
      <c r="I23" s="457"/>
      <c r="J23" s="457"/>
      <c r="K23" s="457"/>
      <c r="L23" s="457"/>
      <c r="M23" s="457"/>
    </row>
    <row r="24" spans="1:13" ht="19.5" customHeight="1" x14ac:dyDescent="0.2">
      <c r="A24" s="771" t="str">
        <f>Dados!B49</f>
        <v>Outros (inserir somente com a justificativa legal)</v>
      </c>
      <c r="B24" s="771"/>
      <c r="C24" s="456">
        <v>1</v>
      </c>
      <c r="D24" s="456">
        <f>Dados!$G$50</f>
        <v>0</v>
      </c>
      <c r="E24" s="453"/>
      <c r="F24" s="454">
        <f>ROUND((C24*D24),2)</f>
        <v>0</v>
      </c>
      <c r="G24" s="455"/>
      <c r="H24" s="456"/>
      <c r="I24" s="457"/>
      <c r="J24" s="457"/>
      <c r="K24" s="457"/>
      <c r="L24" s="457"/>
      <c r="M24" s="457"/>
    </row>
    <row r="25" spans="1:13" ht="24.75" customHeight="1" x14ac:dyDescent="0.2">
      <c r="A25" s="772" t="s">
        <v>291</v>
      </c>
      <c r="B25" s="772"/>
      <c r="C25" s="772"/>
      <c r="D25" s="772"/>
      <c r="E25" s="772"/>
      <c r="F25" s="466">
        <f>SUM(F17:F24)</f>
        <v>264.98399999999998</v>
      </c>
      <c r="G25" s="466">
        <f>SUM(G17:G24)</f>
        <v>0</v>
      </c>
      <c r="H25" s="468">
        <f>SUM($H$17:$H$24)</f>
        <v>0</v>
      </c>
      <c r="I25" s="469">
        <f>SUM($I$17:$I$24)</f>
        <v>0</v>
      </c>
      <c r="J25" s="469" t="s">
        <v>430</v>
      </c>
      <c r="K25" s="469">
        <f>SUM(K17:K24)</f>
        <v>0</v>
      </c>
      <c r="L25" s="469">
        <f>SUM(L17:L24)</f>
        <v>0</v>
      </c>
      <c r="M25" s="469">
        <f>SUM(M17:M24)</f>
        <v>0</v>
      </c>
    </row>
    <row r="26" spans="1:13" ht="24.75" customHeight="1" x14ac:dyDescent="0.2">
      <c r="A26" s="772" t="s">
        <v>292</v>
      </c>
      <c r="B26" s="772"/>
      <c r="C26" s="772"/>
      <c r="D26" s="772"/>
      <c r="E26" s="772"/>
      <c r="F26" s="466">
        <f>F14+F25</f>
        <v>23025.874</v>
      </c>
      <c r="G26" s="466">
        <f>$G$14+$G$25</f>
        <v>0</v>
      </c>
      <c r="H26" s="468">
        <f>$H$14+$H$25</f>
        <v>0</v>
      </c>
      <c r="I26" s="469">
        <f>$I$14+$I$25</f>
        <v>0</v>
      </c>
      <c r="J26" s="469" t="s">
        <v>431</v>
      </c>
      <c r="K26" s="469">
        <f>K14+K25</f>
        <v>34.151040000000002</v>
      </c>
      <c r="L26" s="469">
        <f>L14+L25</f>
        <v>204.83568000000002</v>
      </c>
      <c r="M26" s="469">
        <f>M14+M25</f>
        <v>273.13776000000001</v>
      </c>
    </row>
    <row r="27" spans="1:13" ht="19.5" customHeight="1" x14ac:dyDescent="0.2">
      <c r="A27" s="773" t="s">
        <v>293</v>
      </c>
      <c r="B27" s="773"/>
      <c r="C27" s="773"/>
      <c r="D27" s="773"/>
      <c r="E27" s="773"/>
      <c r="F27" s="773"/>
      <c r="G27" s="773"/>
      <c r="H27" s="773">
        <f>SUM($H$17:$H$26)</f>
        <v>0</v>
      </c>
      <c r="I27" s="773">
        <f>SUM($I$17:$I$26)</f>
        <v>0</v>
      </c>
      <c r="J27" s="470"/>
      <c r="K27" s="223"/>
      <c r="L27" s="223"/>
      <c r="M27" s="223"/>
    </row>
    <row r="28" spans="1:13" ht="19.5" customHeight="1" x14ac:dyDescent="0.2">
      <c r="A28" s="788" t="s">
        <v>294</v>
      </c>
      <c r="B28" s="788"/>
      <c r="C28" s="788"/>
      <c r="D28" s="789" t="s">
        <v>295</v>
      </c>
      <c r="E28" s="789"/>
      <c r="F28" s="790" t="s">
        <v>279</v>
      </c>
      <c r="G28" s="790"/>
      <c r="H28" s="790"/>
      <c r="I28" s="790"/>
      <c r="J28" s="476"/>
      <c r="K28" s="223"/>
      <c r="L28" s="223"/>
      <c r="M28" s="223"/>
    </row>
    <row r="29" spans="1:13" ht="19.5" customHeight="1" x14ac:dyDescent="0.2">
      <c r="A29" s="477" t="s">
        <v>296</v>
      </c>
      <c r="B29" s="478"/>
      <c r="C29" s="478"/>
      <c r="D29" s="479">
        <f>Dados!$G$53</f>
        <v>0.03</v>
      </c>
      <c r="E29" s="455"/>
      <c r="F29" s="454">
        <f>ROUND((F26*D29),2)</f>
        <v>690.78</v>
      </c>
      <c r="G29" s="455">
        <f>ROUND(($G$26*$D$29),2)</f>
        <v>0</v>
      </c>
      <c r="H29" s="456">
        <f>ROUND((H26*D29),2)</f>
        <v>0</v>
      </c>
      <c r="I29" s="457">
        <f>ROUND((I26*D29),2)</f>
        <v>0</v>
      </c>
      <c r="J29" s="457" t="s">
        <v>437</v>
      </c>
      <c r="K29" s="457">
        <f>ROUND((K26*$D$29),2)</f>
        <v>1.02</v>
      </c>
      <c r="L29" s="457">
        <f t="shared" ref="L29:M29" si="4">ROUND((L26*$D$29),2)</f>
        <v>6.15</v>
      </c>
      <c r="M29" s="457">
        <f t="shared" si="4"/>
        <v>8.19</v>
      </c>
    </row>
    <row r="30" spans="1:13" ht="19.5" customHeight="1" x14ac:dyDescent="0.2">
      <c r="A30" s="785" t="s">
        <v>297</v>
      </c>
      <c r="B30" s="785"/>
      <c r="C30" s="785"/>
      <c r="D30" s="479"/>
      <c r="E30" s="455"/>
      <c r="F30" s="454">
        <f>F26+F29</f>
        <v>23716.653999999999</v>
      </c>
      <c r="G30" s="455">
        <f>$G$29+$G$26</f>
        <v>0</v>
      </c>
      <c r="H30" s="456">
        <f>H26+H29</f>
        <v>0</v>
      </c>
      <c r="I30" s="457">
        <f>I26+I29</f>
        <v>0</v>
      </c>
      <c r="J30" s="457" t="s">
        <v>436</v>
      </c>
      <c r="K30" s="457">
        <f t="shared" ref="K30" si="5">K26+K29</f>
        <v>35.171040000000005</v>
      </c>
      <c r="L30" s="457">
        <f t="shared" ref="L30" si="6">L26+L29</f>
        <v>210.98568000000003</v>
      </c>
      <c r="M30" s="457">
        <f t="shared" ref="M30" si="7">M26+M29</f>
        <v>281.32776000000001</v>
      </c>
    </row>
    <row r="31" spans="1:13" ht="19.5" customHeight="1" x14ac:dyDescent="0.2">
      <c r="A31" s="477" t="s">
        <v>125</v>
      </c>
      <c r="B31" s="478"/>
      <c r="C31" s="478"/>
      <c r="D31" s="479">
        <f>Dados!$G$54</f>
        <v>6.7900000000000002E-2</v>
      </c>
      <c r="E31" s="455">
        <f>F26+F29</f>
        <v>23716.653999999999</v>
      </c>
      <c r="F31" s="454">
        <f>ROUND((E31*D31),2)</f>
        <v>1610.36</v>
      </c>
      <c r="G31" s="455">
        <f>ROUND(($G$30*$D$31),2)</f>
        <v>0</v>
      </c>
      <c r="H31" s="456">
        <f>ROUND((H30*D31),2)</f>
        <v>0</v>
      </c>
      <c r="I31" s="457">
        <f>ROUND((I30*D31),2)</f>
        <v>0</v>
      </c>
      <c r="J31" s="457" t="s">
        <v>125</v>
      </c>
      <c r="K31" s="457">
        <f>ROUND((K30*$D$31),2)</f>
        <v>2.39</v>
      </c>
      <c r="L31" s="457">
        <f t="shared" ref="L31:M31" si="8">ROUND((L30*$D$31),2)</f>
        <v>14.33</v>
      </c>
      <c r="M31" s="457">
        <f t="shared" si="8"/>
        <v>19.100000000000001</v>
      </c>
    </row>
    <row r="32" spans="1:13" ht="24.75" customHeight="1" x14ac:dyDescent="0.2">
      <c r="A32" s="481" t="s">
        <v>298</v>
      </c>
      <c r="B32" s="482"/>
      <c r="C32" s="482"/>
      <c r="D32" s="483">
        <f>SUM(D29:D31)</f>
        <v>9.7900000000000001E-2</v>
      </c>
      <c r="E32" s="467"/>
      <c r="F32" s="466">
        <f>F29+F31</f>
        <v>2301.14</v>
      </c>
      <c r="G32" s="467">
        <f>$G$29+$G$31</f>
        <v>0</v>
      </c>
      <c r="H32" s="468">
        <f>H29+H31</f>
        <v>0</v>
      </c>
      <c r="I32" s="469">
        <f>I29+I31</f>
        <v>0</v>
      </c>
      <c r="J32" s="469" t="s">
        <v>432</v>
      </c>
      <c r="K32" s="469">
        <f t="shared" ref="K32:M32" si="9">K29+K31</f>
        <v>3.41</v>
      </c>
      <c r="L32" s="469">
        <f t="shared" si="9"/>
        <v>20.48</v>
      </c>
      <c r="M32" s="469">
        <f t="shared" si="9"/>
        <v>27.29</v>
      </c>
    </row>
    <row r="33" spans="1:13" ht="24.75" customHeight="1" x14ac:dyDescent="0.2">
      <c r="A33" s="792" t="s">
        <v>299</v>
      </c>
      <c r="B33" s="792"/>
      <c r="C33" s="792"/>
      <c r="D33" s="792"/>
      <c r="E33" s="792"/>
      <c r="F33" s="466">
        <f>F14+F25+F32</f>
        <v>25327.013999999999</v>
      </c>
      <c r="G33" s="467">
        <f>$G$14+$G$25+$G$32</f>
        <v>0</v>
      </c>
      <c r="H33" s="468">
        <f>H14+H25+H32</f>
        <v>0</v>
      </c>
      <c r="I33" s="469">
        <f>I14+I25+I32</f>
        <v>0</v>
      </c>
      <c r="J33" s="469" t="s">
        <v>433</v>
      </c>
      <c r="K33" s="469">
        <f>K14+K25+K32</f>
        <v>37.561040000000006</v>
      </c>
      <c r="L33" s="469">
        <f>L14+L25+L32</f>
        <v>225.31568000000001</v>
      </c>
      <c r="M33" s="469">
        <f>M14+M25+M32</f>
        <v>300.42776000000003</v>
      </c>
    </row>
    <row r="34" spans="1:13" ht="19.5" customHeight="1" x14ac:dyDescent="0.2">
      <c r="A34" s="773" t="s">
        <v>300</v>
      </c>
      <c r="B34" s="773"/>
      <c r="C34" s="773"/>
      <c r="D34" s="773"/>
      <c r="E34" s="773"/>
      <c r="F34" s="773"/>
      <c r="G34" s="773"/>
      <c r="H34" s="773"/>
      <c r="I34" s="773"/>
      <c r="J34" s="470"/>
      <c r="K34" s="223"/>
      <c r="L34" s="223"/>
      <c r="M34" s="223"/>
    </row>
    <row r="35" spans="1:13" ht="19.5" customHeight="1" x14ac:dyDescent="0.2">
      <c r="A35" s="477" t="s">
        <v>130</v>
      </c>
      <c r="B35" s="478"/>
      <c r="C35" s="485"/>
      <c r="D35" s="479">
        <f>Dados!$G$61</f>
        <v>7.5999999999999998E-2</v>
      </c>
      <c r="E35" s="453"/>
      <c r="F35" s="454">
        <f>ROUND((F40*D35),2)</f>
        <v>2244.73</v>
      </c>
      <c r="G35" s="455">
        <f>ROUND(($G$40*$D$35),2)</f>
        <v>0</v>
      </c>
      <c r="H35" s="456">
        <f>ROUND((H40*D35),2)</f>
        <v>0</v>
      </c>
      <c r="I35" s="457">
        <f>ROUND((I40*D35),2)</f>
        <v>0</v>
      </c>
      <c r="J35" s="477" t="s">
        <v>130</v>
      </c>
      <c r="K35" s="457">
        <f>ROUND((K40*$D$35),2)</f>
        <v>3.33</v>
      </c>
      <c r="L35" s="457">
        <f t="shared" ref="L35:M35" si="10">ROUND((L40*$D$35),2)</f>
        <v>19.97</v>
      </c>
      <c r="M35" s="457">
        <f t="shared" si="10"/>
        <v>26.63</v>
      </c>
    </row>
    <row r="36" spans="1:13" ht="19.5" customHeight="1" x14ac:dyDescent="0.2">
      <c r="A36" s="477" t="s">
        <v>131</v>
      </c>
      <c r="B36" s="478"/>
      <c r="C36" s="485"/>
      <c r="D36" s="479">
        <f>Dados!$G$62</f>
        <v>1.6500000000000001E-2</v>
      </c>
      <c r="E36" s="453"/>
      <c r="F36" s="454">
        <f>ROUND((F40*D36),2)</f>
        <v>487.34</v>
      </c>
      <c r="G36" s="455">
        <f>ROUND(($G$40*$D$36),2)</f>
        <v>0</v>
      </c>
      <c r="H36" s="456">
        <f>ROUND((H40*D36),2)</f>
        <v>0</v>
      </c>
      <c r="I36" s="457">
        <f>ROUND((I40*D36),2)</f>
        <v>0</v>
      </c>
      <c r="J36" s="477" t="s">
        <v>131</v>
      </c>
      <c r="K36" s="457">
        <f>ROUND((K40*$D$36),2)</f>
        <v>0.72</v>
      </c>
      <c r="L36" s="457">
        <f t="shared" ref="L36:M36" si="11">ROUND((L40*$D$36),2)</f>
        <v>4.34</v>
      </c>
      <c r="M36" s="457">
        <f t="shared" si="11"/>
        <v>5.78</v>
      </c>
    </row>
    <row r="37" spans="1:13" ht="19.5" customHeight="1" x14ac:dyDescent="0.2">
      <c r="A37" s="477" t="s">
        <v>132</v>
      </c>
      <c r="B37" s="478"/>
      <c r="C37" s="485"/>
      <c r="D37" s="479">
        <f>Dados!$G$63</f>
        <v>0.05</v>
      </c>
      <c r="E37" s="453"/>
      <c r="F37" s="454">
        <f>ROUND((F40*D37),2)</f>
        <v>1476.79</v>
      </c>
      <c r="G37" s="455">
        <f>ROUND(($G$40*$D$37),2)</f>
        <v>0</v>
      </c>
      <c r="H37" s="456">
        <f>ROUND((H40*D37),2)</f>
        <v>0</v>
      </c>
      <c r="I37" s="457">
        <f>ROUND((I40*D37),2)</f>
        <v>0</v>
      </c>
      <c r="J37" s="477" t="s">
        <v>132</v>
      </c>
      <c r="K37" s="457">
        <f>ROUND((K40*$D$37),2)</f>
        <v>2.19</v>
      </c>
      <c r="L37" s="457">
        <f t="shared" ref="L37:M37" si="12">ROUND((L40*$D$37),2)</f>
        <v>13.14</v>
      </c>
      <c r="M37" s="457">
        <f t="shared" si="12"/>
        <v>17.52</v>
      </c>
    </row>
    <row r="38" spans="1:13" ht="19.5" customHeight="1" x14ac:dyDescent="0.2">
      <c r="A38" s="477" t="str">
        <f>Dados!B64</f>
        <v>Outros (inserir somente com a justificativa legal) - Exemplo - CPRB</v>
      </c>
      <c r="B38" s="478"/>
      <c r="C38" s="485"/>
      <c r="D38" s="479">
        <f>Dados!G64</f>
        <v>0</v>
      </c>
      <c r="E38" s="453"/>
      <c r="F38" s="454">
        <f>ROUND((F40*$D$38),2)</f>
        <v>0</v>
      </c>
      <c r="G38" s="454">
        <f>ROUND((G40*$D$38),2)</f>
        <v>0</v>
      </c>
      <c r="H38" s="454">
        <f>ROUND((H40*$D$38),2)</f>
        <v>0</v>
      </c>
      <c r="I38" s="454">
        <f>ROUND((I40*$D$38),2)</f>
        <v>0</v>
      </c>
      <c r="J38" s="477" t="s">
        <v>438</v>
      </c>
      <c r="K38" s="454">
        <f t="shared" ref="K38" si="13">ROUND((K40*$D$38),2)</f>
        <v>0</v>
      </c>
      <c r="L38" s="454">
        <f t="shared" ref="L38:M38" si="14">ROUND((L40*$D$38),2)</f>
        <v>0</v>
      </c>
      <c r="M38" s="454">
        <f t="shared" si="14"/>
        <v>0</v>
      </c>
    </row>
    <row r="39" spans="1:13" ht="30" customHeight="1" thickBot="1" x14ac:dyDescent="0.25">
      <c r="A39" s="481" t="s">
        <v>301</v>
      </c>
      <c r="B39" s="482"/>
      <c r="C39" s="486"/>
      <c r="D39" s="483">
        <f>SUM(D35:D38)</f>
        <v>0.14250000000000002</v>
      </c>
      <c r="E39" s="487"/>
      <c r="F39" s="466">
        <f>SUM(F35:F38)</f>
        <v>4208.8600000000006</v>
      </c>
      <c r="G39" s="466">
        <f>SUM(G35:G38)</f>
        <v>0</v>
      </c>
      <c r="H39" s="466">
        <f>SUM(H35:H38)</f>
        <v>0</v>
      </c>
      <c r="I39" s="488">
        <f>SUM(I35:I38)</f>
        <v>0</v>
      </c>
      <c r="J39" s="469" t="s">
        <v>434</v>
      </c>
      <c r="K39" s="488">
        <f t="shared" ref="K39" si="15">SUM(K35:K38)</f>
        <v>6.24</v>
      </c>
      <c r="L39" s="488">
        <f t="shared" ref="L39" si="16">SUM(L35:L38)</f>
        <v>37.450000000000003</v>
      </c>
      <c r="M39" s="488">
        <f t="shared" ref="M39" si="17">SUM(M35:M38)</f>
        <v>49.929999999999993</v>
      </c>
    </row>
    <row r="40" spans="1:13" ht="34.5" hidden="1" customHeight="1" thickBot="1" x14ac:dyDescent="0.25">
      <c r="A40" s="786" t="str">
        <f>A7</f>
        <v>Nível Superior Junior - 200</v>
      </c>
      <c r="B40" s="786"/>
      <c r="C40" s="786"/>
      <c r="D40" s="786"/>
      <c r="E40" s="786"/>
      <c r="F40" s="489">
        <f>ROUND(F33/(1-D39),2)</f>
        <v>29535.88</v>
      </c>
      <c r="G40" s="490">
        <f>ROUND($G$33/(1-$D$39),2)</f>
        <v>0</v>
      </c>
      <c r="H40" s="491">
        <f>ROUND(H33/(1-D39),2)</f>
        <v>0</v>
      </c>
      <c r="I40" s="492">
        <f>ROUND(I33/(1-D39),2)</f>
        <v>0</v>
      </c>
      <c r="J40" s="492" t="s">
        <v>435</v>
      </c>
      <c r="K40" s="492">
        <f>ROUND(K33/(1-$D$39),2)</f>
        <v>43.8</v>
      </c>
      <c r="L40" s="492">
        <f t="shared" ref="L40:M40" si="18">ROUND(L33/(1-$D$39),2)</f>
        <v>262.76</v>
      </c>
      <c r="M40" s="492">
        <f t="shared" si="18"/>
        <v>350.35</v>
      </c>
    </row>
    <row r="41" spans="1:13" ht="30" customHeight="1" thickBot="1" x14ac:dyDescent="0.25">
      <c r="A41" s="794" t="str">
        <f>A7</f>
        <v>Nível Superior Junior - 200</v>
      </c>
      <c r="B41" s="794"/>
      <c r="C41" s="794"/>
      <c r="D41" s="794"/>
      <c r="E41" s="794"/>
      <c r="F41" s="502">
        <f>F40</f>
        <v>29535.88</v>
      </c>
      <c r="G41" s="502">
        <f>$G$40</f>
        <v>0</v>
      </c>
      <c r="H41" s="502">
        <f>H40</f>
        <v>0</v>
      </c>
      <c r="I41" s="503">
        <f>I40</f>
        <v>0</v>
      </c>
      <c r="J41" s="492" t="s">
        <v>435</v>
      </c>
      <c r="K41" s="503">
        <f t="shared" ref="K41:M41" si="19">K40</f>
        <v>43.8</v>
      </c>
      <c r="L41" s="503">
        <f t="shared" si="19"/>
        <v>262.76</v>
      </c>
      <c r="M41" s="503">
        <f t="shared" si="19"/>
        <v>350.35</v>
      </c>
    </row>
    <row r="42" spans="1:13" ht="29.25" customHeight="1" thickBot="1" x14ac:dyDescent="0.25">
      <c r="A42" s="793" t="s">
        <v>302</v>
      </c>
      <c r="B42" s="793"/>
      <c r="C42" s="793"/>
      <c r="D42" s="793"/>
      <c r="E42" s="793"/>
      <c r="F42" s="504">
        <f>($F$41/$F$12)/100</f>
        <v>2.2890707587382781E-2</v>
      </c>
      <c r="G42" s="502">
        <f>ROUND(G41/22,2)</f>
        <v>0</v>
      </c>
      <c r="H42" s="502">
        <f>(D20+E20)*2</f>
        <v>23.2</v>
      </c>
      <c r="I42" s="505"/>
      <c r="J42" s="505"/>
      <c r="K42" s="505"/>
      <c r="L42" s="505"/>
      <c r="M42" s="505"/>
    </row>
  </sheetData>
  <sheetProtection algorithmName="SHA-512" hashValue="TpzqUa46AYpjoFxoVSkXa5dMVAUOOcwdMU0l0Nukxpy6v+pVZi387ikSQfhEM41CTRwj4hFugu5c6R95YO9TcQ==" saltValue="kig+WNpIlQhf2nbKCHh+og==" spinCount="100000" sheet="1" objects="1" scenarios="1"/>
  <mergeCells count="43">
    <mergeCell ref="J4:M5"/>
    <mergeCell ref="A42:E42"/>
    <mergeCell ref="K6:M6"/>
    <mergeCell ref="J6:J8"/>
    <mergeCell ref="A30:C30"/>
    <mergeCell ref="A33:E33"/>
    <mergeCell ref="A34:I34"/>
    <mergeCell ref="A40:E40"/>
    <mergeCell ref="A41:E41"/>
    <mergeCell ref="A24:B24"/>
    <mergeCell ref="A25:E25"/>
    <mergeCell ref="A26:E26"/>
    <mergeCell ref="A27:I27"/>
    <mergeCell ref="A28:C28"/>
    <mergeCell ref="D28:E28"/>
    <mergeCell ref="F28:I28"/>
    <mergeCell ref="A22:B22"/>
    <mergeCell ref="A23:B2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B9:C9"/>
    <mergeCell ref="F9:I9"/>
    <mergeCell ref="A10:A13"/>
    <mergeCell ref="B10:C10"/>
    <mergeCell ref="B11:C11"/>
    <mergeCell ref="B12:E12"/>
    <mergeCell ref="B13:D13"/>
    <mergeCell ref="A4:I4"/>
    <mergeCell ref="A5:I5"/>
    <mergeCell ref="A6:I6"/>
    <mergeCell ref="A7:E7"/>
    <mergeCell ref="F7:F8"/>
    <mergeCell ref="G7:G8"/>
    <mergeCell ref="H7:H8"/>
    <mergeCell ref="I7:I8"/>
    <mergeCell ref="A8:D8"/>
  </mergeCells>
  <pageMargins left="0.39374999999999999" right="0" top="0.39374999999999999" bottom="0" header="0.511811023622047" footer="0.511811023622047"/>
  <pageSetup paperSize="9" scale="75" orientation="portrait" horizontalDpi="300" verticalDpi="300"/>
  <rowBreaks count="1" manualBreakCount="1">
    <brk id="42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3"/>
  <sheetViews>
    <sheetView showGridLines="0" zoomScale="90" zoomScaleNormal="90" workbookViewId="0">
      <selection activeCell="A46" sqref="A46:D48"/>
    </sheetView>
  </sheetViews>
  <sheetFormatPr defaultColWidth="9" defaultRowHeight="12.75" x14ac:dyDescent="0.2"/>
  <cols>
    <col min="1" max="1" width="11.33203125" customWidth="1"/>
    <col min="2" max="2" width="28.83203125" customWidth="1"/>
    <col min="3" max="3" width="10.5" customWidth="1"/>
    <col min="4" max="5" width="17.5" customWidth="1"/>
    <col min="6" max="8" width="17.83203125" style="31" customWidth="1"/>
    <col min="9" max="13" width="17.83203125" customWidth="1"/>
  </cols>
  <sheetData>
    <row r="1" spans="1:13" x14ac:dyDescent="0.2">
      <c r="A1" s="438"/>
      <c r="B1" s="439" t="s">
        <v>26</v>
      </c>
      <c r="C1" s="440"/>
      <c r="D1" s="440"/>
      <c r="E1" s="440"/>
      <c r="F1" s="441"/>
      <c r="G1" s="441"/>
      <c r="H1" s="441"/>
      <c r="I1" s="219"/>
      <c r="J1" s="223"/>
      <c r="K1" s="223"/>
      <c r="L1" s="223"/>
      <c r="M1" s="223"/>
    </row>
    <row r="2" spans="1:13" x14ac:dyDescent="0.2">
      <c r="A2" s="442"/>
      <c r="B2" s="443" t="s">
        <v>27</v>
      </c>
      <c r="C2" s="301"/>
      <c r="D2" s="301"/>
      <c r="E2" s="301"/>
      <c r="F2" s="444"/>
      <c r="G2" s="444"/>
      <c r="H2" s="444"/>
      <c r="I2" s="223"/>
      <c r="J2" s="223"/>
      <c r="K2" s="223"/>
      <c r="L2" s="223"/>
      <c r="M2" s="223"/>
    </row>
    <row r="3" spans="1:13" ht="13.5" thickBot="1" x14ac:dyDescent="0.25">
      <c r="A3" s="445"/>
      <c r="B3" s="443" t="str">
        <f>Dados!B3</f>
        <v>Divisão de Engenharia e Arquitetura - DIEAR</v>
      </c>
      <c r="C3" s="301"/>
      <c r="D3" s="301"/>
      <c r="E3" s="301"/>
      <c r="F3" s="444"/>
      <c r="G3" s="444"/>
      <c r="H3" s="444"/>
      <c r="I3" s="223"/>
      <c r="J3" s="223"/>
      <c r="K3" s="223"/>
      <c r="L3" s="223"/>
      <c r="M3" s="223"/>
    </row>
    <row r="4" spans="1:13" ht="32.25" customHeight="1" x14ac:dyDescent="0.2">
      <c r="A4" s="754" t="s">
        <v>270</v>
      </c>
      <c r="B4" s="754"/>
      <c r="C4" s="754"/>
      <c r="D4" s="754"/>
      <c r="E4" s="754"/>
      <c r="F4" s="754"/>
      <c r="G4" s="754"/>
      <c r="H4" s="754"/>
      <c r="I4" s="754"/>
      <c r="J4" s="795" t="s">
        <v>304</v>
      </c>
      <c r="K4" s="796"/>
      <c r="L4" s="796"/>
      <c r="M4" s="796"/>
    </row>
    <row r="5" spans="1:13" ht="32.25" customHeight="1" x14ac:dyDescent="0.2">
      <c r="A5" s="755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755"/>
      <c r="C5" s="755"/>
      <c r="D5" s="755"/>
      <c r="E5" s="755"/>
      <c r="F5" s="755"/>
      <c r="G5" s="755"/>
      <c r="H5" s="755"/>
      <c r="I5" s="755"/>
      <c r="J5" s="797"/>
      <c r="K5" s="798"/>
      <c r="L5" s="798"/>
      <c r="M5" s="798"/>
    </row>
    <row r="6" spans="1:13" ht="29.25" customHeight="1" thickBot="1" x14ac:dyDescent="0.25">
      <c r="A6" s="756" t="s">
        <v>616</v>
      </c>
      <c r="B6" s="756"/>
      <c r="C6" s="756"/>
      <c r="D6" s="756"/>
      <c r="E6" s="756"/>
      <c r="F6" s="756"/>
      <c r="G6" s="756"/>
      <c r="H6" s="756"/>
      <c r="I6" s="757"/>
      <c r="J6" s="783" t="s">
        <v>424</v>
      </c>
      <c r="K6" s="782" t="s">
        <v>420</v>
      </c>
      <c r="L6" s="782"/>
      <c r="M6" s="782"/>
    </row>
    <row r="7" spans="1:13" ht="30" customHeight="1" thickBot="1" x14ac:dyDescent="0.25">
      <c r="A7" s="758" t="str">
        <f>Dados!B11&amp;" - "&amp;D10</f>
        <v>Técnico Nível Médio Sênior - 200</v>
      </c>
      <c r="B7" s="758"/>
      <c r="C7" s="758"/>
      <c r="D7" s="758"/>
      <c r="E7" s="758"/>
      <c r="F7" s="759" t="s">
        <v>271</v>
      </c>
      <c r="G7" s="759" t="s">
        <v>272</v>
      </c>
      <c r="H7" s="760" t="s">
        <v>273</v>
      </c>
      <c r="I7" s="761" t="s">
        <v>274</v>
      </c>
      <c r="J7" s="784"/>
      <c r="K7" s="446" t="s">
        <v>421</v>
      </c>
      <c r="L7" s="446" t="s">
        <v>422</v>
      </c>
      <c r="M7" s="446" t="s">
        <v>423</v>
      </c>
    </row>
    <row r="8" spans="1:13" ht="18" customHeight="1" thickBot="1" x14ac:dyDescent="0.25">
      <c r="A8" s="762" t="s">
        <v>275</v>
      </c>
      <c r="B8" s="762"/>
      <c r="C8" s="762"/>
      <c r="D8" s="762"/>
      <c r="E8" s="447" t="s">
        <v>69</v>
      </c>
      <c r="F8" s="759"/>
      <c r="G8" s="759"/>
      <c r="H8" s="760"/>
      <c r="I8" s="761"/>
      <c r="J8" s="784"/>
      <c r="K8" s="448">
        <f>Dados!G72</f>
        <v>0.2</v>
      </c>
      <c r="L8" s="448">
        <f>100%+Dados!G73</f>
        <v>1.5</v>
      </c>
      <c r="M8" s="448">
        <f>100%+Dados!G74</f>
        <v>2</v>
      </c>
    </row>
    <row r="9" spans="1:13" ht="24.75" customHeight="1" x14ac:dyDescent="0.2">
      <c r="A9" s="449" t="s">
        <v>64</v>
      </c>
      <c r="B9" s="763" t="s">
        <v>276</v>
      </c>
      <c r="C9" s="763"/>
      <c r="D9" s="450" t="s">
        <v>277</v>
      </c>
      <c r="E9" s="451" t="s">
        <v>278</v>
      </c>
      <c r="F9" s="764" t="s">
        <v>279</v>
      </c>
      <c r="G9" s="764"/>
      <c r="H9" s="764"/>
      <c r="I9" s="765"/>
      <c r="J9" s="116" t="s">
        <v>459</v>
      </c>
      <c r="K9" s="117">
        <v>25</v>
      </c>
      <c r="L9" s="117" t="s">
        <v>460</v>
      </c>
      <c r="M9" s="117">
        <v>5</v>
      </c>
    </row>
    <row r="10" spans="1:13" ht="27" customHeight="1" x14ac:dyDescent="0.2">
      <c r="A10" s="766">
        <v>1</v>
      </c>
      <c r="B10" s="767" t="str">
        <f>A7</f>
        <v>Técnico Nível Médio Sênior - 200</v>
      </c>
      <c r="C10" s="767"/>
      <c r="D10" s="452">
        <f>Dados!C11</f>
        <v>200</v>
      </c>
      <c r="E10" s="453">
        <f>Dados!$E11</f>
        <v>5891.4512999999997</v>
      </c>
      <c r="F10" s="454">
        <f>Dados!F11</f>
        <v>5891.45</v>
      </c>
      <c r="G10" s="455"/>
      <c r="H10" s="456"/>
      <c r="I10" s="457"/>
      <c r="J10" s="458" t="s">
        <v>425</v>
      </c>
      <c r="K10" s="458">
        <f>ROUND($F$10/$D$10*K8,2)</f>
        <v>5.89</v>
      </c>
      <c r="L10" s="458">
        <f t="shared" ref="L10:M10" si="0">ROUND($F$10/$D$10*L8,2)</f>
        <v>44.19</v>
      </c>
      <c r="M10" s="458">
        <f t="shared" si="0"/>
        <v>58.91</v>
      </c>
    </row>
    <row r="11" spans="1:13" ht="24" customHeight="1" x14ac:dyDescent="0.2">
      <c r="A11" s="766"/>
      <c r="B11" s="768"/>
      <c r="C11" s="768"/>
      <c r="D11" s="459"/>
      <c r="E11" s="460"/>
      <c r="F11" s="454">
        <f>ROUND(((E11/220*D10)*C11)*D11,2)</f>
        <v>0</v>
      </c>
      <c r="G11" s="455"/>
      <c r="H11" s="456"/>
      <c r="I11" s="457"/>
      <c r="J11" s="457" t="s">
        <v>426</v>
      </c>
      <c r="K11" s="457">
        <f>ROUND($M$9/$K$9*K10,2)</f>
        <v>1.18</v>
      </c>
      <c r="L11" s="457">
        <f>ROUND($M$9/$K$9*L10,2)</f>
        <v>8.84</v>
      </c>
      <c r="M11" s="457">
        <f>ROUND($M$9/$K$9*M10,2)</f>
        <v>11.78</v>
      </c>
    </row>
    <row r="12" spans="1:13" ht="19.5" customHeight="1" x14ac:dyDescent="0.2">
      <c r="A12" s="766"/>
      <c r="B12" s="769" t="s">
        <v>280</v>
      </c>
      <c r="C12" s="769"/>
      <c r="D12" s="769"/>
      <c r="E12" s="769"/>
      <c r="F12" s="461">
        <f>F10+F11</f>
        <v>5891.45</v>
      </c>
      <c r="G12" s="462"/>
      <c r="H12" s="463"/>
      <c r="I12" s="464"/>
      <c r="J12" s="464" t="s">
        <v>427</v>
      </c>
      <c r="K12" s="464">
        <f>SUM(K10:K11)</f>
        <v>7.0699999999999994</v>
      </c>
      <c r="L12" s="464">
        <f t="shared" ref="L12:M12" si="1">SUM(L10:L11)</f>
        <v>53.03</v>
      </c>
      <c r="M12" s="464">
        <f t="shared" si="1"/>
        <v>70.69</v>
      </c>
    </row>
    <row r="13" spans="1:13" ht="19.5" customHeight="1" x14ac:dyDescent="0.2">
      <c r="A13" s="766"/>
      <c r="B13" s="770" t="s">
        <v>281</v>
      </c>
      <c r="C13" s="770"/>
      <c r="D13" s="770"/>
      <c r="E13" s="465">
        <f>Dados!G23</f>
        <v>0.76400000000000001</v>
      </c>
      <c r="F13" s="454">
        <f>(ROUND((E13*F12),2))</f>
        <v>4501.07</v>
      </c>
      <c r="G13" s="455"/>
      <c r="H13" s="456"/>
      <c r="I13" s="457"/>
      <c r="J13" s="457" t="s">
        <v>428</v>
      </c>
      <c r="K13" s="457">
        <f>K12*$E$13</f>
        <v>5.4014799999999994</v>
      </c>
      <c r="L13" s="457">
        <f t="shared" ref="L13:M13" si="2">L12*$E$13</f>
        <v>40.514920000000004</v>
      </c>
      <c r="M13" s="457">
        <f t="shared" si="2"/>
        <v>54.007159999999999</v>
      </c>
    </row>
    <row r="14" spans="1:13" ht="24.75" customHeight="1" x14ac:dyDescent="0.2">
      <c r="A14" s="772" t="s">
        <v>282</v>
      </c>
      <c r="B14" s="772"/>
      <c r="C14" s="772"/>
      <c r="D14" s="772"/>
      <c r="E14" s="772"/>
      <c r="F14" s="466">
        <f>ROUND(SUM(F12:F13),2)</f>
        <v>10392.52</v>
      </c>
      <c r="G14" s="467"/>
      <c r="H14" s="468"/>
      <c r="I14" s="469"/>
      <c r="J14" s="469" t="s">
        <v>429</v>
      </c>
      <c r="K14" s="469">
        <f>K12+K13</f>
        <v>12.47148</v>
      </c>
      <c r="L14" s="469">
        <f t="shared" ref="L14:M14" si="3">L12+L13</f>
        <v>93.544920000000005</v>
      </c>
      <c r="M14" s="469">
        <f t="shared" si="3"/>
        <v>124.69716</v>
      </c>
    </row>
    <row r="15" spans="1:13" ht="19.5" customHeight="1" x14ac:dyDescent="0.2">
      <c r="A15" s="773" t="s">
        <v>283</v>
      </c>
      <c r="B15" s="773"/>
      <c r="C15" s="773"/>
      <c r="D15" s="773"/>
      <c r="E15" s="773"/>
      <c r="F15" s="773"/>
      <c r="G15" s="773"/>
      <c r="H15" s="773"/>
      <c r="I15" s="773"/>
      <c r="J15" s="470"/>
      <c r="K15" s="223"/>
      <c r="L15" s="223"/>
      <c r="M15" s="223"/>
    </row>
    <row r="16" spans="1:13" ht="19.5" customHeight="1" x14ac:dyDescent="0.2">
      <c r="A16" s="774" t="s">
        <v>284</v>
      </c>
      <c r="B16" s="774"/>
      <c r="C16" s="117" t="s">
        <v>285</v>
      </c>
      <c r="D16" s="775" t="s">
        <v>286</v>
      </c>
      <c r="E16" s="775"/>
      <c r="F16" s="775"/>
      <c r="G16" s="775"/>
      <c r="H16" s="775"/>
      <c r="I16" s="775"/>
      <c r="J16" s="471"/>
      <c r="K16" s="223"/>
      <c r="L16" s="223"/>
      <c r="M16" s="223"/>
    </row>
    <row r="17" spans="1:13" ht="19.5" customHeight="1" x14ac:dyDescent="0.2">
      <c r="A17" s="771" t="s">
        <v>287</v>
      </c>
      <c r="B17" s="771"/>
      <c r="C17" s="472">
        <v>1</v>
      </c>
      <c r="D17" s="456">
        <f>Dados!G31</f>
        <v>20</v>
      </c>
      <c r="E17" s="473"/>
      <c r="F17" s="454">
        <f>ROUND((C17*D17),2)</f>
        <v>20</v>
      </c>
      <c r="G17" s="455"/>
      <c r="H17" s="456"/>
      <c r="I17" s="457"/>
      <c r="J17" s="457"/>
      <c r="K17" s="457"/>
      <c r="L17" s="457"/>
      <c r="M17" s="457"/>
    </row>
    <row r="18" spans="1:13" ht="25.5" customHeight="1" x14ac:dyDescent="0.2">
      <c r="A18" s="776" t="s">
        <v>288</v>
      </c>
      <c r="B18" s="776"/>
      <c r="C18" s="472">
        <f>1</f>
        <v>1</v>
      </c>
      <c r="D18" s="456">
        <f>Dados!G32</f>
        <v>380.02</v>
      </c>
      <c r="E18" s="474">
        <f>IF(Dados!G33="SIM",IF(E10&gt;=10312,20%,30%),Dados!G35)</f>
        <v>0.3</v>
      </c>
      <c r="F18" s="454">
        <f>IFERROR(C18*D18*E18,C18*D18)</f>
        <v>114.00599999999999</v>
      </c>
      <c r="G18" s="455"/>
      <c r="H18" s="456"/>
      <c r="I18" s="457"/>
      <c r="J18" s="457"/>
      <c r="K18" s="457"/>
      <c r="L18" s="457"/>
      <c r="M18" s="457"/>
    </row>
    <row r="19" spans="1:13" ht="25.5" customHeight="1" x14ac:dyDescent="0.2">
      <c r="A19" s="730" t="s">
        <v>289</v>
      </c>
      <c r="B19" s="730"/>
      <c r="C19" s="456">
        <f>Dados!$G$37</f>
        <v>22</v>
      </c>
      <c r="D19" s="456">
        <f>Dados!$G$36</f>
        <v>38.26</v>
      </c>
      <c r="E19" s="474">
        <f>Dados!$G$38</f>
        <v>0.2</v>
      </c>
      <c r="F19" s="454">
        <f>IF(Dados!G39="SIM",IF(E10&gt;10312,0,C19*D19*(100%-E19)),Dados!G35)</f>
        <v>673.37599999999998</v>
      </c>
      <c r="G19" s="455">
        <f>F19</f>
        <v>673.37599999999998</v>
      </c>
      <c r="H19" s="456"/>
      <c r="I19" s="457"/>
      <c r="J19" s="457"/>
      <c r="K19" s="457"/>
      <c r="L19" s="457"/>
      <c r="M19" s="457"/>
    </row>
    <row r="20" spans="1:13" ht="19.5" customHeight="1" x14ac:dyDescent="0.2">
      <c r="A20" s="771" t="s">
        <v>290</v>
      </c>
      <c r="B20" s="771"/>
      <c r="C20" s="456">
        <f>Dados!$G$45</f>
        <v>22</v>
      </c>
      <c r="D20" s="456">
        <f>Dados!$G$44</f>
        <v>7.1</v>
      </c>
      <c r="E20" s="475">
        <f>Dados!$G$42</f>
        <v>4.5</v>
      </c>
      <c r="F20" s="454">
        <f>IF(ROUND((($C$20*$D$20*Dados!$G$43)+($C$20*$E$20*Dados!$G$41) -(F10*Dados!$G$46)),2)&lt;0,0,ROUND((($C$20*$D$20*Dados!$G$43)+($C$20*$E$20*Dados!$G$41) -(F10*Dados!$G$46)),2))</f>
        <v>156.91</v>
      </c>
      <c r="G20" s="455"/>
      <c r="H20" s="456"/>
      <c r="I20" s="457">
        <f>F20</f>
        <v>156.91</v>
      </c>
      <c r="J20" s="457"/>
      <c r="K20" s="457"/>
      <c r="L20" s="457"/>
      <c r="M20" s="457"/>
    </row>
    <row r="21" spans="1:13" ht="19.5" customHeight="1" x14ac:dyDescent="0.2">
      <c r="A21" s="771" t="str">
        <f>Dados!B47</f>
        <v>Equipamentos</v>
      </c>
      <c r="B21" s="771"/>
      <c r="C21" s="456">
        <v>1</v>
      </c>
      <c r="D21" s="456">
        <f>Dados!$G$47</f>
        <v>100.15547800925926</v>
      </c>
      <c r="E21" s="453"/>
      <c r="F21" s="454">
        <f>ROUND((C21*D21),2)</f>
        <v>100.16</v>
      </c>
      <c r="G21" s="455"/>
      <c r="H21" s="456"/>
      <c r="I21" s="457"/>
      <c r="J21" s="457"/>
      <c r="K21" s="457"/>
      <c r="L21" s="457"/>
      <c r="M21" s="457"/>
    </row>
    <row r="22" spans="1:13" ht="19.5" customHeight="1" x14ac:dyDescent="0.2">
      <c r="A22" s="771" t="str">
        <f>Dados!B48</f>
        <v>Ferramentas</v>
      </c>
      <c r="B22" s="771"/>
      <c r="C22" s="456">
        <v>1</v>
      </c>
      <c r="D22" s="456">
        <f>IF('Ocorrências Mensais - FAT'!D7="PLANILHA PARA LICITAÇÃO (PRECIFICAÇÃO)",Dados!$G$48,'Ocorrências Mensais - FAT'!F32/SUM(Dados!D8:D12))</f>
        <v>68.819999999999993</v>
      </c>
      <c r="E22" s="453"/>
      <c r="F22" s="454">
        <f>ROUND((C22*D22),2)</f>
        <v>68.819999999999993</v>
      </c>
      <c r="G22" s="455"/>
      <c r="H22" s="456"/>
      <c r="I22" s="457"/>
      <c r="J22" s="457"/>
      <c r="K22" s="457"/>
      <c r="L22" s="457"/>
      <c r="M22" s="457"/>
    </row>
    <row r="23" spans="1:13" ht="19.5" customHeight="1" x14ac:dyDescent="0.2">
      <c r="A23" s="771" t="str">
        <f>Dados!B49</f>
        <v>Outros (inserir somente com a justificativa legal)</v>
      </c>
      <c r="B23" s="771"/>
      <c r="C23" s="456">
        <v>1</v>
      </c>
      <c r="D23" s="456">
        <f>Dados!$G$49</f>
        <v>0</v>
      </c>
      <c r="E23" s="453"/>
      <c r="F23" s="454">
        <f>ROUND((C23*D23),2)</f>
        <v>0</v>
      </c>
      <c r="G23" s="455"/>
      <c r="H23" s="456"/>
      <c r="I23" s="457"/>
      <c r="J23" s="457"/>
      <c r="K23" s="457"/>
      <c r="L23" s="457"/>
      <c r="M23" s="457"/>
    </row>
    <row r="24" spans="1:13" ht="19.5" customHeight="1" x14ac:dyDescent="0.2">
      <c r="A24" s="771" t="str">
        <f>Dados!B49</f>
        <v>Outros (inserir somente com a justificativa legal)</v>
      </c>
      <c r="B24" s="771"/>
      <c r="C24" s="456">
        <v>1</v>
      </c>
      <c r="D24" s="456">
        <f>Dados!$G$50</f>
        <v>0</v>
      </c>
      <c r="E24" s="453"/>
      <c r="F24" s="454">
        <f>ROUND((C24*D24),2)</f>
        <v>0</v>
      </c>
      <c r="G24" s="455"/>
      <c r="H24" s="456"/>
      <c r="I24" s="457"/>
      <c r="J24" s="457"/>
      <c r="K24" s="457"/>
      <c r="L24" s="457"/>
      <c r="M24" s="457"/>
    </row>
    <row r="25" spans="1:13" ht="24.75" customHeight="1" x14ac:dyDescent="0.2">
      <c r="A25" s="772" t="s">
        <v>291</v>
      </c>
      <c r="B25" s="772"/>
      <c r="C25" s="772"/>
      <c r="D25" s="772"/>
      <c r="E25" s="772"/>
      <c r="F25" s="466">
        <f>SUM(F17:F24)</f>
        <v>1133.2719999999999</v>
      </c>
      <c r="G25" s="466">
        <f>SUM(G17:G24)</f>
        <v>673.37599999999998</v>
      </c>
      <c r="H25" s="468">
        <f>SUM($H$17:$H$24)</f>
        <v>0</v>
      </c>
      <c r="I25" s="469">
        <f>SUM($I$17:$I$24)</f>
        <v>156.91</v>
      </c>
      <c r="J25" s="469" t="s">
        <v>430</v>
      </c>
      <c r="K25" s="469">
        <f>SUM(K17:K24)</f>
        <v>0</v>
      </c>
      <c r="L25" s="469">
        <f>SUM(L17:L24)</f>
        <v>0</v>
      </c>
      <c r="M25" s="469">
        <f>SUM(M17:M24)</f>
        <v>0</v>
      </c>
    </row>
    <row r="26" spans="1:13" ht="24.75" customHeight="1" x14ac:dyDescent="0.2">
      <c r="A26" s="772" t="s">
        <v>292</v>
      </c>
      <c r="B26" s="772"/>
      <c r="C26" s="772"/>
      <c r="D26" s="772"/>
      <c r="E26" s="772"/>
      <c r="F26" s="466">
        <f>F14+F25</f>
        <v>11525.792000000001</v>
      </c>
      <c r="G26" s="466">
        <f>$G$14+$G$25</f>
        <v>673.37599999999998</v>
      </c>
      <c r="H26" s="468">
        <f>$H$14+$H$25</f>
        <v>0</v>
      </c>
      <c r="I26" s="469">
        <f>$I$14+$I$25</f>
        <v>156.91</v>
      </c>
      <c r="J26" s="469" t="s">
        <v>431</v>
      </c>
      <c r="K26" s="469">
        <f>K14+K25</f>
        <v>12.47148</v>
      </c>
      <c r="L26" s="469">
        <f>L14+L25</f>
        <v>93.544920000000005</v>
      </c>
      <c r="M26" s="469">
        <f>M14+M25</f>
        <v>124.69716</v>
      </c>
    </row>
    <row r="27" spans="1:13" ht="19.5" customHeight="1" x14ac:dyDescent="0.2">
      <c r="A27" s="773" t="s">
        <v>293</v>
      </c>
      <c r="B27" s="773"/>
      <c r="C27" s="773"/>
      <c r="D27" s="773"/>
      <c r="E27" s="773"/>
      <c r="F27" s="773"/>
      <c r="G27" s="773"/>
      <c r="H27" s="773">
        <f>SUM($H$17:$H$26)</f>
        <v>0</v>
      </c>
      <c r="I27" s="773">
        <f>SUM($I$17:$I$26)</f>
        <v>470.73</v>
      </c>
      <c r="J27" s="470"/>
      <c r="K27" s="223"/>
      <c r="L27" s="223"/>
      <c r="M27" s="223"/>
    </row>
    <row r="28" spans="1:13" ht="19.5" customHeight="1" x14ac:dyDescent="0.2">
      <c r="A28" s="788" t="s">
        <v>294</v>
      </c>
      <c r="B28" s="788"/>
      <c r="C28" s="788"/>
      <c r="D28" s="789" t="s">
        <v>295</v>
      </c>
      <c r="E28" s="789"/>
      <c r="F28" s="790" t="s">
        <v>279</v>
      </c>
      <c r="G28" s="790"/>
      <c r="H28" s="790"/>
      <c r="I28" s="790"/>
      <c r="J28" s="476"/>
      <c r="K28" s="223"/>
      <c r="L28" s="223"/>
      <c r="M28" s="223"/>
    </row>
    <row r="29" spans="1:13" ht="19.5" customHeight="1" x14ac:dyDescent="0.2">
      <c r="A29" s="477" t="s">
        <v>296</v>
      </c>
      <c r="B29" s="478"/>
      <c r="C29" s="478"/>
      <c r="D29" s="479">
        <f>Dados!$G$53</f>
        <v>0.03</v>
      </c>
      <c r="E29" s="480"/>
      <c r="F29" s="454">
        <f>ROUND((F26*D29),2)</f>
        <v>345.77</v>
      </c>
      <c r="G29" s="455">
        <f>ROUND(($G$26*$D$29),2)</f>
        <v>20.2</v>
      </c>
      <c r="H29" s="456">
        <f>ROUND((H26*D29),2)</f>
        <v>0</v>
      </c>
      <c r="I29" s="457">
        <f>ROUND((I26*D29),2)</f>
        <v>4.71</v>
      </c>
      <c r="J29" s="457" t="s">
        <v>437</v>
      </c>
      <c r="K29" s="457">
        <f>ROUND((K26*$D$29),2)</f>
        <v>0.37</v>
      </c>
      <c r="L29" s="457">
        <f t="shared" ref="L29:M29" si="4">ROUND((L26*$D$29),2)</f>
        <v>2.81</v>
      </c>
      <c r="M29" s="457">
        <f t="shared" si="4"/>
        <v>3.74</v>
      </c>
    </row>
    <row r="30" spans="1:13" ht="19.5" customHeight="1" x14ac:dyDescent="0.2">
      <c r="A30" s="785" t="s">
        <v>297</v>
      </c>
      <c r="B30" s="785"/>
      <c r="C30" s="785"/>
      <c r="D30" s="479"/>
      <c r="E30" s="480"/>
      <c r="F30" s="454">
        <f>F26+F29</f>
        <v>11871.562000000002</v>
      </c>
      <c r="G30" s="455">
        <f>$G$29+$G$26</f>
        <v>693.57600000000002</v>
      </c>
      <c r="H30" s="456">
        <f>H26+H29</f>
        <v>0</v>
      </c>
      <c r="I30" s="457">
        <f>I26+I29</f>
        <v>161.62</v>
      </c>
      <c r="J30" s="457" t="s">
        <v>436</v>
      </c>
      <c r="K30" s="457">
        <f t="shared" ref="K30" si="5">K26+K29</f>
        <v>12.841479999999999</v>
      </c>
      <c r="L30" s="457">
        <f t="shared" ref="L30" si="6">L26+L29</f>
        <v>96.354920000000007</v>
      </c>
      <c r="M30" s="457">
        <f t="shared" ref="M30" si="7">M26+M29</f>
        <v>128.43716000000001</v>
      </c>
    </row>
    <row r="31" spans="1:13" ht="19.5" customHeight="1" x14ac:dyDescent="0.2">
      <c r="A31" s="477" t="s">
        <v>125</v>
      </c>
      <c r="B31" s="478"/>
      <c r="C31" s="478"/>
      <c r="D31" s="479">
        <f>Dados!$G$54</f>
        <v>6.7900000000000002E-2</v>
      </c>
      <c r="E31" s="480">
        <f>F26+F29</f>
        <v>11871.562000000002</v>
      </c>
      <c r="F31" s="454">
        <f>ROUND((E31*D31),2)</f>
        <v>806.08</v>
      </c>
      <c r="G31" s="455">
        <f>ROUND(($G$30*$D$31),2)</f>
        <v>47.09</v>
      </c>
      <c r="H31" s="456">
        <f>ROUND((H30*D31),2)</f>
        <v>0</v>
      </c>
      <c r="I31" s="457">
        <f>ROUND((I30*D31),2)</f>
        <v>10.97</v>
      </c>
      <c r="J31" s="457" t="s">
        <v>125</v>
      </c>
      <c r="K31" s="457">
        <f>ROUND((K30*$D$31),2)</f>
        <v>0.87</v>
      </c>
      <c r="L31" s="457">
        <f t="shared" ref="L31:M31" si="8">ROUND((L30*$D$31),2)</f>
        <v>6.54</v>
      </c>
      <c r="M31" s="457">
        <f t="shared" si="8"/>
        <v>8.7200000000000006</v>
      </c>
    </row>
    <row r="32" spans="1:13" ht="24.75" customHeight="1" x14ac:dyDescent="0.2">
      <c r="A32" s="481" t="s">
        <v>298</v>
      </c>
      <c r="B32" s="482"/>
      <c r="C32" s="482"/>
      <c r="D32" s="483">
        <f>SUM(D29:D31)</f>
        <v>9.7900000000000001E-2</v>
      </c>
      <c r="E32" s="484"/>
      <c r="F32" s="466">
        <f>F29+F31</f>
        <v>1151.8499999999999</v>
      </c>
      <c r="G32" s="467">
        <f>$G$29+$G$31</f>
        <v>67.290000000000006</v>
      </c>
      <c r="H32" s="468">
        <f>H29+H31</f>
        <v>0</v>
      </c>
      <c r="I32" s="469">
        <f>I29+I31</f>
        <v>15.68</v>
      </c>
      <c r="J32" s="469" t="s">
        <v>432</v>
      </c>
      <c r="K32" s="469">
        <f t="shared" ref="K32:M32" si="9">K29+K31</f>
        <v>1.24</v>
      </c>
      <c r="L32" s="469">
        <f t="shared" si="9"/>
        <v>9.35</v>
      </c>
      <c r="M32" s="469">
        <f t="shared" si="9"/>
        <v>12.46</v>
      </c>
    </row>
    <row r="33" spans="1:13" ht="24.75" customHeight="1" x14ac:dyDescent="0.2">
      <c r="A33" s="772" t="s">
        <v>299</v>
      </c>
      <c r="B33" s="772"/>
      <c r="C33" s="772"/>
      <c r="D33" s="772"/>
      <c r="E33" s="772"/>
      <c r="F33" s="466">
        <f>F14+F25+F32</f>
        <v>12677.642000000002</v>
      </c>
      <c r="G33" s="467">
        <f>$G$14+$G$25+$G$32</f>
        <v>740.66599999999994</v>
      </c>
      <c r="H33" s="468">
        <f>H14+H25+H32</f>
        <v>0</v>
      </c>
      <c r="I33" s="469">
        <f>I14+I25+I32</f>
        <v>172.59</v>
      </c>
      <c r="J33" s="469" t="s">
        <v>433</v>
      </c>
      <c r="K33" s="469">
        <f>K14+K25+K32</f>
        <v>13.71148</v>
      </c>
      <c r="L33" s="469">
        <f>L14+L25+L32</f>
        <v>102.89492</v>
      </c>
      <c r="M33" s="469">
        <f>M14+M25+M32</f>
        <v>137.15716</v>
      </c>
    </row>
    <row r="34" spans="1:13" ht="19.5" customHeight="1" x14ac:dyDescent="0.2">
      <c r="A34" s="773" t="s">
        <v>300</v>
      </c>
      <c r="B34" s="773"/>
      <c r="C34" s="773"/>
      <c r="D34" s="773"/>
      <c r="E34" s="773"/>
      <c r="F34" s="773"/>
      <c r="G34" s="773"/>
      <c r="H34" s="773"/>
      <c r="I34" s="773"/>
      <c r="J34" s="470"/>
      <c r="K34" s="223"/>
      <c r="L34" s="223"/>
      <c r="M34" s="223"/>
    </row>
    <row r="35" spans="1:13" ht="19.5" customHeight="1" x14ac:dyDescent="0.2">
      <c r="A35" s="477" t="s">
        <v>130</v>
      </c>
      <c r="B35" s="478"/>
      <c r="C35" s="485"/>
      <c r="D35" s="479">
        <f>Dados!$G$61</f>
        <v>7.5999999999999998E-2</v>
      </c>
      <c r="E35" s="453"/>
      <c r="F35" s="454">
        <f>ROUND((F40*D35),2)</f>
        <v>1123.6199999999999</v>
      </c>
      <c r="G35" s="455">
        <f>ROUND(($G$40*$D$35),2)</f>
        <v>65.650000000000006</v>
      </c>
      <c r="H35" s="456">
        <f>ROUND((H40*D35),2)</f>
        <v>0</v>
      </c>
      <c r="I35" s="457">
        <f>ROUND((I40*D35),2)</f>
        <v>15.3</v>
      </c>
      <c r="J35" s="477" t="s">
        <v>130</v>
      </c>
      <c r="K35" s="457">
        <f>ROUND((K40*$D$35),2)</f>
        <v>1.22</v>
      </c>
      <c r="L35" s="457">
        <f t="shared" ref="L35:M35" si="10">ROUND((L40*$D$35),2)</f>
        <v>9.1199999999999992</v>
      </c>
      <c r="M35" s="457">
        <f t="shared" si="10"/>
        <v>12.16</v>
      </c>
    </row>
    <row r="36" spans="1:13" ht="19.5" customHeight="1" x14ac:dyDescent="0.2">
      <c r="A36" s="477" t="s">
        <v>131</v>
      </c>
      <c r="B36" s="478"/>
      <c r="C36" s="485"/>
      <c r="D36" s="479">
        <f>Dados!$G$62</f>
        <v>1.6500000000000001E-2</v>
      </c>
      <c r="E36" s="453"/>
      <c r="F36" s="454">
        <f>ROUND((F40*D36),2)</f>
        <v>243.94</v>
      </c>
      <c r="G36" s="455">
        <f>ROUND(($G$40*$D$36),2)</f>
        <v>14.25</v>
      </c>
      <c r="H36" s="456">
        <f>ROUND((H40*D36),2)</f>
        <v>0</v>
      </c>
      <c r="I36" s="457">
        <f>ROUND((I40*D36),2)</f>
        <v>3.32</v>
      </c>
      <c r="J36" s="477" t="s">
        <v>131</v>
      </c>
      <c r="K36" s="457">
        <f>ROUND((K40*$D$36),2)</f>
        <v>0.26</v>
      </c>
      <c r="L36" s="457">
        <f t="shared" ref="L36:M36" si="11">ROUND((L40*$D$36),2)</f>
        <v>1.98</v>
      </c>
      <c r="M36" s="457">
        <f t="shared" si="11"/>
        <v>2.64</v>
      </c>
    </row>
    <row r="37" spans="1:13" ht="19.5" customHeight="1" x14ac:dyDescent="0.2">
      <c r="A37" s="477" t="s">
        <v>132</v>
      </c>
      <c r="B37" s="478"/>
      <c r="C37" s="485"/>
      <c r="D37" s="479">
        <f>Dados!$G$63</f>
        <v>0.05</v>
      </c>
      <c r="E37" s="453"/>
      <c r="F37" s="454">
        <f>ROUND((F40*D37),2)</f>
        <v>739.22</v>
      </c>
      <c r="G37" s="455">
        <f>ROUND(($G$40*$D$37),2)</f>
        <v>43.19</v>
      </c>
      <c r="H37" s="456">
        <f>ROUND((H40*D37),2)</f>
        <v>0</v>
      </c>
      <c r="I37" s="457">
        <f>ROUND((I40*D37),2)</f>
        <v>10.06</v>
      </c>
      <c r="J37" s="477" t="s">
        <v>132</v>
      </c>
      <c r="K37" s="457">
        <f>ROUND((K40*$D$37),2)</f>
        <v>0.8</v>
      </c>
      <c r="L37" s="457">
        <f t="shared" ref="L37:M37" si="12">ROUND((L40*$D$37),2)</f>
        <v>6</v>
      </c>
      <c r="M37" s="457">
        <f t="shared" si="12"/>
        <v>8</v>
      </c>
    </row>
    <row r="38" spans="1:13" ht="19.5" customHeight="1" x14ac:dyDescent="0.2">
      <c r="A38" s="477" t="str">
        <f>Dados!B64</f>
        <v>Outros (inserir somente com a justificativa legal) - Exemplo - CPRB</v>
      </c>
      <c r="B38" s="478"/>
      <c r="C38" s="485"/>
      <c r="D38" s="479">
        <f>Dados!G64</f>
        <v>0</v>
      </c>
      <c r="E38" s="453"/>
      <c r="F38" s="454">
        <f>ROUND((F40*$D$38),2)</f>
        <v>0</v>
      </c>
      <c r="G38" s="454">
        <f>ROUND((G40*$D$38),2)</f>
        <v>0</v>
      </c>
      <c r="H38" s="454">
        <f>ROUND((H40*$D$38),2)</f>
        <v>0</v>
      </c>
      <c r="I38" s="454">
        <f>ROUND((I40*$D$38),2)</f>
        <v>0</v>
      </c>
      <c r="J38" s="477" t="s">
        <v>438</v>
      </c>
      <c r="K38" s="454">
        <f t="shared" ref="K38" si="13">ROUND((K40*$D$38),2)</f>
        <v>0</v>
      </c>
      <c r="L38" s="454">
        <f t="shared" ref="L38:M38" si="14">ROUND((L40*$D$38),2)</f>
        <v>0</v>
      </c>
      <c r="M38" s="454">
        <f t="shared" si="14"/>
        <v>0</v>
      </c>
    </row>
    <row r="39" spans="1:13" ht="30" customHeight="1" thickBot="1" x14ac:dyDescent="0.25">
      <c r="A39" s="481" t="s">
        <v>301</v>
      </c>
      <c r="B39" s="482"/>
      <c r="C39" s="486"/>
      <c r="D39" s="483">
        <f>SUM(D35:D38)</f>
        <v>0.14250000000000002</v>
      </c>
      <c r="E39" s="487"/>
      <c r="F39" s="466">
        <f>SUM(F35:F38)</f>
        <v>2106.7799999999997</v>
      </c>
      <c r="G39" s="466">
        <f>SUM(G35:G38)</f>
        <v>123.09</v>
      </c>
      <c r="H39" s="466">
        <f>SUM(H35:H38)</f>
        <v>0</v>
      </c>
      <c r="I39" s="488">
        <f>SUM(I35:I38)</f>
        <v>28.68</v>
      </c>
      <c r="J39" s="469" t="s">
        <v>434</v>
      </c>
      <c r="K39" s="488">
        <f t="shared" ref="K39" si="15">SUM(K35:K38)</f>
        <v>2.2800000000000002</v>
      </c>
      <c r="L39" s="488">
        <f t="shared" ref="L39" si="16">SUM(L35:L38)</f>
        <v>17.100000000000001</v>
      </c>
      <c r="M39" s="488">
        <f t="shared" ref="M39" si="17">SUM(M35:M38)</f>
        <v>22.8</v>
      </c>
    </row>
    <row r="40" spans="1:13" ht="34.5" hidden="1" customHeight="1" thickBot="1" x14ac:dyDescent="0.25">
      <c r="A40" s="786" t="str">
        <f>A7</f>
        <v>Técnico Nível Médio Sênior - 200</v>
      </c>
      <c r="B40" s="786"/>
      <c r="C40" s="786"/>
      <c r="D40" s="786"/>
      <c r="E40" s="786"/>
      <c r="F40" s="489">
        <f>ROUND(F33/(1-D39),2)</f>
        <v>14784.42</v>
      </c>
      <c r="G40" s="490">
        <f>ROUND($G$33/(1-$D$39),2)</f>
        <v>863.75</v>
      </c>
      <c r="H40" s="491">
        <f>ROUND(H33/(1-D39),2)</f>
        <v>0</v>
      </c>
      <c r="I40" s="492">
        <f>ROUND(I33/(1-D39),2)</f>
        <v>201.27</v>
      </c>
      <c r="J40" s="492" t="s">
        <v>435</v>
      </c>
      <c r="K40" s="492">
        <f>ROUND(K33/(1-$D$39),2)</f>
        <v>15.99</v>
      </c>
      <c r="L40" s="492">
        <f t="shared" ref="L40:M40" si="18">ROUND(L33/(1-$D$39),2)</f>
        <v>119.99</v>
      </c>
      <c r="M40" s="492">
        <f t="shared" si="18"/>
        <v>159.94999999999999</v>
      </c>
    </row>
    <row r="41" spans="1:13" ht="30" customHeight="1" thickBot="1" x14ac:dyDescent="0.25">
      <c r="A41" s="787" t="str">
        <f>A7</f>
        <v>Técnico Nível Médio Sênior - 200</v>
      </c>
      <c r="B41" s="787"/>
      <c r="C41" s="787"/>
      <c r="D41" s="787"/>
      <c r="E41" s="787"/>
      <c r="F41" s="493">
        <f>F40</f>
        <v>14784.42</v>
      </c>
      <c r="G41" s="494">
        <f>$G$40</f>
        <v>863.75</v>
      </c>
      <c r="H41" s="495">
        <f>H40</f>
        <v>0</v>
      </c>
      <c r="I41" s="496">
        <f>I40</f>
        <v>201.27</v>
      </c>
      <c r="J41" s="492" t="s">
        <v>435</v>
      </c>
      <c r="K41" s="496">
        <f t="shared" ref="K41:M41" si="19">K40</f>
        <v>15.99</v>
      </c>
      <c r="L41" s="496">
        <f t="shared" si="19"/>
        <v>119.99</v>
      </c>
      <c r="M41" s="496">
        <f t="shared" si="19"/>
        <v>159.94999999999999</v>
      </c>
    </row>
    <row r="42" spans="1:13" ht="29.25" customHeight="1" thickBot="1" x14ac:dyDescent="0.25">
      <c r="A42" s="781" t="s">
        <v>302</v>
      </c>
      <c r="B42" s="781"/>
      <c r="C42" s="781"/>
      <c r="D42" s="781"/>
      <c r="E42" s="781"/>
      <c r="F42" s="497">
        <f>($F$41/$F$12)/100</f>
        <v>2.5094705038657718E-2</v>
      </c>
      <c r="G42" s="506">
        <f>ROUND(G41/22,2)</f>
        <v>39.26</v>
      </c>
      <c r="H42" s="506">
        <f>(D20+E20)*2</f>
        <v>23.2</v>
      </c>
      <c r="I42" s="498"/>
      <c r="J42" s="498"/>
      <c r="K42" s="498"/>
      <c r="L42" s="498"/>
      <c r="M42" s="498"/>
    </row>
    <row r="43" spans="1:13" ht="24" customHeight="1" x14ac:dyDescent="0.2">
      <c r="A43" s="223"/>
      <c r="B43" s="223"/>
      <c r="C43" s="223"/>
      <c r="D43" s="223"/>
      <c r="E43" s="223"/>
      <c r="F43" s="507"/>
      <c r="G43" s="508" t="s">
        <v>479</v>
      </c>
      <c r="H43" s="508" t="s">
        <v>480</v>
      </c>
      <c r="I43" s="223"/>
      <c r="J43" s="223"/>
      <c r="K43" s="223"/>
      <c r="L43" s="223"/>
      <c r="M43" s="223"/>
    </row>
  </sheetData>
  <sheetProtection algorithmName="SHA-512" hashValue="VFn9brGj9QjkQvF1EWCsxb9N8n3FVq2MByIj52FFJGcsCWVboMUeTaj+HFPZfxTQbqv0Qg+4261sLq9XZXapOw==" saltValue="AcIXDKTHoaHRAfvXqAmqUw==" spinCount="100000" sheet="1" objects="1" scenarios="1"/>
  <mergeCells count="43">
    <mergeCell ref="J4:M5"/>
    <mergeCell ref="A42:E42"/>
    <mergeCell ref="K6:M6"/>
    <mergeCell ref="J6:J8"/>
    <mergeCell ref="A30:C30"/>
    <mergeCell ref="A33:E33"/>
    <mergeCell ref="A34:I34"/>
    <mergeCell ref="A40:E40"/>
    <mergeCell ref="A41:E41"/>
    <mergeCell ref="A24:B24"/>
    <mergeCell ref="A25:E25"/>
    <mergeCell ref="A26:E26"/>
    <mergeCell ref="A27:I27"/>
    <mergeCell ref="A28:C28"/>
    <mergeCell ref="D28:E28"/>
    <mergeCell ref="F28:I28"/>
    <mergeCell ref="A22:B22"/>
    <mergeCell ref="A23:B2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B9:C9"/>
    <mergeCell ref="F9:I9"/>
    <mergeCell ref="A10:A13"/>
    <mergeCell ref="B10:C10"/>
    <mergeCell ref="B11:C11"/>
    <mergeCell ref="B12:E12"/>
    <mergeCell ref="B13:D13"/>
    <mergeCell ref="A4:I4"/>
    <mergeCell ref="A5:I5"/>
    <mergeCell ref="A6:I6"/>
    <mergeCell ref="A7:E7"/>
    <mergeCell ref="F7:F8"/>
    <mergeCell ref="G7:G8"/>
    <mergeCell ref="H7:H8"/>
    <mergeCell ref="I7:I8"/>
    <mergeCell ref="A8:D8"/>
  </mergeCells>
  <pageMargins left="0.39374999999999999" right="0" top="0.39374999999999999" bottom="0" header="0.511811023622047" footer="0.511811023622047"/>
  <pageSetup paperSize="9" scale="75" orientation="portrait" horizontalDpi="300" verticalDpi="300"/>
  <rowBreaks count="1" manualBreakCount="1">
    <brk id="42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3"/>
  <sheetViews>
    <sheetView showGridLines="0" zoomScale="90" zoomScaleNormal="90" workbookViewId="0"/>
  </sheetViews>
  <sheetFormatPr defaultColWidth="9" defaultRowHeight="12.75" x14ac:dyDescent="0.2"/>
  <cols>
    <col min="1" max="1" width="11.33203125" customWidth="1"/>
    <col min="2" max="2" width="28.83203125" customWidth="1"/>
    <col min="3" max="3" width="10.33203125" customWidth="1"/>
    <col min="4" max="5" width="17.5" customWidth="1"/>
    <col min="6" max="8" width="17.83203125" style="31" customWidth="1"/>
    <col min="9" max="13" width="17.83203125" customWidth="1"/>
  </cols>
  <sheetData>
    <row r="1" spans="1:13" x14ac:dyDescent="0.2">
      <c r="A1" s="438"/>
      <c r="B1" s="439" t="s">
        <v>26</v>
      </c>
      <c r="C1" s="440"/>
      <c r="D1" s="440"/>
      <c r="E1" s="440"/>
      <c r="F1" s="441"/>
      <c r="G1" s="441"/>
      <c r="H1" s="441"/>
      <c r="I1" s="219"/>
      <c r="J1" s="223"/>
      <c r="K1" s="223"/>
      <c r="L1" s="223"/>
      <c r="M1" s="223"/>
    </row>
    <row r="2" spans="1:13" x14ac:dyDescent="0.2">
      <c r="A2" s="442"/>
      <c r="B2" s="443" t="s">
        <v>27</v>
      </c>
      <c r="C2" s="301"/>
      <c r="D2" s="301"/>
      <c r="E2" s="301"/>
      <c r="F2" s="444"/>
      <c r="G2" s="444"/>
      <c r="H2" s="444"/>
      <c r="I2" s="223"/>
      <c r="J2" s="223"/>
      <c r="K2" s="223"/>
      <c r="L2" s="223"/>
      <c r="M2" s="223"/>
    </row>
    <row r="3" spans="1:13" ht="13.5" thickBot="1" x14ac:dyDescent="0.25">
      <c r="A3" s="445"/>
      <c r="B3" s="443" t="str">
        <f>Dados!B3</f>
        <v>Divisão de Engenharia e Arquitetura - DIEAR</v>
      </c>
      <c r="C3" s="301"/>
      <c r="D3" s="301"/>
      <c r="E3" s="301"/>
      <c r="F3" s="444"/>
      <c r="G3" s="444"/>
      <c r="H3" s="444"/>
      <c r="I3" s="223"/>
      <c r="J3" s="223"/>
      <c r="K3" s="223"/>
      <c r="L3" s="223"/>
      <c r="M3" s="223"/>
    </row>
    <row r="4" spans="1:13" ht="32.25" customHeight="1" x14ac:dyDescent="0.2">
      <c r="A4" s="754" t="s">
        <v>270</v>
      </c>
      <c r="B4" s="754"/>
      <c r="C4" s="754"/>
      <c r="D4" s="754"/>
      <c r="E4" s="754"/>
      <c r="F4" s="754"/>
      <c r="G4" s="754"/>
      <c r="H4" s="754"/>
      <c r="I4" s="754"/>
      <c r="J4" s="777"/>
      <c r="K4" s="778"/>
      <c r="L4" s="778"/>
      <c r="M4" s="778"/>
    </row>
    <row r="5" spans="1:13" ht="32.25" customHeight="1" x14ac:dyDescent="0.2">
      <c r="A5" s="755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755"/>
      <c r="C5" s="755"/>
      <c r="D5" s="755"/>
      <c r="E5" s="755"/>
      <c r="F5" s="755"/>
      <c r="G5" s="755"/>
      <c r="H5" s="755"/>
      <c r="I5" s="755"/>
      <c r="J5" s="779"/>
      <c r="K5" s="780"/>
      <c r="L5" s="780"/>
      <c r="M5" s="780"/>
    </row>
    <row r="6" spans="1:13" ht="25.5" customHeight="1" thickBot="1" x14ac:dyDescent="0.25">
      <c r="A6" s="756" t="s">
        <v>616</v>
      </c>
      <c r="B6" s="756"/>
      <c r="C6" s="756"/>
      <c r="D6" s="756"/>
      <c r="E6" s="756"/>
      <c r="F6" s="756"/>
      <c r="G6" s="756"/>
      <c r="H6" s="756"/>
      <c r="I6" s="757"/>
      <c r="J6" s="783" t="s">
        <v>424</v>
      </c>
      <c r="K6" s="782" t="s">
        <v>420</v>
      </c>
      <c r="L6" s="782"/>
      <c r="M6" s="782"/>
    </row>
    <row r="7" spans="1:13" ht="30" customHeight="1" thickBot="1" x14ac:dyDescent="0.25">
      <c r="A7" s="758" t="str">
        <f>Dados!B12&amp;" - "&amp;D10</f>
        <v>Técnico Nível Médio Pleno - 200</v>
      </c>
      <c r="B7" s="758"/>
      <c r="C7" s="758"/>
      <c r="D7" s="758"/>
      <c r="E7" s="758"/>
      <c r="F7" s="759" t="s">
        <v>271</v>
      </c>
      <c r="G7" s="759" t="s">
        <v>272</v>
      </c>
      <c r="H7" s="760" t="s">
        <v>273</v>
      </c>
      <c r="I7" s="761" t="s">
        <v>274</v>
      </c>
      <c r="J7" s="784"/>
      <c r="K7" s="446" t="s">
        <v>421</v>
      </c>
      <c r="L7" s="446" t="s">
        <v>422</v>
      </c>
      <c r="M7" s="446" t="s">
        <v>423</v>
      </c>
    </row>
    <row r="8" spans="1:13" ht="18" customHeight="1" thickBot="1" x14ac:dyDescent="0.25">
      <c r="A8" s="762" t="s">
        <v>275</v>
      </c>
      <c r="B8" s="762"/>
      <c r="C8" s="762"/>
      <c r="D8" s="762"/>
      <c r="E8" s="447" t="s">
        <v>69</v>
      </c>
      <c r="F8" s="759"/>
      <c r="G8" s="759"/>
      <c r="H8" s="760"/>
      <c r="I8" s="761"/>
      <c r="J8" s="784"/>
      <c r="K8" s="448">
        <f>Dados!G72</f>
        <v>0.2</v>
      </c>
      <c r="L8" s="448">
        <f>100%+Dados!G73</f>
        <v>1.5</v>
      </c>
      <c r="M8" s="448">
        <f>100%+Dados!G74</f>
        <v>2</v>
      </c>
    </row>
    <row r="9" spans="1:13" ht="24.75" customHeight="1" x14ac:dyDescent="0.2">
      <c r="A9" s="449" t="s">
        <v>64</v>
      </c>
      <c r="B9" s="763" t="s">
        <v>276</v>
      </c>
      <c r="C9" s="763"/>
      <c r="D9" s="450" t="s">
        <v>277</v>
      </c>
      <c r="E9" s="451" t="s">
        <v>278</v>
      </c>
      <c r="F9" s="764" t="s">
        <v>279</v>
      </c>
      <c r="G9" s="764"/>
      <c r="H9" s="764"/>
      <c r="I9" s="765"/>
      <c r="J9" s="116" t="s">
        <v>459</v>
      </c>
      <c r="K9" s="117">
        <v>25</v>
      </c>
      <c r="L9" s="117" t="s">
        <v>460</v>
      </c>
      <c r="M9" s="117">
        <v>5</v>
      </c>
    </row>
    <row r="10" spans="1:13" ht="26.25" customHeight="1" x14ac:dyDescent="0.2">
      <c r="A10" s="766">
        <v>1</v>
      </c>
      <c r="B10" s="767" t="str">
        <f>A7</f>
        <v>Técnico Nível Médio Pleno - 200</v>
      </c>
      <c r="C10" s="767"/>
      <c r="D10" s="499">
        <f>Dados!C12</f>
        <v>200</v>
      </c>
      <c r="E10" s="453">
        <f>Dados!$E12</f>
        <v>4007.79</v>
      </c>
      <c r="F10" s="454">
        <f>Dados!F12</f>
        <v>4007.79</v>
      </c>
      <c r="G10" s="455"/>
      <c r="H10" s="456"/>
      <c r="I10" s="457"/>
      <c r="J10" s="458" t="s">
        <v>425</v>
      </c>
      <c r="K10" s="458">
        <f>ROUND($F$10/$D$10*K8,2)</f>
        <v>4.01</v>
      </c>
      <c r="L10" s="458">
        <f t="shared" ref="L10:M10" si="0">ROUND($F$10/$D$10*L8,2)</f>
        <v>30.06</v>
      </c>
      <c r="M10" s="458">
        <f t="shared" si="0"/>
        <v>40.08</v>
      </c>
    </row>
    <row r="11" spans="1:13" ht="24" customHeight="1" x14ac:dyDescent="0.2">
      <c r="A11" s="766"/>
      <c r="B11" s="768"/>
      <c r="C11" s="768"/>
      <c r="D11" s="500"/>
      <c r="E11" s="460"/>
      <c r="F11" s="454">
        <f>ROUND(((E11/220*D10)*C11)*D11,2)</f>
        <v>0</v>
      </c>
      <c r="G11" s="455"/>
      <c r="H11" s="456"/>
      <c r="I11" s="457"/>
      <c r="J11" s="457" t="s">
        <v>426</v>
      </c>
      <c r="K11" s="457">
        <f>ROUND($M$9/$K$9*K10,2)</f>
        <v>0.8</v>
      </c>
      <c r="L11" s="457">
        <f>ROUND($M$9/$K$9*L10,2)</f>
        <v>6.01</v>
      </c>
      <c r="M11" s="457">
        <f>ROUND($M$9/$K$9*M10,2)</f>
        <v>8.02</v>
      </c>
    </row>
    <row r="12" spans="1:13" ht="19.5" customHeight="1" x14ac:dyDescent="0.2">
      <c r="A12" s="766"/>
      <c r="B12" s="791" t="s">
        <v>280</v>
      </c>
      <c r="C12" s="791"/>
      <c r="D12" s="791"/>
      <c r="E12" s="791"/>
      <c r="F12" s="466">
        <f>F10+F11</f>
        <v>4007.79</v>
      </c>
      <c r="G12" s="462"/>
      <c r="H12" s="463"/>
      <c r="I12" s="464"/>
      <c r="J12" s="464" t="s">
        <v>427</v>
      </c>
      <c r="K12" s="464">
        <f>SUM(K10:K11)</f>
        <v>4.8099999999999996</v>
      </c>
      <c r="L12" s="464">
        <f t="shared" ref="L12:M12" si="1">SUM(L10:L11)</f>
        <v>36.07</v>
      </c>
      <c r="M12" s="464">
        <f t="shared" si="1"/>
        <v>48.099999999999994</v>
      </c>
    </row>
    <row r="13" spans="1:13" ht="19.5" customHeight="1" x14ac:dyDescent="0.2">
      <c r="A13" s="766"/>
      <c r="B13" s="770" t="s">
        <v>281</v>
      </c>
      <c r="C13" s="770"/>
      <c r="D13" s="770"/>
      <c r="E13" s="501">
        <f>Dados!G23</f>
        <v>0.76400000000000001</v>
      </c>
      <c r="F13" s="454">
        <f>(ROUND((E13*F12),2))</f>
        <v>3061.95</v>
      </c>
      <c r="G13" s="455"/>
      <c r="H13" s="456"/>
      <c r="I13" s="457"/>
      <c r="J13" s="457" t="s">
        <v>428</v>
      </c>
      <c r="K13" s="457">
        <f>K12*$E$13</f>
        <v>3.6748399999999997</v>
      </c>
      <c r="L13" s="457">
        <f t="shared" ref="L13:M13" si="2">L12*$E$13</f>
        <v>27.557480000000002</v>
      </c>
      <c r="M13" s="457">
        <f t="shared" si="2"/>
        <v>36.748399999999997</v>
      </c>
    </row>
    <row r="14" spans="1:13" ht="24.75" customHeight="1" x14ac:dyDescent="0.2">
      <c r="A14" s="792" t="s">
        <v>282</v>
      </c>
      <c r="B14" s="792"/>
      <c r="C14" s="792"/>
      <c r="D14" s="792"/>
      <c r="E14" s="792"/>
      <c r="F14" s="466">
        <f>ROUND(SUM(F12:F13),2)</f>
        <v>7069.74</v>
      </c>
      <c r="G14" s="467"/>
      <c r="H14" s="468"/>
      <c r="I14" s="469"/>
      <c r="J14" s="469" t="s">
        <v>429</v>
      </c>
      <c r="K14" s="469">
        <f>K12+K13</f>
        <v>8.4848399999999984</v>
      </c>
      <c r="L14" s="469">
        <f t="shared" ref="L14:M14" si="3">L12+L13</f>
        <v>63.627480000000006</v>
      </c>
      <c r="M14" s="469">
        <f t="shared" si="3"/>
        <v>84.848399999999998</v>
      </c>
    </row>
    <row r="15" spans="1:13" ht="19.5" customHeight="1" x14ac:dyDescent="0.2">
      <c r="A15" s="773" t="s">
        <v>283</v>
      </c>
      <c r="B15" s="773"/>
      <c r="C15" s="773"/>
      <c r="D15" s="773"/>
      <c r="E15" s="773"/>
      <c r="F15" s="773"/>
      <c r="G15" s="773"/>
      <c r="H15" s="773"/>
      <c r="I15" s="773"/>
      <c r="J15" s="470"/>
      <c r="K15" s="223"/>
      <c r="L15" s="223"/>
      <c r="M15" s="223"/>
    </row>
    <row r="16" spans="1:13" ht="19.5" customHeight="1" x14ac:dyDescent="0.2">
      <c r="A16" s="774" t="s">
        <v>284</v>
      </c>
      <c r="B16" s="774"/>
      <c r="C16" s="117" t="s">
        <v>285</v>
      </c>
      <c r="D16" s="775" t="s">
        <v>279</v>
      </c>
      <c r="E16" s="775"/>
      <c r="F16" s="775"/>
      <c r="G16" s="775"/>
      <c r="H16" s="775"/>
      <c r="I16" s="775"/>
      <c r="J16" s="471"/>
      <c r="K16" s="223"/>
      <c r="L16" s="223"/>
      <c r="M16" s="223"/>
    </row>
    <row r="17" spans="1:13" ht="19.5" customHeight="1" x14ac:dyDescent="0.2">
      <c r="A17" s="771" t="s">
        <v>287</v>
      </c>
      <c r="B17" s="771"/>
      <c r="C17" s="472">
        <v>1</v>
      </c>
      <c r="D17" s="456">
        <f>Dados!G31</f>
        <v>20</v>
      </c>
      <c r="E17" s="473"/>
      <c r="F17" s="454">
        <f>ROUND((C17*D17),2)</f>
        <v>20</v>
      </c>
      <c r="G17" s="455"/>
      <c r="H17" s="456"/>
      <c r="I17" s="457"/>
      <c r="J17" s="457"/>
      <c r="K17" s="457"/>
      <c r="L17" s="457"/>
      <c r="M17" s="457"/>
    </row>
    <row r="18" spans="1:13" ht="25.5" customHeight="1" x14ac:dyDescent="0.2">
      <c r="A18" s="776" t="s">
        <v>288</v>
      </c>
      <c r="B18" s="776"/>
      <c r="C18" s="472">
        <f>1</f>
        <v>1</v>
      </c>
      <c r="D18" s="456">
        <f>Dados!G32</f>
        <v>380.02</v>
      </c>
      <c r="E18" s="474">
        <f>IF(Dados!G33="SIM",IF(E10&gt;=10312,20%,30%),Dados!G35)</f>
        <v>0.3</v>
      </c>
      <c r="F18" s="454">
        <f>IFERROR(C18*D18*E18,C18*D18)</f>
        <v>114.00599999999999</v>
      </c>
      <c r="G18" s="455"/>
      <c r="H18" s="456"/>
      <c r="I18" s="457"/>
      <c r="J18" s="457"/>
      <c r="K18" s="457"/>
      <c r="L18" s="457"/>
      <c r="M18" s="457"/>
    </row>
    <row r="19" spans="1:13" ht="25.5" customHeight="1" x14ac:dyDescent="0.2">
      <c r="A19" s="730" t="s">
        <v>105</v>
      </c>
      <c r="B19" s="730"/>
      <c r="C19" s="456">
        <f>Dados!$G$37</f>
        <v>22</v>
      </c>
      <c r="D19" s="456">
        <f>Dados!$G$36</f>
        <v>38.26</v>
      </c>
      <c r="E19" s="474">
        <f>Dados!$G$38</f>
        <v>0.2</v>
      </c>
      <c r="F19" s="454">
        <f>IF(Dados!G39="SIM",IF(E10&gt;10312,0,C19*D19*(100%-E19)),Dados!G35)</f>
        <v>673.37599999999998</v>
      </c>
      <c r="G19" s="455">
        <f>F19</f>
        <v>673.37599999999998</v>
      </c>
      <c r="H19" s="456"/>
      <c r="I19" s="457"/>
      <c r="J19" s="457"/>
      <c r="K19" s="457"/>
      <c r="L19" s="457"/>
      <c r="M19" s="457"/>
    </row>
    <row r="20" spans="1:13" ht="19.5" customHeight="1" x14ac:dyDescent="0.2">
      <c r="A20" s="771" t="s">
        <v>303</v>
      </c>
      <c r="B20" s="771"/>
      <c r="C20" s="456">
        <f>Dados!$G$45</f>
        <v>22</v>
      </c>
      <c r="D20" s="456">
        <f>Dados!$G$44</f>
        <v>7.1</v>
      </c>
      <c r="E20" s="475">
        <f>Dados!$G$42</f>
        <v>4.5</v>
      </c>
      <c r="F20" s="454">
        <f>ROUND((($C$20*$D$20*Dados!$G$43)+($C$20*$E$20*Dados!$G$41) -(F10*Dados!$G$46)),2)</f>
        <v>269.93</v>
      </c>
      <c r="G20" s="455"/>
      <c r="H20" s="456"/>
      <c r="I20" s="457">
        <f>F20</f>
        <v>269.93</v>
      </c>
      <c r="J20" s="457"/>
      <c r="K20" s="457"/>
      <c r="L20" s="457"/>
      <c r="M20" s="457"/>
    </row>
    <row r="21" spans="1:13" ht="19.5" customHeight="1" x14ac:dyDescent="0.2">
      <c r="A21" s="771" t="str">
        <f>Dados!B47</f>
        <v>Equipamentos</v>
      </c>
      <c r="B21" s="771"/>
      <c r="C21" s="456">
        <v>1</v>
      </c>
      <c r="D21" s="456">
        <f>Dados!$G$47</f>
        <v>100.15547800925926</v>
      </c>
      <c r="E21" s="453"/>
      <c r="F21" s="454">
        <f>ROUND((C21*D21),2)</f>
        <v>100.16</v>
      </c>
      <c r="G21" s="455"/>
      <c r="H21" s="456"/>
      <c r="I21" s="457"/>
      <c r="J21" s="457"/>
      <c r="K21" s="457"/>
      <c r="L21" s="457"/>
      <c r="M21" s="457"/>
    </row>
    <row r="22" spans="1:13" ht="19.5" customHeight="1" x14ac:dyDescent="0.2">
      <c r="A22" s="771" t="str">
        <f>Dados!B48</f>
        <v>Ferramentas</v>
      </c>
      <c r="B22" s="771"/>
      <c r="C22" s="456">
        <v>1</v>
      </c>
      <c r="D22" s="456">
        <f>IF('Ocorrências Mensais - FAT'!D7="PLANILHA PARA LICITAÇÃO (PRECIFICAÇÃO)",Dados!$G$48,'Ocorrências Mensais - FAT'!F32/SUM(Dados!D8:D12))</f>
        <v>68.819999999999993</v>
      </c>
      <c r="E22" s="453"/>
      <c r="F22" s="454">
        <f>ROUND((C22*D22),2)</f>
        <v>68.819999999999993</v>
      </c>
      <c r="G22" s="455"/>
      <c r="H22" s="456"/>
      <c r="I22" s="457"/>
      <c r="J22" s="457"/>
      <c r="K22" s="457"/>
      <c r="L22" s="457"/>
      <c r="M22" s="457"/>
    </row>
    <row r="23" spans="1:13" ht="19.5" customHeight="1" x14ac:dyDescent="0.2">
      <c r="A23" s="771" t="str">
        <f>Dados!B49</f>
        <v>Outros (inserir somente com a justificativa legal)</v>
      </c>
      <c r="B23" s="771"/>
      <c r="C23" s="456">
        <v>1</v>
      </c>
      <c r="D23" s="456">
        <f>Dados!$G$49</f>
        <v>0</v>
      </c>
      <c r="E23" s="453"/>
      <c r="F23" s="454">
        <f>ROUND((C23*D23),2)</f>
        <v>0</v>
      </c>
      <c r="G23" s="455"/>
      <c r="H23" s="456"/>
      <c r="I23" s="457"/>
      <c r="J23" s="457"/>
      <c r="K23" s="457"/>
      <c r="L23" s="457"/>
      <c r="M23" s="457"/>
    </row>
    <row r="24" spans="1:13" ht="19.5" customHeight="1" x14ac:dyDescent="0.2">
      <c r="A24" s="771" t="str">
        <f>Dados!B49</f>
        <v>Outros (inserir somente com a justificativa legal)</v>
      </c>
      <c r="B24" s="771"/>
      <c r="C24" s="456">
        <v>1</v>
      </c>
      <c r="D24" s="456">
        <f>Dados!$G$50</f>
        <v>0</v>
      </c>
      <c r="E24" s="453"/>
      <c r="F24" s="454">
        <f>ROUND((C24*D24),2)</f>
        <v>0</v>
      </c>
      <c r="G24" s="455"/>
      <c r="H24" s="456"/>
      <c r="I24" s="457"/>
      <c r="J24" s="457"/>
      <c r="K24" s="457"/>
      <c r="L24" s="457"/>
      <c r="M24" s="457"/>
    </row>
    <row r="25" spans="1:13" ht="24.75" customHeight="1" x14ac:dyDescent="0.2">
      <c r="A25" s="772" t="s">
        <v>291</v>
      </c>
      <c r="B25" s="772"/>
      <c r="C25" s="772"/>
      <c r="D25" s="772"/>
      <c r="E25" s="772"/>
      <c r="F25" s="466">
        <f>SUM(F17:F24)</f>
        <v>1246.2919999999999</v>
      </c>
      <c r="G25" s="466">
        <f>SUM(G17:G24)</f>
        <v>673.37599999999998</v>
      </c>
      <c r="H25" s="468">
        <f>SUM($H$17:$H$24)</f>
        <v>0</v>
      </c>
      <c r="I25" s="469">
        <f>SUM($I$17:$I$24)</f>
        <v>269.93</v>
      </c>
      <c r="J25" s="469" t="s">
        <v>430</v>
      </c>
      <c r="K25" s="469">
        <f>SUM(K17:K24)</f>
        <v>0</v>
      </c>
      <c r="L25" s="469">
        <f>SUM(L17:L24)</f>
        <v>0</v>
      </c>
      <c r="M25" s="469">
        <f>SUM(M17:M24)</f>
        <v>0</v>
      </c>
    </row>
    <row r="26" spans="1:13" ht="24.75" customHeight="1" x14ac:dyDescent="0.2">
      <c r="A26" s="772" t="s">
        <v>292</v>
      </c>
      <c r="B26" s="772"/>
      <c r="C26" s="772"/>
      <c r="D26" s="772"/>
      <c r="E26" s="772"/>
      <c r="F26" s="466">
        <f>F14+F25</f>
        <v>8316.0319999999992</v>
      </c>
      <c r="G26" s="466">
        <f>$G$14+$G$25</f>
        <v>673.37599999999998</v>
      </c>
      <c r="H26" s="468">
        <f>$H$14+$H$25</f>
        <v>0</v>
      </c>
      <c r="I26" s="469">
        <f>$I$14+$I$25</f>
        <v>269.93</v>
      </c>
      <c r="J26" s="469" t="s">
        <v>431</v>
      </c>
      <c r="K26" s="469">
        <f>K14+K25</f>
        <v>8.4848399999999984</v>
      </c>
      <c r="L26" s="469">
        <f>L14+L25</f>
        <v>63.627480000000006</v>
      </c>
      <c r="M26" s="469">
        <f>M14+M25</f>
        <v>84.848399999999998</v>
      </c>
    </row>
    <row r="27" spans="1:13" ht="19.5" customHeight="1" x14ac:dyDescent="0.2">
      <c r="A27" s="773" t="s">
        <v>293</v>
      </c>
      <c r="B27" s="773"/>
      <c r="C27" s="773"/>
      <c r="D27" s="773"/>
      <c r="E27" s="773"/>
      <c r="F27" s="773"/>
      <c r="G27" s="773"/>
      <c r="H27" s="773">
        <f>SUM($H$17:$H$26)</f>
        <v>0</v>
      </c>
      <c r="I27" s="773">
        <f>SUM($I$17:$I$26)</f>
        <v>809.79</v>
      </c>
      <c r="J27" s="470"/>
      <c r="K27" s="223"/>
      <c r="L27" s="223"/>
      <c r="M27" s="223"/>
    </row>
    <row r="28" spans="1:13" ht="19.5" customHeight="1" x14ac:dyDescent="0.2">
      <c r="A28" s="788" t="s">
        <v>294</v>
      </c>
      <c r="B28" s="788"/>
      <c r="C28" s="788"/>
      <c r="D28" s="789" t="s">
        <v>295</v>
      </c>
      <c r="E28" s="789"/>
      <c r="F28" s="790" t="s">
        <v>279</v>
      </c>
      <c r="G28" s="790"/>
      <c r="H28" s="790"/>
      <c r="I28" s="790"/>
      <c r="J28" s="476"/>
      <c r="K28" s="223"/>
      <c r="L28" s="223"/>
      <c r="M28" s="223"/>
    </row>
    <row r="29" spans="1:13" ht="19.5" customHeight="1" x14ac:dyDescent="0.2">
      <c r="A29" s="477" t="s">
        <v>296</v>
      </c>
      <c r="B29" s="478"/>
      <c r="C29" s="478"/>
      <c r="D29" s="479">
        <f>Dados!$G$53</f>
        <v>0.03</v>
      </c>
      <c r="E29" s="455"/>
      <c r="F29" s="454">
        <f>ROUND((F26*D29),2)</f>
        <v>249.48</v>
      </c>
      <c r="G29" s="455">
        <f>ROUND(($G$26*$D$29),2)</f>
        <v>20.2</v>
      </c>
      <c r="H29" s="456">
        <f>ROUND((H26*D29),2)</f>
        <v>0</v>
      </c>
      <c r="I29" s="457">
        <f>ROUND((I26*D29),2)</f>
        <v>8.1</v>
      </c>
      <c r="J29" s="457" t="s">
        <v>437</v>
      </c>
      <c r="K29" s="457">
        <f>ROUND((K26*$D$29),2)</f>
        <v>0.25</v>
      </c>
      <c r="L29" s="457">
        <f t="shared" ref="L29:M29" si="4">ROUND((L26*$D$29),2)</f>
        <v>1.91</v>
      </c>
      <c r="M29" s="457">
        <f t="shared" si="4"/>
        <v>2.5499999999999998</v>
      </c>
    </row>
    <row r="30" spans="1:13" ht="19.5" customHeight="1" x14ac:dyDescent="0.2">
      <c r="A30" s="785" t="s">
        <v>297</v>
      </c>
      <c r="B30" s="785"/>
      <c r="C30" s="785"/>
      <c r="D30" s="479"/>
      <c r="E30" s="455"/>
      <c r="F30" s="454">
        <f>F26+F29</f>
        <v>8565.5119999999988</v>
      </c>
      <c r="G30" s="455">
        <f>$G$29+$G$26</f>
        <v>693.57600000000002</v>
      </c>
      <c r="H30" s="456">
        <f>H26+H29</f>
        <v>0</v>
      </c>
      <c r="I30" s="457">
        <f>I26+I29</f>
        <v>278.03000000000003</v>
      </c>
      <c r="J30" s="457" t="s">
        <v>436</v>
      </c>
      <c r="K30" s="457">
        <f t="shared" ref="K30" si="5">K26+K29</f>
        <v>8.7348399999999984</v>
      </c>
      <c r="L30" s="457">
        <f t="shared" ref="L30" si="6">L26+L29</f>
        <v>65.537480000000002</v>
      </c>
      <c r="M30" s="457">
        <f t="shared" ref="M30" si="7">M26+M29</f>
        <v>87.398399999999995</v>
      </c>
    </row>
    <row r="31" spans="1:13" ht="19.5" customHeight="1" x14ac:dyDescent="0.2">
      <c r="A31" s="477" t="s">
        <v>125</v>
      </c>
      <c r="B31" s="478"/>
      <c r="C31" s="478"/>
      <c r="D31" s="479">
        <f>Dados!$G$54</f>
        <v>6.7900000000000002E-2</v>
      </c>
      <c r="E31" s="455">
        <f>F26+F29</f>
        <v>8565.5119999999988</v>
      </c>
      <c r="F31" s="454">
        <f>ROUND((E31*D31),2)</f>
        <v>581.6</v>
      </c>
      <c r="G31" s="455">
        <f>ROUND(($G$30*$D$31),2)</f>
        <v>47.09</v>
      </c>
      <c r="H31" s="456">
        <f>ROUND((H30*D31),2)</f>
        <v>0</v>
      </c>
      <c r="I31" s="457">
        <f>ROUND((I30*D31),2)</f>
        <v>18.88</v>
      </c>
      <c r="J31" s="457" t="s">
        <v>125</v>
      </c>
      <c r="K31" s="457">
        <f>ROUND((K30*$D$31),2)</f>
        <v>0.59</v>
      </c>
      <c r="L31" s="457">
        <f t="shared" ref="L31:M31" si="8">ROUND((L30*$D$31),2)</f>
        <v>4.45</v>
      </c>
      <c r="M31" s="457">
        <f t="shared" si="8"/>
        <v>5.93</v>
      </c>
    </row>
    <row r="32" spans="1:13" ht="24.75" customHeight="1" x14ac:dyDescent="0.2">
      <c r="A32" s="481" t="s">
        <v>298</v>
      </c>
      <c r="B32" s="482"/>
      <c r="C32" s="482"/>
      <c r="D32" s="483">
        <f>SUM(D29:D31)</f>
        <v>9.7900000000000001E-2</v>
      </c>
      <c r="E32" s="467"/>
      <c r="F32" s="466">
        <f>F29+F31</f>
        <v>831.08</v>
      </c>
      <c r="G32" s="467">
        <f>$G$29+$G$31</f>
        <v>67.290000000000006</v>
      </c>
      <c r="H32" s="468">
        <f>H29+H31</f>
        <v>0</v>
      </c>
      <c r="I32" s="469">
        <f>I29+I31</f>
        <v>26.979999999999997</v>
      </c>
      <c r="J32" s="469" t="s">
        <v>432</v>
      </c>
      <c r="K32" s="469">
        <f t="shared" ref="K32:M32" si="9">K29+K31</f>
        <v>0.84</v>
      </c>
      <c r="L32" s="469">
        <f t="shared" si="9"/>
        <v>6.36</v>
      </c>
      <c r="M32" s="469">
        <f t="shared" si="9"/>
        <v>8.48</v>
      </c>
    </row>
    <row r="33" spans="1:13" ht="24.75" customHeight="1" x14ac:dyDescent="0.2">
      <c r="A33" s="792" t="s">
        <v>299</v>
      </c>
      <c r="B33" s="792"/>
      <c r="C33" s="792"/>
      <c r="D33" s="792"/>
      <c r="E33" s="792"/>
      <c r="F33" s="466">
        <f>F14+F25+F32</f>
        <v>9147.1119999999992</v>
      </c>
      <c r="G33" s="467">
        <f>$G$14+$G$25+$G$32</f>
        <v>740.66599999999994</v>
      </c>
      <c r="H33" s="468">
        <f>H14+H25+H32</f>
        <v>0</v>
      </c>
      <c r="I33" s="469">
        <f>I14+I25+I32</f>
        <v>296.91000000000003</v>
      </c>
      <c r="J33" s="469" t="s">
        <v>433</v>
      </c>
      <c r="K33" s="469">
        <f>K14+K25+K32</f>
        <v>9.3248399999999982</v>
      </c>
      <c r="L33" s="469">
        <f>L14+L25+L32</f>
        <v>69.987480000000005</v>
      </c>
      <c r="M33" s="469">
        <f>M14+M25+M32</f>
        <v>93.328400000000002</v>
      </c>
    </row>
    <row r="34" spans="1:13" ht="19.5" customHeight="1" x14ac:dyDescent="0.2">
      <c r="A34" s="773" t="s">
        <v>300</v>
      </c>
      <c r="B34" s="773"/>
      <c r="C34" s="773"/>
      <c r="D34" s="773"/>
      <c r="E34" s="773"/>
      <c r="F34" s="773"/>
      <c r="G34" s="773"/>
      <c r="H34" s="773"/>
      <c r="I34" s="773"/>
      <c r="J34" s="470"/>
      <c r="K34" s="223"/>
      <c r="L34" s="223"/>
      <c r="M34" s="223"/>
    </row>
    <row r="35" spans="1:13" ht="19.5" customHeight="1" x14ac:dyDescent="0.2">
      <c r="A35" s="477" t="s">
        <v>130</v>
      </c>
      <c r="B35" s="478"/>
      <c r="C35" s="485"/>
      <c r="D35" s="479">
        <f>Dados!$G$61</f>
        <v>7.5999999999999998E-2</v>
      </c>
      <c r="E35" s="453"/>
      <c r="F35" s="454">
        <f>ROUND((F40*D35),2)</f>
        <v>810.71</v>
      </c>
      <c r="G35" s="455">
        <f>ROUND(($G$40*$D$35),2)</f>
        <v>65.650000000000006</v>
      </c>
      <c r="H35" s="456">
        <f>ROUND((H40*D35),2)</f>
        <v>0</v>
      </c>
      <c r="I35" s="457">
        <f>ROUND((I40*D35),2)</f>
        <v>26.32</v>
      </c>
      <c r="J35" s="477" t="s">
        <v>130</v>
      </c>
      <c r="K35" s="457">
        <f>ROUND((K40*$D$35),2)</f>
        <v>0.83</v>
      </c>
      <c r="L35" s="457">
        <f t="shared" ref="L35:M35" si="10">ROUND((L40*$D$35),2)</f>
        <v>6.2</v>
      </c>
      <c r="M35" s="457">
        <f t="shared" si="10"/>
        <v>8.27</v>
      </c>
    </row>
    <row r="36" spans="1:13" ht="19.5" customHeight="1" x14ac:dyDescent="0.2">
      <c r="A36" s="477" t="s">
        <v>131</v>
      </c>
      <c r="B36" s="478"/>
      <c r="C36" s="485"/>
      <c r="D36" s="479">
        <f>Dados!$G$62</f>
        <v>1.6500000000000001E-2</v>
      </c>
      <c r="E36" s="453"/>
      <c r="F36" s="454">
        <f>ROUND((F40*D36),2)</f>
        <v>176.01</v>
      </c>
      <c r="G36" s="455">
        <f>ROUND(($G$40*$D$36),2)</f>
        <v>14.25</v>
      </c>
      <c r="H36" s="456">
        <f>ROUND((H40*D36),2)</f>
        <v>0</v>
      </c>
      <c r="I36" s="457">
        <f>ROUND((I40*D36),2)</f>
        <v>5.71</v>
      </c>
      <c r="J36" s="477" t="s">
        <v>131</v>
      </c>
      <c r="K36" s="457">
        <f>ROUND((K40*$D$36),2)</f>
        <v>0.18</v>
      </c>
      <c r="L36" s="457">
        <f t="shared" ref="L36:M36" si="11">ROUND((L40*$D$36),2)</f>
        <v>1.35</v>
      </c>
      <c r="M36" s="457">
        <f t="shared" si="11"/>
        <v>1.8</v>
      </c>
    </row>
    <row r="37" spans="1:13" ht="19.5" customHeight="1" x14ac:dyDescent="0.2">
      <c r="A37" s="477" t="s">
        <v>132</v>
      </c>
      <c r="B37" s="478"/>
      <c r="C37" s="485"/>
      <c r="D37" s="479">
        <f>Dados!$G$63</f>
        <v>0.05</v>
      </c>
      <c r="E37" s="453"/>
      <c r="F37" s="454">
        <f>ROUND((F40*D37),2)</f>
        <v>533.36</v>
      </c>
      <c r="G37" s="455">
        <f>ROUND(($G$40*$D$37),2)</f>
        <v>43.19</v>
      </c>
      <c r="H37" s="456">
        <f>ROUND((H40*D37),2)</f>
        <v>0</v>
      </c>
      <c r="I37" s="457">
        <f>ROUND((I40*D37),2)</f>
        <v>17.309999999999999</v>
      </c>
      <c r="J37" s="477" t="s">
        <v>132</v>
      </c>
      <c r="K37" s="457">
        <f>ROUND((K40*$D$37),2)</f>
        <v>0.54</v>
      </c>
      <c r="L37" s="457">
        <f t="shared" ref="L37:M37" si="12">ROUND((L40*$D$37),2)</f>
        <v>4.08</v>
      </c>
      <c r="M37" s="457">
        <f t="shared" si="12"/>
        <v>5.44</v>
      </c>
    </row>
    <row r="38" spans="1:13" ht="19.5" customHeight="1" x14ac:dyDescent="0.2">
      <c r="A38" s="477" t="str">
        <f>Dados!B64</f>
        <v>Outros (inserir somente com a justificativa legal) - Exemplo - CPRB</v>
      </c>
      <c r="B38" s="478"/>
      <c r="C38" s="485"/>
      <c r="D38" s="479">
        <f>Dados!G64</f>
        <v>0</v>
      </c>
      <c r="E38" s="453"/>
      <c r="F38" s="454">
        <f>ROUND((F40*$D$38),2)</f>
        <v>0</v>
      </c>
      <c r="G38" s="454">
        <f>ROUND((G40*$D$38),2)</f>
        <v>0</v>
      </c>
      <c r="H38" s="454">
        <f>ROUND((H40*$D$38),2)</f>
        <v>0</v>
      </c>
      <c r="I38" s="454">
        <f>ROUND((I40*$D$38),2)</f>
        <v>0</v>
      </c>
      <c r="J38" s="477" t="s">
        <v>438</v>
      </c>
      <c r="K38" s="454">
        <f t="shared" ref="K38" si="13">ROUND((K40*$D$38),2)</f>
        <v>0</v>
      </c>
      <c r="L38" s="454">
        <f t="shared" ref="L38:M38" si="14">ROUND((L40*$D$38),2)</f>
        <v>0</v>
      </c>
      <c r="M38" s="454">
        <f t="shared" si="14"/>
        <v>0</v>
      </c>
    </row>
    <row r="39" spans="1:13" ht="30" customHeight="1" thickBot="1" x14ac:dyDescent="0.25">
      <c r="A39" s="481" t="s">
        <v>301</v>
      </c>
      <c r="B39" s="482"/>
      <c r="C39" s="486"/>
      <c r="D39" s="483">
        <f>SUM(D35:D38)</f>
        <v>0.14250000000000002</v>
      </c>
      <c r="E39" s="487"/>
      <c r="F39" s="466">
        <f>SUM(F35:F38)</f>
        <v>1520.08</v>
      </c>
      <c r="G39" s="466">
        <f>SUM(G35:G38)</f>
        <v>123.09</v>
      </c>
      <c r="H39" s="466">
        <f>SUM(H35:H38)</f>
        <v>0</v>
      </c>
      <c r="I39" s="488">
        <f>SUM(I35:I38)</f>
        <v>49.34</v>
      </c>
      <c r="J39" s="469" t="s">
        <v>434</v>
      </c>
      <c r="K39" s="488">
        <f t="shared" ref="K39" si="15">SUM(K35:K38)</f>
        <v>1.55</v>
      </c>
      <c r="L39" s="488">
        <f t="shared" ref="L39" si="16">SUM(L35:L38)</f>
        <v>11.63</v>
      </c>
      <c r="M39" s="488">
        <f t="shared" ref="M39" si="17">SUM(M35:M38)</f>
        <v>15.510000000000002</v>
      </c>
    </row>
    <row r="40" spans="1:13" ht="34.5" hidden="1" customHeight="1" thickBot="1" x14ac:dyDescent="0.25">
      <c r="A40" s="786" t="str">
        <f>A7</f>
        <v>Técnico Nível Médio Pleno - 200</v>
      </c>
      <c r="B40" s="786"/>
      <c r="C40" s="786"/>
      <c r="D40" s="786"/>
      <c r="E40" s="786"/>
      <c r="F40" s="489">
        <f>ROUND(F33/(1-D39),2)</f>
        <v>10667.19</v>
      </c>
      <c r="G40" s="490">
        <f>ROUND($G$33/(1-$D$39),2)</f>
        <v>863.75</v>
      </c>
      <c r="H40" s="491">
        <f>ROUND(H33/(1-D39),2)</f>
        <v>0</v>
      </c>
      <c r="I40" s="492">
        <f>ROUND(I33/(1-D39),2)</f>
        <v>346.25</v>
      </c>
      <c r="J40" s="492" t="s">
        <v>435</v>
      </c>
      <c r="K40" s="492">
        <f>ROUND(K33/(1-$D$39),2)</f>
        <v>10.87</v>
      </c>
      <c r="L40" s="492">
        <f t="shared" ref="L40:M40" si="18">ROUND(L33/(1-$D$39),2)</f>
        <v>81.62</v>
      </c>
      <c r="M40" s="492">
        <f t="shared" si="18"/>
        <v>108.84</v>
      </c>
    </row>
    <row r="41" spans="1:13" ht="30" customHeight="1" thickBot="1" x14ac:dyDescent="0.25">
      <c r="A41" s="794" t="str">
        <f>A7</f>
        <v>Técnico Nível Médio Pleno - 200</v>
      </c>
      <c r="B41" s="794"/>
      <c r="C41" s="794"/>
      <c r="D41" s="794"/>
      <c r="E41" s="794"/>
      <c r="F41" s="502">
        <f>F40</f>
        <v>10667.19</v>
      </c>
      <c r="G41" s="502">
        <f>$G$40</f>
        <v>863.75</v>
      </c>
      <c r="H41" s="502">
        <f>H40</f>
        <v>0</v>
      </c>
      <c r="I41" s="503">
        <f>I40</f>
        <v>346.25</v>
      </c>
      <c r="J41" s="492" t="s">
        <v>435</v>
      </c>
      <c r="K41" s="503">
        <f t="shared" ref="K41:M41" si="19">K40</f>
        <v>10.87</v>
      </c>
      <c r="L41" s="503">
        <f t="shared" si="19"/>
        <v>81.62</v>
      </c>
      <c r="M41" s="503">
        <f t="shared" si="19"/>
        <v>108.84</v>
      </c>
    </row>
    <row r="42" spans="1:13" ht="29.25" customHeight="1" thickBot="1" x14ac:dyDescent="0.25">
      <c r="A42" s="793" t="s">
        <v>302</v>
      </c>
      <c r="B42" s="793"/>
      <c r="C42" s="793"/>
      <c r="D42" s="793"/>
      <c r="E42" s="793"/>
      <c r="F42" s="504">
        <f>($F$41/$F$12)/100</f>
        <v>2.6616140067219095E-2</v>
      </c>
      <c r="G42" s="506">
        <f>ROUND(G41/22,2)</f>
        <v>39.26</v>
      </c>
      <c r="H42" s="506">
        <f>(D20+E20)*2</f>
        <v>23.2</v>
      </c>
      <c r="I42" s="505"/>
      <c r="J42" s="505"/>
      <c r="K42" s="505"/>
      <c r="L42" s="505"/>
      <c r="M42" s="505"/>
    </row>
    <row r="43" spans="1:13" ht="24" customHeight="1" x14ac:dyDescent="0.2">
      <c r="A43" s="223"/>
      <c r="B43" s="223"/>
      <c r="C43" s="223"/>
      <c r="D43" s="223"/>
      <c r="E43" s="223"/>
      <c r="F43" s="507"/>
      <c r="G43" s="508" t="s">
        <v>479</v>
      </c>
      <c r="H43" s="508" t="s">
        <v>480</v>
      </c>
      <c r="I43" s="223"/>
      <c r="J43" s="223"/>
      <c r="K43" s="223"/>
      <c r="L43" s="223"/>
      <c r="M43" s="223"/>
    </row>
  </sheetData>
  <sheetProtection algorithmName="SHA-512" hashValue="DzXYbCE3wel5dzjSE4DugIm0e5/59IjAyd2JzHwvDwCzoG9yf0S2WAM4DSTe3/hQYKM0o87N12m+xzOLZC2NJw==" saltValue="Ic2mXwlQ+u7z7sZ44wZRcw==" spinCount="100000" sheet="1" objects="1" scenarios="1"/>
  <mergeCells count="43">
    <mergeCell ref="J4:M5"/>
    <mergeCell ref="A42:E42"/>
    <mergeCell ref="K6:M6"/>
    <mergeCell ref="J6:J8"/>
    <mergeCell ref="A30:C30"/>
    <mergeCell ref="A33:E33"/>
    <mergeCell ref="A34:I34"/>
    <mergeCell ref="A40:E40"/>
    <mergeCell ref="A41:E41"/>
    <mergeCell ref="A24:B24"/>
    <mergeCell ref="A25:E25"/>
    <mergeCell ref="A26:E26"/>
    <mergeCell ref="A27:I27"/>
    <mergeCell ref="A28:C28"/>
    <mergeCell ref="D28:E28"/>
    <mergeCell ref="F28:I28"/>
    <mergeCell ref="A22:B22"/>
    <mergeCell ref="A23:B2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B9:C9"/>
    <mergeCell ref="F9:I9"/>
    <mergeCell ref="A10:A13"/>
    <mergeCell ref="B10:C10"/>
    <mergeCell ref="B11:C11"/>
    <mergeCell ref="B12:E12"/>
    <mergeCell ref="B13:D13"/>
    <mergeCell ref="A4:I4"/>
    <mergeCell ref="A5:I5"/>
    <mergeCell ref="A6:I6"/>
    <mergeCell ref="A7:E7"/>
    <mergeCell ref="F7:F8"/>
    <mergeCell ref="G7:G8"/>
    <mergeCell ref="H7:H8"/>
    <mergeCell ref="I7:I8"/>
    <mergeCell ref="A8:D8"/>
  </mergeCells>
  <pageMargins left="0.39374999999999999" right="0" top="0.39374999999999999" bottom="0" header="0.511811023622047" footer="0.511811023622047"/>
  <pageSetup paperSize="9" scale="75" orientation="portrait" horizontalDpi="300" verticalDpi="300"/>
  <rowBreaks count="1" manualBreakCount="1">
    <brk id="42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D33"/>
  <sheetViews>
    <sheetView showGridLines="0" zoomScale="90" zoomScaleNormal="90" workbookViewId="0"/>
  </sheetViews>
  <sheetFormatPr defaultColWidth="9.33203125" defaultRowHeight="12.75" x14ac:dyDescent="0.2"/>
  <cols>
    <col min="1" max="1" width="8.5" style="7" customWidth="1"/>
    <col min="2" max="3" width="9.33203125" style="7"/>
    <col min="4" max="4" width="38.5" style="7" customWidth="1"/>
    <col min="5" max="5" width="11" style="7" customWidth="1"/>
    <col min="6" max="6" width="14.5" style="7" customWidth="1"/>
    <col min="7" max="7" width="10.33203125" style="7" customWidth="1"/>
    <col min="8" max="8" width="13.1640625" style="7" customWidth="1"/>
    <col min="9" max="9" width="19.33203125" style="7" customWidth="1"/>
    <col min="10" max="10" width="19.1640625" style="7" customWidth="1"/>
    <col min="11" max="1018" width="9.33203125" style="7"/>
  </cols>
  <sheetData>
    <row r="1" spans="1:14" x14ac:dyDescent="0.2">
      <c r="A1" s="52"/>
      <c r="B1" s="799" t="str">
        <f>Dados!B1</f>
        <v>Tribunal Regional Federal da 6ª Região</v>
      </c>
      <c r="C1" s="799"/>
      <c r="D1" s="799"/>
      <c r="E1" s="799"/>
      <c r="F1" s="799"/>
      <c r="G1" s="799"/>
      <c r="H1" s="799"/>
      <c r="I1" s="799"/>
      <c r="J1" s="800"/>
    </row>
    <row r="2" spans="1:14" x14ac:dyDescent="0.2">
      <c r="A2" s="53"/>
      <c r="B2" s="801" t="str">
        <f>Dados!B2</f>
        <v>Belo Horizonte - MG</v>
      </c>
      <c r="C2" s="801"/>
      <c r="D2" s="801"/>
      <c r="E2" s="801"/>
      <c r="F2" s="801"/>
      <c r="G2" s="801"/>
      <c r="H2" s="801"/>
      <c r="I2" s="801"/>
      <c r="J2" s="802"/>
    </row>
    <row r="3" spans="1:14" ht="13.5" thickBot="1" x14ac:dyDescent="0.25">
      <c r="A3" s="53"/>
      <c r="B3" s="801" t="str">
        <f>Dados!B3</f>
        <v>Divisão de Engenharia e Arquitetura - DIEAR</v>
      </c>
      <c r="C3" s="801"/>
      <c r="D3" s="801"/>
      <c r="E3" s="801"/>
      <c r="F3" s="801"/>
      <c r="G3" s="801"/>
      <c r="H3" s="801"/>
      <c r="I3" s="801"/>
      <c r="J3" s="802"/>
    </row>
    <row r="4" spans="1:14" ht="22.5" customHeight="1" thickBot="1" x14ac:dyDescent="0.25">
      <c r="A4" s="803" t="s">
        <v>617</v>
      </c>
      <c r="B4" s="804"/>
      <c r="C4" s="804"/>
      <c r="D4" s="804"/>
      <c r="E4" s="804"/>
      <c r="F4" s="804"/>
      <c r="G4" s="804"/>
      <c r="H4" s="804"/>
      <c r="I4" s="804"/>
      <c r="J4" s="805"/>
      <c r="K4" s="54"/>
      <c r="L4" s="54"/>
      <c r="M4" s="54"/>
      <c r="N4" s="54"/>
    </row>
    <row r="5" spans="1:14" s="55" customFormat="1" ht="41.25" customHeight="1" thickBot="1" x14ac:dyDescent="0.25">
      <c r="A5" s="806" t="s">
        <v>305</v>
      </c>
      <c r="B5" s="806"/>
      <c r="C5" s="806"/>
      <c r="D5" s="806"/>
      <c r="E5" s="807" t="s">
        <v>295</v>
      </c>
      <c r="F5" s="521" t="str">
        <f>Dados!B8</f>
        <v>Nível Superior Senior</v>
      </c>
      <c r="G5" s="522" t="str">
        <f>Dados!$B$9</f>
        <v>Nível Superior Pleno</v>
      </c>
      <c r="H5" s="522" t="str">
        <f>Dados!$B$10</f>
        <v>Nível Superior Junior</v>
      </c>
      <c r="I5" s="522" t="str">
        <f>Dados!$B$11</f>
        <v>Técnico Nível Médio Sênior</v>
      </c>
      <c r="J5" s="522" t="str">
        <f>Dados!$B$12</f>
        <v>Técnico Nível Médio Pleno</v>
      </c>
    </row>
    <row r="6" spans="1:14" s="57" customFormat="1" ht="14.25" customHeight="1" thickBot="1" x14ac:dyDescent="0.25">
      <c r="A6" s="56" t="s">
        <v>306</v>
      </c>
      <c r="B6" s="809" t="s">
        <v>232</v>
      </c>
      <c r="C6" s="809"/>
      <c r="D6" s="809"/>
      <c r="E6" s="808"/>
      <c r="F6" s="810" t="s">
        <v>307</v>
      </c>
      <c r="G6" s="810"/>
      <c r="H6" s="810"/>
      <c r="I6" s="810"/>
      <c r="J6" s="810"/>
    </row>
    <row r="7" spans="1:14" x14ac:dyDescent="0.2">
      <c r="A7" s="58">
        <v>1</v>
      </c>
      <c r="B7" s="811" t="s">
        <v>308</v>
      </c>
      <c r="C7" s="811"/>
      <c r="D7" s="811"/>
      <c r="E7" s="811"/>
      <c r="F7" s="59">
        <f>Dados!$H$8</f>
        <v>16697.830000000002</v>
      </c>
      <c r="G7" s="59">
        <f>Dados!$H$9</f>
        <v>13347.64</v>
      </c>
      <c r="H7" s="59">
        <f>Dados!$H$10</f>
        <v>12903</v>
      </c>
      <c r="I7" s="59">
        <f>Dados!$H$11</f>
        <v>5891.45</v>
      </c>
      <c r="J7" s="59">
        <f>Dados!$H$12</f>
        <v>4007.79</v>
      </c>
    </row>
    <row r="8" spans="1:14" x14ac:dyDescent="0.2">
      <c r="A8" s="60" t="s">
        <v>309</v>
      </c>
      <c r="B8" s="812" t="s">
        <v>233</v>
      </c>
      <c r="C8" s="812"/>
      <c r="D8" s="812"/>
      <c r="E8" s="61">
        <f>Encargos!$C$38</f>
        <v>9.0899999999999995E-2</v>
      </c>
      <c r="F8" s="62">
        <f t="shared" ref="F8:J8" si="0">ROUND(F7*$E$8,2)</f>
        <v>1517.83</v>
      </c>
      <c r="G8" s="62">
        <f t="shared" si="0"/>
        <v>1213.3</v>
      </c>
      <c r="H8" s="62">
        <f t="shared" si="0"/>
        <v>1172.8800000000001</v>
      </c>
      <c r="I8" s="62">
        <f t="shared" si="0"/>
        <v>535.53</v>
      </c>
      <c r="J8" s="62">
        <f t="shared" si="0"/>
        <v>364.31</v>
      </c>
    </row>
    <row r="9" spans="1:14" x14ac:dyDescent="0.2">
      <c r="A9" s="63" t="s">
        <v>310</v>
      </c>
      <c r="B9" s="813" t="s">
        <v>238</v>
      </c>
      <c r="C9" s="813"/>
      <c r="D9" s="813"/>
      <c r="E9" s="64">
        <f>Encargos!$C$17*E8</f>
        <v>3.6178200000000008E-2</v>
      </c>
      <c r="F9" s="65">
        <f t="shared" ref="F9:J9" si="1">ROUND(F7*$E$9,2)</f>
        <v>604.1</v>
      </c>
      <c r="G9" s="65">
        <f t="shared" si="1"/>
        <v>482.89</v>
      </c>
      <c r="H9" s="65">
        <f t="shared" si="1"/>
        <v>466.81</v>
      </c>
      <c r="I9" s="65">
        <f t="shared" si="1"/>
        <v>213.14</v>
      </c>
      <c r="J9" s="65">
        <f t="shared" si="1"/>
        <v>144.99</v>
      </c>
    </row>
    <row r="10" spans="1:14" ht="13.5" customHeight="1" x14ac:dyDescent="0.2">
      <c r="A10" s="814" t="s">
        <v>311</v>
      </c>
      <c r="B10" s="814"/>
      <c r="C10" s="814"/>
      <c r="D10" s="814"/>
      <c r="E10" s="66">
        <f t="shared" ref="E10:J10" si="2">SUM(E8:E9)</f>
        <v>0.1270782</v>
      </c>
      <c r="F10" s="67">
        <f t="shared" si="2"/>
        <v>2121.9299999999998</v>
      </c>
      <c r="G10" s="67">
        <f t="shared" si="2"/>
        <v>1696.19</v>
      </c>
      <c r="H10" s="67">
        <f t="shared" si="2"/>
        <v>1639.69</v>
      </c>
      <c r="I10" s="67">
        <f t="shared" si="2"/>
        <v>748.67</v>
      </c>
      <c r="J10" s="67">
        <f t="shared" si="2"/>
        <v>509.3</v>
      </c>
    </row>
    <row r="11" spans="1:14" ht="13.5" customHeight="1" x14ac:dyDescent="0.2">
      <c r="A11" s="814" t="s">
        <v>312</v>
      </c>
      <c r="B11" s="814"/>
      <c r="C11" s="814"/>
      <c r="D11" s="814"/>
      <c r="E11" s="814"/>
      <c r="F11" s="67">
        <f t="shared" ref="F11:J11" si="3">F10*12</f>
        <v>25463.159999999996</v>
      </c>
      <c r="G11" s="67">
        <f t="shared" si="3"/>
        <v>20354.28</v>
      </c>
      <c r="H11" s="67">
        <f t="shared" si="3"/>
        <v>19676.28</v>
      </c>
      <c r="I11" s="67">
        <f t="shared" si="3"/>
        <v>8984.0399999999991</v>
      </c>
      <c r="J11" s="67">
        <f t="shared" si="3"/>
        <v>6111.6</v>
      </c>
    </row>
    <row r="12" spans="1:14" x14ac:dyDescent="0.2">
      <c r="A12" s="68">
        <v>2</v>
      </c>
      <c r="B12" s="69" t="s">
        <v>313</v>
      </c>
      <c r="C12" s="69"/>
      <c r="D12" s="69"/>
      <c r="E12" s="69"/>
      <c r="F12" s="815" t="s">
        <v>69</v>
      </c>
      <c r="G12" s="815"/>
      <c r="H12" s="815"/>
      <c r="I12" s="815"/>
      <c r="J12" s="815"/>
    </row>
    <row r="13" spans="1:14" x14ac:dyDescent="0.2">
      <c r="A13" s="70" t="s">
        <v>309</v>
      </c>
      <c r="B13" s="816" t="s">
        <v>289</v>
      </c>
      <c r="C13" s="816"/>
      <c r="D13" s="816"/>
      <c r="E13" s="71"/>
      <c r="F13" s="72">
        <f>'NS SENIOR 200'!F19</f>
        <v>0</v>
      </c>
      <c r="G13" s="73">
        <f>'NS PLENO 200'!F19</f>
        <v>0</v>
      </c>
      <c r="H13" s="73">
        <f>'NS JUNIOR 200'!F19</f>
        <v>0</v>
      </c>
      <c r="I13" s="73">
        <f>'NM TECNICO SR 200'!F19</f>
        <v>673.37599999999998</v>
      </c>
      <c r="J13" s="73">
        <f>'NM TECNICO PL 200'!F19</f>
        <v>673.37599999999998</v>
      </c>
    </row>
    <row r="14" spans="1:14" x14ac:dyDescent="0.2">
      <c r="A14" s="70" t="s">
        <v>314</v>
      </c>
      <c r="B14" s="816" t="s">
        <v>290</v>
      </c>
      <c r="C14" s="816"/>
      <c r="D14" s="816"/>
      <c r="E14" s="71"/>
      <c r="F14" s="72">
        <f>'NS SENIOR 200'!F20</f>
        <v>0</v>
      </c>
      <c r="G14" s="73">
        <f>'NS PLENO 200'!F20</f>
        <v>0</v>
      </c>
      <c r="H14" s="73">
        <f>'NS JUNIOR 200'!F20</f>
        <v>0</v>
      </c>
      <c r="I14" s="73">
        <f>'NM TECNICO SR 200'!F20</f>
        <v>156.91</v>
      </c>
      <c r="J14" s="73">
        <f>'NM TECNICO PL 200'!F20</f>
        <v>269.93</v>
      </c>
    </row>
    <row r="15" spans="1:14" x14ac:dyDescent="0.2">
      <c r="A15" s="70" t="s">
        <v>315</v>
      </c>
      <c r="B15" s="71" t="s">
        <v>316</v>
      </c>
      <c r="C15" s="71"/>
      <c r="D15" s="71"/>
      <c r="E15" s="71"/>
      <c r="F15" s="72">
        <v>0</v>
      </c>
      <c r="G15" s="72">
        <v>0</v>
      </c>
      <c r="H15" s="72">
        <v>0</v>
      </c>
      <c r="I15" s="72">
        <v>0</v>
      </c>
      <c r="J15" s="72">
        <v>0</v>
      </c>
    </row>
    <row r="16" spans="1:14" x14ac:dyDescent="0.2">
      <c r="A16" s="817" t="s">
        <v>317</v>
      </c>
      <c r="B16" s="817"/>
      <c r="C16" s="817"/>
      <c r="D16" s="817"/>
      <c r="E16" s="817"/>
      <c r="F16" s="74">
        <f t="shared" ref="F16:J16" si="4">SUM(F13:F15)</f>
        <v>0</v>
      </c>
      <c r="G16" s="74">
        <f t="shared" si="4"/>
        <v>0</v>
      </c>
      <c r="H16" s="74">
        <f t="shared" si="4"/>
        <v>0</v>
      </c>
      <c r="I16" s="74">
        <f t="shared" si="4"/>
        <v>830.28599999999994</v>
      </c>
      <c r="J16" s="74">
        <f t="shared" si="4"/>
        <v>943.30600000000004</v>
      </c>
    </row>
    <row r="17" spans="1:10" ht="13.5" customHeight="1" x14ac:dyDescent="0.2">
      <c r="A17" s="68">
        <v>5</v>
      </c>
      <c r="B17" s="818" t="s">
        <v>318</v>
      </c>
      <c r="C17" s="818"/>
      <c r="D17" s="818"/>
      <c r="E17" s="75" t="s">
        <v>295</v>
      </c>
      <c r="F17" s="815" t="s">
        <v>69</v>
      </c>
      <c r="G17" s="815"/>
      <c r="H17" s="815"/>
      <c r="I17" s="815"/>
      <c r="J17" s="815"/>
    </row>
    <row r="18" spans="1:10" ht="13.5" customHeight="1" x14ac:dyDescent="0.2">
      <c r="A18" s="70" t="s">
        <v>309</v>
      </c>
      <c r="B18" s="819" t="s">
        <v>319</v>
      </c>
      <c r="C18" s="819"/>
      <c r="D18" s="819"/>
      <c r="E18" s="76">
        <f>Dados!G53</f>
        <v>0.03</v>
      </c>
      <c r="F18" s="77">
        <f t="shared" ref="F18:J18" si="5">ROUND(($E$18*F31),2)</f>
        <v>763.89</v>
      </c>
      <c r="G18" s="77">
        <f t="shared" si="5"/>
        <v>610.63</v>
      </c>
      <c r="H18" s="77">
        <f t="shared" si="5"/>
        <v>590.29</v>
      </c>
      <c r="I18" s="77">
        <f t="shared" si="5"/>
        <v>294.43</v>
      </c>
      <c r="J18" s="77">
        <f t="shared" si="5"/>
        <v>211.65</v>
      </c>
    </row>
    <row r="19" spans="1:10" ht="13.5" customHeight="1" x14ac:dyDescent="0.2">
      <c r="A19" s="70" t="s">
        <v>314</v>
      </c>
      <c r="B19" s="819" t="s">
        <v>125</v>
      </c>
      <c r="C19" s="819"/>
      <c r="D19" s="819"/>
      <c r="E19" s="76">
        <f>Dados!G54</f>
        <v>6.7900000000000002E-2</v>
      </c>
      <c r="F19" s="77">
        <f t="shared" ref="F19:J19" si="6">ROUND(($E$19*(F18+F31)),2)</f>
        <v>1780.82</v>
      </c>
      <c r="G19" s="77">
        <f t="shared" si="6"/>
        <v>1423.52</v>
      </c>
      <c r="H19" s="77">
        <f t="shared" si="6"/>
        <v>1376.1</v>
      </c>
      <c r="I19" s="77">
        <f t="shared" si="6"/>
        <v>686.38</v>
      </c>
      <c r="J19" s="77">
        <f t="shared" si="6"/>
        <v>493.4</v>
      </c>
    </row>
    <row r="20" spans="1:10" ht="13.5" customHeight="1" x14ac:dyDescent="0.2">
      <c r="A20" s="78" t="s">
        <v>315</v>
      </c>
      <c r="B20" s="820" t="s">
        <v>320</v>
      </c>
      <c r="C20" s="820"/>
      <c r="D20" s="820"/>
      <c r="E20" s="79">
        <f>SUM(E21:E24)</f>
        <v>0.14250000000000002</v>
      </c>
      <c r="F20" s="80">
        <f t="shared" ref="F20:J20" si="7">ROUND((((F31+F18+F19)/(1-$E$20))-(F31+F18+F19)),2)</f>
        <v>4654.37</v>
      </c>
      <c r="G20" s="80">
        <f t="shared" si="7"/>
        <v>3720.53</v>
      </c>
      <c r="H20" s="80">
        <f t="shared" si="7"/>
        <v>3596.6</v>
      </c>
      <c r="I20" s="80">
        <f t="shared" si="7"/>
        <v>1793.94</v>
      </c>
      <c r="J20" s="80">
        <f t="shared" si="7"/>
        <v>1289.56</v>
      </c>
    </row>
    <row r="21" spans="1:10" ht="13.5" customHeight="1" x14ac:dyDescent="0.2">
      <c r="A21" s="81" t="s">
        <v>321</v>
      </c>
      <c r="B21" s="819" t="s">
        <v>322</v>
      </c>
      <c r="C21" s="819"/>
      <c r="D21" s="819"/>
      <c r="E21" s="76">
        <f>Dados!G61+Dados!G62</f>
        <v>9.2499999999999999E-2</v>
      </c>
      <c r="F21" s="77">
        <f t="shared" ref="F21:J21" si="8">ROUND($E$21*F33,2)</f>
        <v>3021.26</v>
      </c>
      <c r="G21" s="77">
        <f t="shared" si="8"/>
        <v>2415.08</v>
      </c>
      <c r="H21" s="77">
        <f t="shared" si="8"/>
        <v>2334.63</v>
      </c>
      <c r="I21" s="77">
        <f t="shared" si="8"/>
        <v>1164.49</v>
      </c>
      <c r="J21" s="77">
        <f t="shared" si="8"/>
        <v>837.08</v>
      </c>
    </row>
    <row r="22" spans="1:10" ht="13.5" customHeight="1" x14ac:dyDescent="0.2">
      <c r="A22" s="70" t="s">
        <v>323</v>
      </c>
      <c r="B22" s="819" t="s">
        <v>324</v>
      </c>
      <c r="C22" s="819"/>
      <c r="D22" s="819"/>
      <c r="E22" s="76">
        <v>0</v>
      </c>
      <c r="F22" s="77">
        <f t="shared" ref="F22:J22" si="9">ROUND($E$22*F33,2)</f>
        <v>0</v>
      </c>
      <c r="G22" s="77">
        <f t="shared" si="9"/>
        <v>0</v>
      </c>
      <c r="H22" s="77">
        <f t="shared" si="9"/>
        <v>0</v>
      </c>
      <c r="I22" s="77">
        <f t="shared" si="9"/>
        <v>0</v>
      </c>
      <c r="J22" s="77">
        <f t="shared" si="9"/>
        <v>0</v>
      </c>
    </row>
    <row r="23" spans="1:10" ht="13.5" customHeight="1" x14ac:dyDescent="0.2">
      <c r="A23" s="70" t="s">
        <v>325</v>
      </c>
      <c r="B23" s="819" t="s">
        <v>326</v>
      </c>
      <c r="C23" s="819"/>
      <c r="D23" s="819"/>
      <c r="E23" s="76">
        <f>Dados!G63</f>
        <v>0.05</v>
      </c>
      <c r="F23" s="77">
        <f t="shared" ref="F23:J23" si="10">ROUND($E$23*F33,2)</f>
        <v>1633.11</v>
      </c>
      <c r="G23" s="77">
        <f t="shared" si="10"/>
        <v>1305.45</v>
      </c>
      <c r="H23" s="77">
        <f t="shared" si="10"/>
        <v>1261.96</v>
      </c>
      <c r="I23" s="77">
        <f t="shared" si="10"/>
        <v>629.45000000000005</v>
      </c>
      <c r="J23" s="77">
        <f t="shared" si="10"/>
        <v>452.48</v>
      </c>
    </row>
    <row r="24" spans="1:10" x14ac:dyDescent="0.2">
      <c r="A24" s="70" t="s">
        <v>327</v>
      </c>
      <c r="B24" s="819" t="str">
        <f>Dados!B64</f>
        <v>Outros (inserir somente com a justificativa legal) - Exemplo - CPRB</v>
      </c>
      <c r="C24" s="819"/>
      <c r="D24" s="819"/>
      <c r="E24" s="76">
        <f>Dados!G64</f>
        <v>0</v>
      </c>
      <c r="F24" s="77">
        <f t="shared" ref="F24:J24" si="11">ROUND($E$24*F33,2)</f>
        <v>0</v>
      </c>
      <c r="G24" s="77">
        <f t="shared" si="11"/>
        <v>0</v>
      </c>
      <c r="H24" s="77">
        <f t="shared" si="11"/>
        <v>0</v>
      </c>
      <c r="I24" s="77">
        <f t="shared" si="11"/>
        <v>0</v>
      </c>
      <c r="J24" s="77">
        <f t="shared" si="11"/>
        <v>0</v>
      </c>
    </row>
    <row r="25" spans="1:10" x14ac:dyDescent="0.2">
      <c r="A25" s="82" t="s">
        <v>328</v>
      </c>
      <c r="B25" s="83"/>
      <c r="C25" s="83"/>
      <c r="D25" s="83"/>
      <c r="E25" s="83"/>
      <c r="F25" s="84">
        <f t="shared" ref="F25:J25" si="12">SUM(F18:F20)</f>
        <v>7199.08</v>
      </c>
      <c r="G25" s="84">
        <f t="shared" si="12"/>
        <v>5754.68</v>
      </c>
      <c r="H25" s="84">
        <f t="shared" si="12"/>
        <v>5562.99</v>
      </c>
      <c r="I25" s="84">
        <f t="shared" si="12"/>
        <v>2774.75</v>
      </c>
      <c r="J25" s="84">
        <f t="shared" si="12"/>
        <v>1994.61</v>
      </c>
    </row>
    <row r="26" spans="1:10" x14ac:dyDescent="0.2">
      <c r="A26" s="822" t="s">
        <v>329</v>
      </c>
      <c r="B26" s="822"/>
      <c r="C26" s="822"/>
      <c r="D26" s="822"/>
      <c r="E26" s="822"/>
      <c r="F26" s="822"/>
      <c r="G26" s="822"/>
      <c r="H26" s="822"/>
      <c r="I26" s="822"/>
      <c r="J26" s="822"/>
    </row>
    <row r="27" spans="1:10" x14ac:dyDescent="0.2">
      <c r="A27" s="823" t="s">
        <v>330</v>
      </c>
      <c r="B27" s="823"/>
      <c r="C27" s="823"/>
      <c r="D27" s="823"/>
      <c r="E27" s="823"/>
      <c r="F27" s="823"/>
      <c r="G27" s="823"/>
      <c r="H27" s="823"/>
      <c r="I27" s="823"/>
      <c r="J27" s="823"/>
    </row>
    <row r="28" spans="1:10" x14ac:dyDescent="0.2">
      <c r="A28" s="85" t="s">
        <v>331</v>
      </c>
      <c r="B28" s="86"/>
      <c r="C28" s="86"/>
      <c r="D28" s="86"/>
      <c r="E28" s="86"/>
      <c r="F28" s="824" t="s">
        <v>69</v>
      </c>
      <c r="G28" s="824"/>
      <c r="H28" s="824"/>
      <c r="I28" s="824"/>
      <c r="J28" s="824"/>
    </row>
    <row r="29" spans="1:10" x14ac:dyDescent="0.2">
      <c r="A29" s="63" t="s">
        <v>309</v>
      </c>
      <c r="B29" s="87" t="s">
        <v>332</v>
      </c>
      <c r="C29" s="87"/>
      <c r="D29" s="87"/>
      <c r="E29" s="87"/>
      <c r="F29" s="88">
        <f t="shared" ref="F29:J29" si="13">F11</f>
        <v>25463.159999999996</v>
      </c>
      <c r="G29" s="88">
        <f t="shared" si="13"/>
        <v>20354.28</v>
      </c>
      <c r="H29" s="88">
        <f t="shared" si="13"/>
        <v>19676.28</v>
      </c>
      <c r="I29" s="88">
        <f t="shared" si="13"/>
        <v>8984.0399999999991</v>
      </c>
      <c r="J29" s="88">
        <f t="shared" si="13"/>
        <v>6111.6</v>
      </c>
    </row>
    <row r="30" spans="1:10" x14ac:dyDescent="0.2">
      <c r="A30" s="63" t="s">
        <v>314</v>
      </c>
      <c r="B30" s="87" t="s">
        <v>313</v>
      </c>
      <c r="C30" s="87"/>
      <c r="D30" s="87"/>
      <c r="E30" s="87"/>
      <c r="F30" s="88">
        <f t="shared" ref="F30:J30" si="14">F16</f>
        <v>0</v>
      </c>
      <c r="G30" s="88">
        <f t="shared" si="14"/>
        <v>0</v>
      </c>
      <c r="H30" s="88">
        <f t="shared" si="14"/>
        <v>0</v>
      </c>
      <c r="I30" s="88">
        <f t="shared" si="14"/>
        <v>830.28599999999994</v>
      </c>
      <c r="J30" s="88">
        <f t="shared" si="14"/>
        <v>943.30600000000004</v>
      </c>
    </row>
    <row r="31" spans="1:10" x14ac:dyDescent="0.2">
      <c r="A31" s="821" t="s">
        <v>333</v>
      </c>
      <c r="B31" s="821"/>
      <c r="C31" s="821"/>
      <c r="D31" s="821"/>
      <c r="E31" s="89"/>
      <c r="F31" s="90">
        <f t="shared" ref="F31:J31" si="15">SUM(F29:F30)</f>
        <v>25463.159999999996</v>
      </c>
      <c r="G31" s="90">
        <f t="shared" si="15"/>
        <v>20354.28</v>
      </c>
      <c r="H31" s="90">
        <f t="shared" si="15"/>
        <v>19676.28</v>
      </c>
      <c r="I31" s="90">
        <f t="shared" si="15"/>
        <v>9814.3259999999991</v>
      </c>
      <c r="J31" s="90">
        <f t="shared" si="15"/>
        <v>7054.9060000000009</v>
      </c>
    </row>
    <row r="32" spans="1:10" x14ac:dyDescent="0.2">
      <c r="A32" s="91" t="s">
        <v>334</v>
      </c>
      <c r="B32" s="92" t="s">
        <v>335</v>
      </c>
      <c r="C32" s="92"/>
      <c r="D32" s="92"/>
      <c r="E32" s="92"/>
      <c r="F32" s="93">
        <f t="shared" ref="F32:J32" si="16">F25</f>
        <v>7199.08</v>
      </c>
      <c r="G32" s="93">
        <f t="shared" si="16"/>
        <v>5754.68</v>
      </c>
      <c r="H32" s="93">
        <f t="shared" si="16"/>
        <v>5562.99</v>
      </c>
      <c r="I32" s="93">
        <f t="shared" si="16"/>
        <v>2774.75</v>
      </c>
      <c r="J32" s="93">
        <f t="shared" si="16"/>
        <v>1994.61</v>
      </c>
    </row>
    <row r="33" spans="1:10" x14ac:dyDescent="0.2">
      <c r="A33" s="94" t="s">
        <v>336</v>
      </c>
      <c r="B33" s="95"/>
      <c r="C33" s="95"/>
      <c r="D33" s="95"/>
      <c r="E33" s="95"/>
      <c r="F33" s="96">
        <f t="shared" ref="F33:J33" si="17">SUM(F31:F32)</f>
        <v>32662.239999999998</v>
      </c>
      <c r="G33" s="96">
        <f t="shared" si="17"/>
        <v>26108.959999999999</v>
      </c>
      <c r="H33" s="96">
        <f t="shared" si="17"/>
        <v>25239.269999999997</v>
      </c>
      <c r="I33" s="96">
        <f t="shared" si="17"/>
        <v>12589.075999999999</v>
      </c>
      <c r="J33" s="96">
        <f t="shared" si="17"/>
        <v>9049.5160000000014</v>
      </c>
    </row>
  </sheetData>
  <sheetProtection algorithmName="SHA-512" hashValue="lr2vDUeyXJVdbes45pcTdkSUEtMJdW5eVgt76EENxdkJsbAcVCXuF6c3Twdgb9Ho+5SQnHDefBP1olloWEPajg==" saltValue="gPNEUbvjvWcajx1fwHZttA==" spinCount="100000" sheet="1" objects="1" scenarios="1"/>
  <mergeCells count="30">
    <mergeCell ref="A31:D31"/>
    <mergeCell ref="B23:D23"/>
    <mergeCell ref="B24:D24"/>
    <mergeCell ref="A26:J26"/>
    <mergeCell ref="A27:J27"/>
    <mergeCell ref="F28:J28"/>
    <mergeCell ref="B18:D18"/>
    <mergeCell ref="B19:D19"/>
    <mergeCell ref="B20:D20"/>
    <mergeCell ref="B21:D21"/>
    <mergeCell ref="B22:D22"/>
    <mergeCell ref="F12:J12"/>
    <mergeCell ref="B13:D13"/>
    <mergeCell ref="B14:D14"/>
    <mergeCell ref="A16:E16"/>
    <mergeCell ref="B17:D17"/>
    <mergeCell ref="F17:J17"/>
    <mergeCell ref="B7:E7"/>
    <mergeCell ref="B8:D8"/>
    <mergeCell ref="B9:D9"/>
    <mergeCell ref="A10:D10"/>
    <mergeCell ref="A11:E11"/>
    <mergeCell ref="B1:J1"/>
    <mergeCell ref="B2:J2"/>
    <mergeCell ref="B3:J3"/>
    <mergeCell ref="A4:J4"/>
    <mergeCell ref="A5:D5"/>
    <mergeCell ref="E5:E6"/>
    <mergeCell ref="B6:D6"/>
    <mergeCell ref="F6:J6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BE37-E6F8-407B-920F-014D8EA0731B}">
  <sheetPr>
    <pageSetUpPr fitToPage="1"/>
  </sheetPr>
  <dimension ref="A1:D46"/>
  <sheetViews>
    <sheetView showGridLines="0" zoomScale="90" zoomScaleNormal="90" zoomScaleSheetLayoutView="100" workbookViewId="0"/>
  </sheetViews>
  <sheetFormatPr defaultColWidth="9" defaultRowHeight="12.75" x14ac:dyDescent="0.2"/>
  <cols>
    <col min="1" max="1" width="11.33203125" customWidth="1"/>
    <col min="2" max="2" width="37.6640625" customWidth="1"/>
    <col min="3" max="3" width="18.1640625" customWidth="1"/>
    <col min="4" max="4" width="17.5" customWidth="1"/>
  </cols>
  <sheetData>
    <row r="1" spans="1:4" x14ac:dyDescent="0.2">
      <c r="A1" s="32"/>
      <c r="B1" s="33" t="s">
        <v>26</v>
      </c>
      <c r="C1" s="34"/>
      <c r="D1" s="34"/>
    </row>
    <row r="2" spans="1:4" x14ac:dyDescent="0.2">
      <c r="A2" s="35"/>
      <c r="B2" s="36" t="s">
        <v>27</v>
      </c>
      <c r="C2" s="12"/>
      <c r="D2" s="12"/>
    </row>
    <row r="3" spans="1:4" ht="13.5" thickBot="1" x14ac:dyDescent="0.25">
      <c r="A3" s="37"/>
      <c r="B3" s="36" t="str">
        <f>Dados!B3</f>
        <v>Divisão de Engenharia e Arquitetura - DIEAR</v>
      </c>
      <c r="C3" s="12"/>
      <c r="D3" s="12"/>
    </row>
    <row r="4" spans="1:4" ht="15.75" x14ac:dyDescent="0.2">
      <c r="A4" s="825" t="s">
        <v>270</v>
      </c>
      <c r="B4" s="826"/>
      <c r="C4" s="826"/>
      <c r="D4" s="827"/>
    </row>
    <row r="5" spans="1:4" ht="22.5" customHeight="1" thickBot="1" x14ac:dyDescent="0.25">
      <c r="A5" s="828" t="s">
        <v>616</v>
      </c>
      <c r="B5" s="829"/>
      <c r="C5" s="829"/>
      <c r="D5" s="830"/>
    </row>
    <row r="6" spans="1:4" ht="30" customHeight="1" thickBot="1" x14ac:dyDescent="0.25">
      <c r="A6" s="831" t="str">
        <f>Dados!B69</f>
        <v>ART PARA SERVIÇOS COM VALOR IGUAL OU MENOR QUE R$15.000,00</v>
      </c>
      <c r="B6" s="832"/>
      <c r="C6" s="833"/>
      <c r="D6" s="834" t="s">
        <v>271</v>
      </c>
    </row>
    <row r="7" spans="1:4" ht="24" customHeight="1" thickBot="1" x14ac:dyDescent="0.25">
      <c r="A7" s="835" t="s">
        <v>275</v>
      </c>
      <c r="B7" s="836"/>
      <c r="C7" s="837"/>
      <c r="D7" s="834"/>
    </row>
    <row r="8" spans="1:4" ht="24.75" customHeight="1" x14ac:dyDescent="0.2">
      <c r="A8" s="38" t="s">
        <v>64</v>
      </c>
      <c r="B8" s="104" t="s">
        <v>276</v>
      </c>
      <c r="C8" s="39" t="s">
        <v>453</v>
      </c>
      <c r="D8" s="40" t="s">
        <v>279</v>
      </c>
    </row>
    <row r="9" spans="1:4" ht="27" customHeight="1" x14ac:dyDescent="0.2">
      <c r="A9" s="41">
        <v>1</v>
      </c>
      <c r="B9" s="103" t="s">
        <v>461</v>
      </c>
      <c r="C9" s="108">
        <f>Dados!G69</f>
        <v>96.62</v>
      </c>
      <c r="D9" s="110">
        <f>C9</f>
        <v>96.62</v>
      </c>
    </row>
    <row r="10" spans="1:4" ht="24.75" customHeight="1" x14ac:dyDescent="0.2">
      <c r="A10" s="838" t="s">
        <v>454</v>
      </c>
      <c r="B10" s="839"/>
      <c r="C10" s="840"/>
      <c r="D10" s="50">
        <f>D9</f>
        <v>96.62</v>
      </c>
    </row>
    <row r="11" spans="1:4" ht="19.5" customHeight="1" x14ac:dyDescent="0.2">
      <c r="A11" s="841" t="s">
        <v>294</v>
      </c>
      <c r="B11" s="842"/>
      <c r="C11" s="106" t="s">
        <v>295</v>
      </c>
      <c r="D11" s="107" t="s">
        <v>279</v>
      </c>
    </row>
    <row r="12" spans="1:4" ht="19.5" customHeight="1" x14ac:dyDescent="0.2">
      <c r="A12" s="44" t="s">
        <v>296</v>
      </c>
      <c r="B12" s="45"/>
      <c r="C12" s="43">
        <f>Dados!$G$53</f>
        <v>0.03</v>
      </c>
      <c r="D12" s="110">
        <f>ROUND(D10*C12,2)</f>
        <v>2.9</v>
      </c>
    </row>
    <row r="13" spans="1:4" ht="19.5" customHeight="1" x14ac:dyDescent="0.2">
      <c r="A13" s="46" t="s">
        <v>297</v>
      </c>
      <c r="B13" s="46"/>
      <c r="C13" s="43"/>
      <c r="D13" s="110">
        <f>D10+D12</f>
        <v>99.52000000000001</v>
      </c>
    </row>
    <row r="14" spans="1:4" ht="19.5" customHeight="1" x14ac:dyDescent="0.2">
      <c r="A14" s="44" t="s">
        <v>125</v>
      </c>
      <c r="B14" s="45"/>
      <c r="C14" s="43">
        <f>Dados!$G$54</f>
        <v>6.7900000000000002E-2</v>
      </c>
      <c r="D14" s="110">
        <f>ROUND((D13*C14),2)</f>
        <v>6.76</v>
      </c>
    </row>
    <row r="15" spans="1:4" ht="24.75" customHeight="1" x14ac:dyDescent="0.2">
      <c r="A15" s="47" t="s">
        <v>455</v>
      </c>
      <c r="B15" s="48"/>
      <c r="C15" s="49">
        <f>SUM(C12:C14)</f>
        <v>9.7900000000000001E-2</v>
      </c>
      <c r="D15" s="50">
        <f>D12+D14</f>
        <v>9.66</v>
      </c>
    </row>
    <row r="16" spans="1:4" ht="24.75" customHeight="1" x14ac:dyDescent="0.2">
      <c r="A16" s="843" t="s">
        <v>292</v>
      </c>
      <c r="B16" s="844"/>
      <c r="C16" s="845"/>
      <c r="D16" s="50">
        <f>D10+D15</f>
        <v>106.28</v>
      </c>
    </row>
    <row r="17" spans="1:4" ht="19.5" customHeight="1" x14ac:dyDescent="0.2">
      <c r="A17" s="846" t="s">
        <v>300</v>
      </c>
      <c r="B17" s="847"/>
      <c r="C17" s="848"/>
      <c r="D17" s="105"/>
    </row>
    <row r="18" spans="1:4" ht="19.5" customHeight="1" x14ac:dyDescent="0.2">
      <c r="A18" s="44" t="s">
        <v>130</v>
      </c>
      <c r="B18" s="45"/>
      <c r="C18" s="43">
        <f>Dados!$G$61</f>
        <v>7.5999999999999998E-2</v>
      </c>
      <c r="D18" s="110">
        <f>ROUND((D23*C18),2)</f>
        <v>9.42</v>
      </c>
    </row>
    <row r="19" spans="1:4" ht="19.5" customHeight="1" x14ac:dyDescent="0.2">
      <c r="A19" s="44" t="s">
        <v>131</v>
      </c>
      <c r="B19" s="45"/>
      <c r="C19" s="43">
        <f>Dados!$G$62</f>
        <v>1.6500000000000001E-2</v>
      </c>
      <c r="D19" s="110">
        <f>ROUND((D23*C19),2)</f>
        <v>2.0499999999999998</v>
      </c>
    </row>
    <row r="20" spans="1:4" ht="19.5" customHeight="1" x14ac:dyDescent="0.2">
      <c r="A20" s="44" t="s">
        <v>132</v>
      </c>
      <c r="B20" s="45"/>
      <c r="C20" s="43">
        <f>Dados!$G$63</f>
        <v>0.05</v>
      </c>
      <c r="D20" s="110">
        <f>ROUND((D23*C20),2)</f>
        <v>6.2</v>
      </c>
    </row>
    <row r="21" spans="1:4" ht="19.5" customHeight="1" x14ac:dyDescent="0.2">
      <c r="A21" s="44" t="str">
        <f>Dados!B64</f>
        <v>Outros (inserir somente com a justificativa legal) - Exemplo - CPRB</v>
      </c>
      <c r="B21" s="45"/>
      <c r="C21" s="43">
        <f>Dados!G64</f>
        <v>0</v>
      </c>
      <c r="D21" s="110">
        <f>ROUND((D23*C21),2)</f>
        <v>0</v>
      </c>
    </row>
    <row r="22" spans="1:4" x14ac:dyDescent="0.2">
      <c r="A22" s="111" t="s">
        <v>456</v>
      </c>
      <c r="B22" s="109"/>
      <c r="C22" s="49">
        <f>SUM(C18:C21)</f>
        <v>0.14250000000000002</v>
      </c>
      <c r="D22" s="42">
        <f>SUM(D18:D21)</f>
        <v>17.669999999999998</v>
      </c>
    </row>
    <row r="23" spans="1:4" x14ac:dyDescent="0.2">
      <c r="A23" s="849" t="str">
        <f>A6</f>
        <v>ART PARA SERVIÇOS COM VALOR IGUAL OU MENOR QUE R$15.000,00</v>
      </c>
      <c r="B23" s="850"/>
      <c r="C23" s="850"/>
      <c r="D23" s="42">
        <f>ROUND(D16/(1-C22),2)</f>
        <v>123.94</v>
      </c>
    </row>
    <row r="24" spans="1:4" ht="18" thickBot="1" x14ac:dyDescent="0.25">
      <c r="A24" s="851" t="str">
        <f>B9</f>
        <v>TAXA ART - Serviço menor que R$15.000,00</v>
      </c>
      <c r="B24" s="852"/>
      <c r="C24" s="852"/>
      <c r="D24" s="112">
        <f>D23</f>
        <v>123.94</v>
      </c>
    </row>
    <row r="25" spans="1:4" ht="24" customHeight="1" thickBot="1" x14ac:dyDescent="0.25">
      <c r="A25" s="10"/>
      <c r="B25" s="10"/>
      <c r="C25" s="10"/>
      <c r="D25" s="51"/>
    </row>
    <row r="26" spans="1:4" ht="15.75" x14ac:dyDescent="0.2">
      <c r="A26" s="825" t="s">
        <v>270</v>
      </c>
      <c r="B26" s="826"/>
      <c r="C26" s="826"/>
      <c r="D26" s="827"/>
    </row>
    <row r="27" spans="1:4" ht="16.5" thickBot="1" x14ac:dyDescent="0.25">
      <c r="A27" s="828" t="str">
        <f>A5</f>
        <v>ANEXO II</v>
      </c>
      <c r="B27" s="829"/>
      <c r="C27" s="829"/>
      <c r="D27" s="830"/>
    </row>
    <row r="28" spans="1:4" ht="13.5" thickBot="1" x14ac:dyDescent="0.25">
      <c r="A28" s="831" t="str">
        <f>Dados!B70</f>
        <v>ART PARA SERVIÇOS COM VALOR MAIOR QUE R$15.000,00</v>
      </c>
      <c r="B28" s="832"/>
      <c r="C28" s="833"/>
      <c r="D28" s="834" t="s">
        <v>271</v>
      </c>
    </row>
    <row r="29" spans="1:4" ht="13.5" thickBot="1" x14ac:dyDescent="0.25">
      <c r="A29" s="835" t="s">
        <v>275</v>
      </c>
      <c r="B29" s="836"/>
      <c r="C29" s="837"/>
      <c r="D29" s="834"/>
    </row>
    <row r="30" spans="1:4" x14ac:dyDescent="0.2">
      <c r="A30" s="38" t="s">
        <v>64</v>
      </c>
      <c r="B30" s="104" t="s">
        <v>276</v>
      </c>
      <c r="C30" s="39" t="s">
        <v>453</v>
      </c>
      <c r="D30" s="40" t="s">
        <v>279</v>
      </c>
    </row>
    <row r="31" spans="1:4" ht="25.5" x14ac:dyDescent="0.2">
      <c r="A31" s="41">
        <v>1</v>
      </c>
      <c r="B31" s="103" t="s">
        <v>462</v>
      </c>
      <c r="C31" s="108">
        <f>Dados!G70</f>
        <v>254.59</v>
      </c>
      <c r="D31" s="110">
        <f>C31</f>
        <v>254.59</v>
      </c>
    </row>
    <row r="32" spans="1:4" x14ac:dyDescent="0.2">
      <c r="A32" s="838" t="s">
        <v>454</v>
      </c>
      <c r="B32" s="839"/>
      <c r="C32" s="840"/>
      <c r="D32" s="50">
        <f>D31</f>
        <v>254.59</v>
      </c>
    </row>
    <row r="33" spans="1:4" x14ac:dyDescent="0.2">
      <c r="A33" s="841" t="s">
        <v>294</v>
      </c>
      <c r="B33" s="842"/>
      <c r="C33" s="106" t="s">
        <v>295</v>
      </c>
      <c r="D33" s="107" t="s">
        <v>279</v>
      </c>
    </row>
    <row r="34" spans="1:4" x14ac:dyDescent="0.2">
      <c r="A34" s="44" t="s">
        <v>296</v>
      </c>
      <c r="B34" s="45"/>
      <c r="C34" s="43">
        <f>Dados!$G$53</f>
        <v>0.03</v>
      </c>
      <c r="D34" s="110">
        <f>ROUND(D32*C34,2)</f>
        <v>7.64</v>
      </c>
    </row>
    <row r="35" spans="1:4" x14ac:dyDescent="0.2">
      <c r="A35" s="46" t="s">
        <v>297</v>
      </c>
      <c r="B35" s="46"/>
      <c r="C35" s="43"/>
      <c r="D35" s="110">
        <f>D32+D34</f>
        <v>262.23</v>
      </c>
    </row>
    <row r="36" spans="1:4" x14ac:dyDescent="0.2">
      <c r="A36" s="44" t="s">
        <v>125</v>
      </c>
      <c r="B36" s="45"/>
      <c r="C36" s="43">
        <f>Dados!$G$54</f>
        <v>6.7900000000000002E-2</v>
      </c>
      <c r="D36" s="110">
        <f>ROUND((D35*C36),2)</f>
        <v>17.809999999999999</v>
      </c>
    </row>
    <row r="37" spans="1:4" x14ac:dyDescent="0.2">
      <c r="A37" s="47" t="s">
        <v>455</v>
      </c>
      <c r="B37" s="48"/>
      <c r="C37" s="49">
        <f>SUM(C34:C36)</f>
        <v>9.7900000000000001E-2</v>
      </c>
      <c r="D37" s="50">
        <f>D34+D36</f>
        <v>25.45</v>
      </c>
    </row>
    <row r="38" spans="1:4" x14ac:dyDescent="0.2">
      <c r="A38" s="843" t="s">
        <v>292</v>
      </c>
      <c r="B38" s="844"/>
      <c r="C38" s="845"/>
      <c r="D38" s="50">
        <f>D32+D37</f>
        <v>280.04000000000002</v>
      </c>
    </row>
    <row r="39" spans="1:4" x14ac:dyDescent="0.2">
      <c r="A39" s="846" t="s">
        <v>300</v>
      </c>
      <c r="B39" s="847"/>
      <c r="C39" s="848"/>
      <c r="D39" s="105"/>
    </row>
    <row r="40" spans="1:4" x14ac:dyDescent="0.2">
      <c r="A40" s="44" t="s">
        <v>130</v>
      </c>
      <c r="B40" s="45"/>
      <c r="C40" s="43">
        <f>Dados!$G$61</f>
        <v>7.5999999999999998E-2</v>
      </c>
      <c r="D40" s="110">
        <f>ROUND((D45*C40),2)</f>
        <v>24.82</v>
      </c>
    </row>
    <row r="41" spans="1:4" x14ac:dyDescent="0.2">
      <c r="A41" s="44" t="s">
        <v>131</v>
      </c>
      <c r="B41" s="45"/>
      <c r="C41" s="43">
        <f>Dados!$G$62</f>
        <v>1.6500000000000001E-2</v>
      </c>
      <c r="D41" s="110">
        <f>ROUND((D45*C41),2)</f>
        <v>5.39</v>
      </c>
    </row>
    <row r="42" spans="1:4" x14ac:dyDescent="0.2">
      <c r="A42" s="44" t="s">
        <v>132</v>
      </c>
      <c r="B42" s="45"/>
      <c r="C42" s="43">
        <f>Dados!$G$63</f>
        <v>0.05</v>
      </c>
      <c r="D42" s="110">
        <f>ROUND((D45*C42),2)</f>
        <v>16.329999999999998</v>
      </c>
    </row>
    <row r="43" spans="1:4" x14ac:dyDescent="0.2">
      <c r="A43" s="44" t="str">
        <f>Dados!B64</f>
        <v>Outros (inserir somente com a justificativa legal) - Exemplo - CPRB</v>
      </c>
      <c r="B43" s="45"/>
      <c r="C43" s="43">
        <f>Dados!G64</f>
        <v>0</v>
      </c>
      <c r="D43" s="110">
        <f>ROUND((D45*C43),2)</f>
        <v>0</v>
      </c>
    </row>
    <row r="44" spans="1:4" x14ac:dyDescent="0.2">
      <c r="A44" s="111" t="s">
        <v>456</v>
      </c>
      <c r="B44" s="109"/>
      <c r="C44" s="49">
        <f>SUM(C40:C43)</f>
        <v>0.14250000000000002</v>
      </c>
      <c r="D44" s="42">
        <f>SUM(D40:D43)</f>
        <v>46.54</v>
      </c>
    </row>
    <row r="45" spans="1:4" x14ac:dyDescent="0.2">
      <c r="A45" s="849" t="str">
        <f>A28</f>
        <v>ART PARA SERVIÇOS COM VALOR MAIOR QUE R$15.000,00</v>
      </c>
      <c r="B45" s="850"/>
      <c r="C45" s="850"/>
      <c r="D45" s="42">
        <f>ROUND(D38/(1-C44),2)</f>
        <v>326.58</v>
      </c>
    </row>
    <row r="46" spans="1:4" ht="18" thickBot="1" x14ac:dyDescent="0.25">
      <c r="A46" s="851" t="str">
        <f>B31</f>
        <v>TAXA ART - Serviço maior que R$15.000,00</v>
      </c>
      <c r="B46" s="852"/>
      <c r="C46" s="852"/>
      <c r="D46" s="112">
        <f>D45</f>
        <v>326.58</v>
      </c>
    </row>
  </sheetData>
  <sheetProtection algorithmName="SHA-512" hashValue="+vueCRE9nFiFbmlUd8X3/u4shYH6cXTR/mO5JxgWM9z1llRlYMYGNaD66Z/LoJEMAScYyhdVdrru5vW6wHuPWg==" saltValue="P85xxlVjyAwOCFIY5L9URA==" spinCount="100000" sheet="1" objects="1" scenarios="1"/>
  <mergeCells count="22">
    <mergeCell ref="A38:C38"/>
    <mergeCell ref="A39:C39"/>
    <mergeCell ref="A45:C45"/>
    <mergeCell ref="A46:C46"/>
    <mergeCell ref="A27:D27"/>
    <mergeCell ref="A28:C28"/>
    <mergeCell ref="D28:D29"/>
    <mergeCell ref="A29:C29"/>
    <mergeCell ref="A32:C32"/>
    <mergeCell ref="A33:B33"/>
    <mergeCell ref="A26:D26"/>
    <mergeCell ref="A4:D4"/>
    <mergeCell ref="A5:D5"/>
    <mergeCell ref="A6:C6"/>
    <mergeCell ref="D6:D7"/>
    <mergeCell ref="A7:C7"/>
    <mergeCell ref="A10:C10"/>
    <mergeCell ref="A11:B11"/>
    <mergeCell ref="A16:C16"/>
    <mergeCell ref="A17:C17"/>
    <mergeCell ref="A23:C23"/>
    <mergeCell ref="A24:C24"/>
  </mergeCells>
  <pageMargins left="0.39370078740157483" right="0" top="0.39370078740157483" bottom="0" header="0.51181102362204722" footer="0.51181102362204722"/>
  <pageSetup paperSize="9" orientation="portrait" horizontalDpi="300" verticalDpi="300" r:id="rId1"/>
  <rowBreaks count="1" manualBreakCount="1">
    <brk id="24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6AAA-C239-41CB-A6F7-23BD5695D2D9}">
  <sheetPr>
    <pageSetUpPr fitToPage="1"/>
  </sheetPr>
  <dimension ref="A1:D46"/>
  <sheetViews>
    <sheetView showGridLines="0" topLeftCell="A18" zoomScale="90" zoomScaleNormal="90" zoomScaleSheetLayoutView="100" workbookViewId="0">
      <selection activeCell="E18" sqref="E18"/>
    </sheetView>
  </sheetViews>
  <sheetFormatPr defaultColWidth="9" defaultRowHeight="12.75" x14ac:dyDescent="0.2"/>
  <cols>
    <col min="1" max="1" width="11.33203125" customWidth="1"/>
    <col min="2" max="2" width="36.83203125" customWidth="1"/>
    <col min="3" max="3" width="15.33203125" customWidth="1"/>
    <col min="4" max="4" width="17.5" customWidth="1"/>
  </cols>
  <sheetData>
    <row r="1" spans="1:4" x14ac:dyDescent="0.2">
      <c r="A1" s="32"/>
      <c r="B1" s="33" t="s">
        <v>26</v>
      </c>
      <c r="C1" s="34"/>
      <c r="D1" s="34"/>
    </row>
    <row r="2" spans="1:4" x14ac:dyDescent="0.2">
      <c r="A2" s="35"/>
      <c r="B2" s="36" t="s">
        <v>27</v>
      </c>
      <c r="C2" s="12"/>
      <c r="D2" s="12"/>
    </row>
    <row r="3" spans="1:4" ht="13.5" thickBot="1" x14ac:dyDescent="0.25">
      <c r="A3" s="37"/>
      <c r="B3" s="36" t="str">
        <f>Dados!B3</f>
        <v>Divisão de Engenharia e Arquitetura - DIEAR</v>
      </c>
      <c r="C3" s="12"/>
      <c r="D3" s="12"/>
    </row>
    <row r="4" spans="1:4" ht="15.75" x14ac:dyDescent="0.2">
      <c r="A4" s="825" t="s">
        <v>270</v>
      </c>
      <c r="B4" s="826"/>
      <c r="C4" s="826"/>
      <c r="D4" s="827"/>
    </row>
    <row r="5" spans="1:4" ht="22.5" customHeight="1" thickBot="1" x14ac:dyDescent="0.25">
      <c r="A5" s="828" t="s">
        <v>616</v>
      </c>
      <c r="B5" s="829"/>
      <c r="C5" s="829"/>
      <c r="D5" s="830"/>
    </row>
    <row r="6" spans="1:4" ht="30" customHeight="1" thickBot="1" x14ac:dyDescent="0.25">
      <c r="A6" s="831" t="s">
        <v>483</v>
      </c>
      <c r="B6" s="832"/>
      <c r="C6" s="833"/>
      <c r="D6" s="834" t="s">
        <v>271</v>
      </c>
    </row>
    <row r="7" spans="1:4" ht="29.25" customHeight="1" thickBot="1" x14ac:dyDescent="0.25">
      <c r="A7" s="835" t="s">
        <v>275</v>
      </c>
      <c r="B7" s="836"/>
      <c r="C7" s="837"/>
      <c r="D7" s="834"/>
    </row>
    <row r="8" spans="1:4" ht="24.75" customHeight="1" x14ac:dyDescent="0.2">
      <c r="A8" s="38" t="s">
        <v>64</v>
      </c>
      <c r="B8" s="104" t="s">
        <v>276</v>
      </c>
      <c r="C8" s="39" t="s">
        <v>453</v>
      </c>
      <c r="D8" s="40" t="s">
        <v>279</v>
      </c>
    </row>
    <row r="9" spans="1:4" ht="27" customHeight="1" x14ac:dyDescent="0.2">
      <c r="A9" s="41">
        <v>1</v>
      </c>
      <c r="B9" s="103" t="s">
        <v>481</v>
      </c>
      <c r="C9" s="108">
        <f>Dados!G36</f>
        <v>38.26</v>
      </c>
      <c r="D9" s="110">
        <f>C9</f>
        <v>38.26</v>
      </c>
    </row>
    <row r="10" spans="1:4" ht="24.75" customHeight="1" x14ac:dyDescent="0.2">
      <c r="A10" s="838" t="s">
        <v>454</v>
      </c>
      <c r="B10" s="839"/>
      <c r="C10" s="840"/>
      <c r="D10" s="50">
        <f>D9</f>
        <v>38.26</v>
      </c>
    </row>
    <row r="11" spans="1:4" ht="19.5" customHeight="1" x14ac:dyDescent="0.2">
      <c r="A11" s="841" t="s">
        <v>294</v>
      </c>
      <c r="B11" s="842"/>
      <c r="C11" s="106" t="s">
        <v>295</v>
      </c>
      <c r="D11" s="107" t="s">
        <v>279</v>
      </c>
    </row>
    <row r="12" spans="1:4" ht="19.5" customHeight="1" x14ac:dyDescent="0.2">
      <c r="A12" s="44" t="s">
        <v>296</v>
      </c>
      <c r="B12" s="45"/>
      <c r="C12" s="43">
        <f>Dados!$G$53</f>
        <v>0.03</v>
      </c>
      <c r="D12" s="110">
        <f>ROUND(D10*C12,2)</f>
        <v>1.1499999999999999</v>
      </c>
    </row>
    <row r="13" spans="1:4" ht="19.5" customHeight="1" x14ac:dyDescent="0.2">
      <c r="A13" s="46" t="s">
        <v>297</v>
      </c>
      <c r="B13" s="46"/>
      <c r="C13" s="43"/>
      <c r="D13" s="110">
        <f>D10+D12</f>
        <v>39.409999999999997</v>
      </c>
    </row>
    <row r="14" spans="1:4" ht="19.5" customHeight="1" x14ac:dyDescent="0.2">
      <c r="A14" s="44" t="s">
        <v>125</v>
      </c>
      <c r="B14" s="45"/>
      <c r="C14" s="43">
        <f>Dados!$G$54</f>
        <v>6.7900000000000002E-2</v>
      </c>
      <c r="D14" s="110">
        <f>ROUND((D13*C14),2)</f>
        <v>2.68</v>
      </c>
    </row>
    <row r="15" spans="1:4" ht="24.75" customHeight="1" x14ac:dyDescent="0.2">
      <c r="A15" s="47" t="s">
        <v>455</v>
      </c>
      <c r="B15" s="48"/>
      <c r="C15" s="49">
        <f>SUM(C12:C14)</f>
        <v>9.7900000000000001E-2</v>
      </c>
      <c r="D15" s="50">
        <f>D12+D14</f>
        <v>3.83</v>
      </c>
    </row>
    <row r="16" spans="1:4" ht="24.75" customHeight="1" x14ac:dyDescent="0.2">
      <c r="A16" s="843" t="s">
        <v>292</v>
      </c>
      <c r="B16" s="844"/>
      <c r="C16" s="845"/>
      <c r="D16" s="50">
        <f>D10+D15</f>
        <v>42.089999999999996</v>
      </c>
    </row>
    <row r="17" spans="1:4" ht="19.5" customHeight="1" x14ac:dyDescent="0.2">
      <c r="A17" s="846" t="s">
        <v>300</v>
      </c>
      <c r="B17" s="847"/>
      <c r="C17" s="848"/>
      <c r="D17" s="105"/>
    </row>
    <row r="18" spans="1:4" ht="19.5" customHeight="1" x14ac:dyDescent="0.2">
      <c r="A18" s="44" t="s">
        <v>130</v>
      </c>
      <c r="B18" s="45"/>
      <c r="C18" s="43">
        <f>Dados!$G$61</f>
        <v>7.5999999999999998E-2</v>
      </c>
      <c r="D18" s="110">
        <f>ROUND((D23*C18),2)</f>
        <v>3.73</v>
      </c>
    </row>
    <row r="19" spans="1:4" ht="19.5" customHeight="1" x14ac:dyDescent="0.2">
      <c r="A19" s="44" t="s">
        <v>131</v>
      </c>
      <c r="B19" s="45"/>
      <c r="C19" s="43">
        <f>Dados!$G$62</f>
        <v>1.6500000000000001E-2</v>
      </c>
      <c r="D19" s="110">
        <f>ROUND((D23*C19),2)</f>
        <v>0.81</v>
      </c>
    </row>
    <row r="20" spans="1:4" ht="19.5" customHeight="1" x14ac:dyDescent="0.2">
      <c r="A20" s="44" t="s">
        <v>132</v>
      </c>
      <c r="B20" s="45"/>
      <c r="C20" s="43">
        <f>Dados!$G$63</f>
        <v>0.05</v>
      </c>
      <c r="D20" s="110">
        <f>ROUND((D23*C20),2)</f>
        <v>2.4500000000000002</v>
      </c>
    </row>
    <row r="21" spans="1:4" ht="19.5" customHeight="1" x14ac:dyDescent="0.2">
      <c r="A21" s="44" t="str">
        <f>Dados!B64</f>
        <v>Outros (inserir somente com a justificativa legal) - Exemplo - CPRB</v>
      </c>
      <c r="B21" s="45"/>
      <c r="C21" s="43">
        <f>Dados!G64</f>
        <v>0</v>
      </c>
      <c r="D21" s="110">
        <f>ROUND((D23*C21),2)</f>
        <v>0</v>
      </c>
    </row>
    <row r="22" spans="1:4" x14ac:dyDescent="0.2">
      <c r="A22" s="111" t="s">
        <v>456</v>
      </c>
      <c r="B22" s="109"/>
      <c r="C22" s="49">
        <f>SUM(C18:C21)</f>
        <v>0.14250000000000002</v>
      </c>
      <c r="D22" s="42">
        <f>SUM(D18:D21)</f>
        <v>6.99</v>
      </c>
    </row>
    <row r="23" spans="1:4" x14ac:dyDescent="0.2">
      <c r="A23" s="849" t="str">
        <f>A6</f>
        <v>VALE ALIMENTAÇÃO / REFEIÇÃO - SERVIÇO EXTRAORDINÁRIO</v>
      </c>
      <c r="B23" s="850"/>
      <c r="C23" s="850"/>
      <c r="D23" s="42">
        <f>ROUND(D16/(1-C22),2)</f>
        <v>49.08</v>
      </c>
    </row>
    <row r="24" spans="1:4" ht="18" thickBot="1" x14ac:dyDescent="0.25">
      <c r="A24" s="851" t="str">
        <f>B9</f>
        <v>V.A</v>
      </c>
      <c r="B24" s="852"/>
      <c r="C24" s="852"/>
      <c r="D24" s="112">
        <f>D23</f>
        <v>49.08</v>
      </c>
    </row>
    <row r="25" spans="1:4" ht="24" customHeight="1" thickBot="1" x14ac:dyDescent="0.25">
      <c r="A25" s="10"/>
      <c r="B25" s="10"/>
      <c r="C25" s="10"/>
      <c r="D25" s="51"/>
    </row>
    <row r="26" spans="1:4" ht="15.75" x14ac:dyDescent="0.2">
      <c r="A26" s="825" t="s">
        <v>270</v>
      </c>
      <c r="B26" s="826"/>
      <c r="C26" s="826"/>
      <c r="D26" s="827"/>
    </row>
    <row r="27" spans="1:4" ht="16.5" thickBot="1" x14ac:dyDescent="0.25">
      <c r="A27" s="828" t="str">
        <f>A5</f>
        <v>ANEXO II</v>
      </c>
      <c r="B27" s="829"/>
      <c r="C27" s="829"/>
      <c r="D27" s="830"/>
    </row>
    <row r="28" spans="1:4" ht="13.5" thickBot="1" x14ac:dyDescent="0.25">
      <c r="A28" s="831" t="s">
        <v>482</v>
      </c>
      <c r="B28" s="832"/>
      <c r="C28" s="833"/>
      <c r="D28" s="834" t="s">
        <v>271</v>
      </c>
    </row>
    <row r="29" spans="1:4" ht="27.75" customHeight="1" thickBot="1" x14ac:dyDescent="0.25">
      <c r="A29" s="835" t="s">
        <v>275</v>
      </c>
      <c r="B29" s="836"/>
      <c r="C29" s="837"/>
      <c r="D29" s="834"/>
    </row>
    <row r="30" spans="1:4" ht="24" x14ac:dyDescent="0.2">
      <c r="A30" s="38" t="s">
        <v>64</v>
      </c>
      <c r="B30" s="104" t="s">
        <v>276</v>
      </c>
      <c r="C30" s="39" t="s">
        <v>453</v>
      </c>
      <c r="D30" s="40" t="s">
        <v>279</v>
      </c>
    </row>
    <row r="31" spans="1:4" x14ac:dyDescent="0.2">
      <c r="A31" s="41">
        <v>1</v>
      </c>
      <c r="B31" s="103" t="s">
        <v>484</v>
      </c>
      <c r="C31" s="108">
        <f>(Dados!G42+Dados!G44)*2</f>
        <v>23.2</v>
      </c>
      <c r="D31" s="110">
        <f>C31</f>
        <v>23.2</v>
      </c>
    </row>
    <row r="32" spans="1:4" x14ac:dyDescent="0.2">
      <c r="A32" s="838" t="s">
        <v>454</v>
      </c>
      <c r="B32" s="839"/>
      <c r="C32" s="840"/>
      <c r="D32" s="50">
        <f>D31</f>
        <v>23.2</v>
      </c>
    </row>
    <row r="33" spans="1:4" x14ac:dyDescent="0.2">
      <c r="A33" s="841" t="s">
        <v>294</v>
      </c>
      <c r="B33" s="842"/>
      <c r="C33" s="106" t="s">
        <v>295</v>
      </c>
      <c r="D33" s="107" t="s">
        <v>279</v>
      </c>
    </row>
    <row r="34" spans="1:4" x14ac:dyDescent="0.2">
      <c r="A34" s="44" t="s">
        <v>296</v>
      </c>
      <c r="B34" s="45"/>
      <c r="C34" s="43">
        <f>Dados!$G$53</f>
        <v>0.03</v>
      </c>
      <c r="D34" s="110">
        <f>ROUND(D32*C34,2)</f>
        <v>0.7</v>
      </c>
    </row>
    <row r="35" spans="1:4" x14ac:dyDescent="0.2">
      <c r="A35" s="46" t="s">
        <v>297</v>
      </c>
      <c r="B35" s="46"/>
      <c r="C35" s="43"/>
      <c r="D35" s="110">
        <f>D32+D34</f>
        <v>23.9</v>
      </c>
    </row>
    <row r="36" spans="1:4" x14ac:dyDescent="0.2">
      <c r="A36" s="44" t="s">
        <v>125</v>
      </c>
      <c r="B36" s="45"/>
      <c r="C36" s="43">
        <f>Dados!$G$54</f>
        <v>6.7900000000000002E-2</v>
      </c>
      <c r="D36" s="110">
        <f>ROUND((D35*C36),2)</f>
        <v>1.62</v>
      </c>
    </row>
    <row r="37" spans="1:4" x14ac:dyDescent="0.2">
      <c r="A37" s="47" t="s">
        <v>455</v>
      </c>
      <c r="B37" s="48"/>
      <c r="C37" s="49">
        <f>SUM(C34:C36)</f>
        <v>9.7900000000000001E-2</v>
      </c>
      <c r="D37" s="50">
        <f>D34+D36</f>
        <v>2.3200000000000003</v>
      </c>
    </row>
    <row r="38" spans="1:4" x14ac:dyDescent="0.2">
      <c r="A38" s="843" t="s">
        <v>292</v>
      </c>
      <c r="B38" s="844"/>
      <c r="C38" s="845"/>
      <c r="D38" s="50">
        <f>D32+D37</f>
        <v>25.52</v>
      </c>
    </row>
    <row r="39" spans="1:4" x14ac:dyDescent="0.2">
      <c r="A39" s="846" t="s">
        <v>300</v>
      </c>
      <c r="B39" s="847"/>
      <c r="C39" s="848"/>
      <c r="D39" s="105"/>
    </row>
    <row r="40" spans="1:4" x14ac:dyDescent="0.2">
      <c r="A40" s="44" t="s">
        <v>130</v>
      </c>
      <c r="B40" s="45"/>
      <c r="C40" s="43">
        <f>Dados!$G$61</f>
        <v>7.5999999999999998E-2</v>
      </c>
      <c r="D40" s="110">
        <f>ROUND((D45*C40),2)</f>
        <v>2.2599999999999998</v>
      </c>
    </row>
    <row r="41" spans="1:4" x14ac:dyDescent="0.2">
      <c r="A41" s="44" t="s">
        <v>131</v>
      </c>
      <c r="B41" s="45"/>
      <c r="C41" s="43">
        <f>Dados!$G$62</f>
        <v>1.6500000000000001E-2</v>
      </c>
      <c r="D41" s="110">
        <f>ROUND((D45*C41),2)</f>
        <v>0.49</v>
      </c>
    </row>
    <row r="42" spans="1:4" x14ac:dyDescent="0.2">
      <c r="A42" s="44" t="s">
        <v>132</v>
      </c>
      <c r="B42" s="45"/>
      <c r="C42" s="43">
        <f>Dados!$G$63</f>
        <v>0.05</v>
      </c>
      <c r="D42" s="110">
        <f>ROUND((D45*C42),2)</f>
        <v>1.49</v>
      </c>
    </row>
    <row r="43" spans="1:4" x14ac:dyDescent="0.2">
      <c r="A43" s="44" t="str">
        <f>Dados!B64</f>
        <v>Outros (inserir somente com a justificativa legal) - Exemplo - CPRB</v>
      </c>
      <c r="B43" s="45"/>
      <c r="C43" s="43">
        <f>Dados!G64</f>
        <v>0</v>
      </c>
      <c r="D43" s="110">
        <f>ROUND((D45*C43),2)</f>
        <v>0</v>
      </c>
    </row>
    <row r="44" spans="1:4" x14ac:dyDescent="0.2">
      <c r="A44" s="111" t="s">
        <v>456</v>
      </c>
      <c r="B44" s="109"/>
      <c r="C44" s="49">
        <f>SUM(C40:C43)</f>
        <v>0.14250000000000002</v>
      </c>
      <c r="D44" s="42">
        <f>SUM(D40:D43)</f>
        <v>4.24</v>
      </c>
    </row>
    <row r="45" spans="1:4" x14ac:dyDescent="0.2">
      <c r="A45" s="849" t="str">
        <f>A28</f>
        <v>VALE TRANSPORTE - SERVIÇO EXTRAORDINÁRIO</v>
      </c>
      <c r="B45" s="850"/>
      <c r="C45" s="850"/>
      <c r="D45" s="42">
        <f>ROUND(D38/(1-C44),2)</f>
        <v>29.76</v>
      </c>
    </row>
    <row r="46" spans="1:4" ht="18" thickBot="1" x14ac:dyDescent="0.25">
      <c r="A46" s="851" t="str">
        <f>B31</f>
        <v>V.T</v>
      </c>
      <c r="B46" s="852"/>
      <c r="C46" s="852"/>
      <c r="D46" s="112">
        <f>D45</f>
        <v>29.76</v>
      </c>
    </row>
  </sheetData>
  <sheetProtection algorithmName="SHA-512" hashValue="gz+BLg+uJppxdLqDBmAfDGtdfwPlwFOD9X6xAGbkq5p+N+e1+AkZnQvVT1DmuWFSX6MaTlLNyUULlHFQphN7yA==" saltValue="Nk/93UnEcXF6VH7EKH+Xpw==" spinCount="100000" sheet="1" objects="1" scenarios="1"/>
  <mergeCells count="22">
    <mergeCell ref="A26:D26"/>
    <mergeCell ref="A4:D4"/>
    <mergeCell ref="A5:D5"/>
    <mergeCell ref="A6:C6"/>
    <mergeCell ref="D6:D7"/>
    <mergeCell ref="A7:C7"/>
    <mergeCell ref="A10:C10"/>
    <mergeCell ref="A11:B11"/>
    <mergeCell ref="A16:C16"/>
    <mergeCell ref="A17:C17"/>
    <mergeCell ref="A23:C23"/>
    <mergeCell ref="A24:C24"/>
    <mergeCell ref="A38:C38"/>
    <mergeCell ref="A39:C39"/>
    <mergeCell ref="A45:C45"/>
    <mergeCell ref="A46:C46"/>
    <mergeCell ref="A27:D27"/>
    <mergeCell ref="A28:C28"/>
    <mergeCell ref="D28:D29"/>
    <mergeCell ref="A29:C29"/>
    <mergeCell ref="A32:C32"/>
    <mergeCell ref="A33:B33"/>
  </mergeCells>
  <pageMargins left="0.39370078740157483" right="0" top="0.39370078740157483" bottom="0" header="0.51181102362204722" footer="0.51181102362204722"/>
  <pageSetup paperSize="9" orientation="portrait" horizontalDpi="300" verticalDpi="300" r:id="rId1"/>
  <rowBreaks count="1" manualBreakCount="1">
    <brk id="24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J19"/>
  <sheetViews>
    <sheetView showGridLines="0" zoomScale="90" zoomScaleNormal="90" workbookViewId="0"/>
  </sheetViews>
  <sheetFormatPr defaultColWidth="9.33203125" defaultRowHeight="12.75" x14ac:dyDescent="0.2"/>
  <cols>
    <col min="1" max="1" width="1.6640625" style="101" customWidth="1"/>
    <col min="2" max="2" width="8.5" style="101" customWidth="1"/>
    <col min="3" max="3" width="5.1640625" style="101" customWidth="1"/>
    <col min="4" max="4" width="8.83203125" style="101" customWidth="1"/>
    <col min="5" max="5" width="6.33203125" style="101" customWidth="1"/>
    <col min="6" max="6" width="9.6640625" style="101" customWidth="1"/>
    <col min="7" max="7" width="8.6640625" style="101" customWidth="1"/>
    <col min="8" max="8" width="3.83203125" style="101" customWidth="1"/>
    <col min="9" max="9" width="8.5" style="101" customWidth="1"/>
    <col min="10" max="10" width="5.1640625" style="101" customWidth="1"/>
    <col min="11" max="11" width="8.83203125" style="101" customWidth="1"/>
    <col min="12" max="12" width="6.33203125" style="101" customWidth="1"/>
    <col min="13" max="13" width="9.6640625" style="101" customWidth="1"/>
    <col min="14" max="14" width="8.6640625" style="101" customWidth="1"/>
    <col min="15" max="15" width="3.5" style="101" customWidth="1"/>
    <col min="16" max="16" width="8.5" style="101" customWidth="1"/>
    <col min="17" max="17" width="5.1640625" style="101" customWidth="1"/>
    <col min="18" max="18" width="8.83203125" style="101" customWidth="1"/>
    <col min="19" max="19" width="6.33203125" style="101" customWidth="1"/>
    <col min="20" max="20" width="9.6640625" style="101" customWidth="1"/>
    <col min="21" max="21" width="8.6640625" style="101" customWidth="1"/>
    <col min="22" max="22" width="3.5" style="101" customWidth="1"/>
    <col min="23" max="23" width="8.5" style="101" customWidth="1"/>
    <col min="24" max="24" width="5.1640625" style="101" customWidth="1"/>
    <col min="25" max="25" width="8.83203125" style="101" customWidth="1"/>
    <col min="26" max="26" width="6.33203125" style="101" customWidth="1"/>
    <col min="27" max="27" width="9.6640625" style="101" customWidth="1"/>
    <col min="28" max="28" width="8.6640625" style="101" customWidth="1"/>
    <col min="29" max="29" width="3.5" style="101" customWidth="1"/>
    <col min="30" max="30" width="8.5" style="101" customWidth="1"/>
    <col min="31" max="31" width="5.1640625" style="101" customWidth="1"/>
    <col min="32" max="256" width="9.33203125" style="101"/>
    <col min="257" max="257" width="1.6640625" style="101" customWidth="1"/>
    <col min="258" max="258" width="8.5" style="101" customWidth="1"/>
    <col min="259" max="259" width="5.1640625" style="101" customWidth="1"/>
    <col min="260" max="260" width="8.83203125" style="101" customWidth="1"/>
    <col min="261" max="261" width="6.33203125" style="101" customWidth="1"/>
    <col min="262" max="262" width="9.6640625" style="101" customWidth="1"/>
    <col min="263" max="263" width="8.6640625" style="101" customWidth="1"/>
    <col min="264" max="264" width="3.83203125" style="101" customWidth="1"/>
    <col min="265" max="265" width="8.5" style="101" customWidth="1"/>
    <col min="266" max="266" width="5.1640625" style="101" customWidth="1"/>
    <col min="267" max="267" width="8.83203125" style="101" customWidth="1"/>
    <col min="268" max="268" width="6.33203125" style="101" customWidth="1"/>
    <col min="269" max="269" width="9.6640625" style="101" customWidth="1"/>
    <col min="270" max="270" width="8.6640625" style="101" customWidth="1"/>
    <col min="271" max="271" width="3.5" style="101" customWidth="1"/>
    <col min="272" max="272" width="8.5" style="101" customWidth="1"/>
    <col min="273" max="273" width="5.1640625" style="101" customWidth="1"/>
    <col min="274" max="274" width="8.83203125" style="101" customWidth="1"/>
    <col min="275" max="275" width="6.33203125" style="101" customWidth="1"/>
    <col min="276" max="276" width="9.6640625" style="101" customWidth="1"/>
    <col min="277" max="277" width="8.6640625" style="101" customWidth="1"/>
    <col min="278" max="278" width="3.5" style="101" customWidth="1"/>
    <col min="279" max="279" width="8.5" style="101" customWidth="1"/>
    <col min="280" max="280" width="5.1640625" style="101" customWidth="1"/>
    <col min="281" max="281" width="8.83203125" style="101" customWidth="1"/>
    <col min="282" max="282" width="6.33203125" style="101" customWidth="1"/>
    <col min="283" max="283" width="9.6640625" style="101" customWidth="1"/>
    <col min="284" max="284" width="8.6640625" style="101" customWidth="1"/>
    <col min="285" max="285" width="3.5" style="101" customWidth="1"/>
    <col min="286" max="286" width="8.5" style="101" customWidth="1"/>
    <col min="287" max="287" width="5.1640625" style="101" customWidth="1"/>
    <col min="288" max="512" width="9.33203125" style="101"/>
    <col min="513" max="513" width="1.6640625" style="101" customWidth="1"/>
    <col min="514" max="514" width="8.5" style="101" customWidth="1"/>
    <col min="515" max="515" width="5.1640625" style="101" customWidth="1"/>
    <col min="516" max="516" width="8.83203125" style="101" customWidth="1"/>
    <col min="517" max="517" width="6.33203125" style="101" customWidth="1"/>
    <col min="518" max="518" width="9.6640625" style="101" customWidth="1"/>
    <col min="519" max="519" width="8.6640625" style="101" customWidth="1"/>
    <col min="520" max="520" width="3.83203125" style="101" customWidth="1"/>
    <col min="521" max="521" width="8.5" style="101" customWidth="1"/>
    <col min="522" max="522" width="5.1640625" style="101" customWidth="1"/>
    <col min="523" max="523" width="8.83203125" style="101" customWidth="1"/>
    <col min="524" max="524" width="6.33203125" style="101" customWidth="1"/>
    <col min="525" max="525" width="9.6640625" style="101" customWidth="1"/>
    <col min="526" max="526" width="8.6640625" style="101" customWidth="1"/>
    <col min="527" max="527" width="3.5" style="101" customWidth="1"/>
    <col min="528" max="528" width="8.5" style="101" customWidth="1"/>
    <col min="529" max="529" width="5.1640625" style="101" customWidth="1"/>
    <col min="530" max="530" width="8.83203125" style="101" customWidth="1"/>
    <col min="531" max="531" width="6.33203125" style="101" customWidth="1"/>
    <col min="532" max="532" width="9.6640625" style="101" customWidth="1"/>
    <col min="533" max="533" width="8.6640625" style="101" customWidth="1"/>
    <col min="534" max="534" width="3.5" style="101" customWidth="1"/>
    <col min="535" max="535" width="8.5" style="101" customWidth="1"/>
    <col min="536" max="536" width="5.1640625" style="101" customWidth="1"/>
    <col min="537" max="537" width="8.83203125" style="101" customWidth="1"/>
    <col min="538" max="538" width="6.33203125" style="101" customWidth="1"/>
    <col min="539" max="539" width="9.6640625" style="101" customWidth="1"/>
    <col min="540" max="540" width="8.6640625" style="101" customWidth="1"/>
    <col min="541" max="541" width="3.5" style="101" customWidth="1"/>
    <col min="542" max="542" width="8.5" style="101" customWidth="1"/>
    <col min="543" max="543" width="5.1640625" style="101" customWidth="1"/>
    <col min="544" max="768" width="9.33203125" style="101"/>
    <col min="769" max="769" width="1.6640625" style="101" customWidth="1"/>
    <col min="770" max="770" width="8.5" style="101" customWidth="1"/>
    <col min="771" max="771" width="5.1640625" style="101" customWidth="1"/>
    <col min="772" max="772" width="8.83203125" style="101" customWidth="1"/>
    <col min="773" max="773" width="6.33203125" style="101" customWidth="1"/>
    <col min="774" max="774" width="9.6640625" style="101" customWidth="1"/>
    <col min="775" max="775" width="8.6640625" style="101" customWidth="1"/>
    <col min="776" max="776" width="3.83203125" style="101" customWidth="1"/>
    <col min="777" max="777" width="8.5" style="101" customWidth="1"/>
    <col min="778" max="778" width="5.1640625" style="101" customWidth="1"/>
    <col min="779" max="779" width="8.83203125" style="101" customWidth="1"/>
    <col min="780" max="780" width="6.33203125" style="101" customWidth="1"/>
    <col min="781" max="781" width="9.6640625" style="101" customWidth="1"/>
    <col min="782" max="782" width="8.6640625" style="101" customWidth="1"/>
    <col min="783" max="783" width="3.5" style="101" customWidth="1"/>
    <col min="784" max="784" width="8.5" style="101" customWidth="1"/>
    <col min="785" max="785" width="5.1640625" style="101" customWidth="1"/>
    <col min="786" max="786" width="8.83203125" style="101" customWidth="1"/>
    <col min="787" max="787" width="6.33203125" style="101" customWidth="1"/>
    <col min="788" max="788" width="9.6640625" style="101" customWidth="1"/>
    <col min="789" max="789" width="8.6640625" style="101" customWidth="1"/>
    <col min="790" max="790" width="3.5" style="101" customWidth="1"/>
    <col min="791" max="791" width="8.5" style="101" customWidth="1"/>
    <col min="792" max="792" width="5.1640625" style="101" customWidth="1"/>
    <col min="793" max="793" width="8.83203125" style="101" customWidth="1"/>
    <col min="794" max="794" width="6.33203125" style="101" customWidth="1"/>
    <col min="795" max="795" width="9.6640625" style="101" customWidth="1"/>
    <col min="796" max="796" width="8.6640625" style="101" customWidth="1"/>
    <col min="797" max="797" width="3.5" style="101" customWidth="1"/>
    <col min="798" max="798" width="8.5" style="101" customWidth="1"/>
    <col min="799" max="799" width="5.1640625" style="101" customWidth="1"/>
    <col min="800" max="1024" width="9.33203125" style="101"/>
  </cols>
  <sheetData>
    <row r="1" spans="2:35" ht="7.5" customHeight="1" x14ac:dyDescent="0.2"/>
    <row r="2" spans="2:35" ht="15.75" customHeight="1" x14ac:dyDescent="0.2">
      <c r="B2" s="853" t="s">
        <v>142</v>
      </c>
      <c r="C2" s="853"/>
      <c r="D2" s="853"/>
      <c r="E2" s="853"/>
      <c r="F2" s="853"/>
      <c r="G2" s="853"/>
      <c r="H2" s="143"/>
      <c r="I2" s="853" t="s">
        <v>143</v>
      </c>
      <c r="J2" s="853"/>
      <c r="K2" s="853"/>
      <c r="L2" s="853"/>
      <c r="M2" s="853"/>
      <c r="N2" s="853"/>
      <c r="O2" s="143"/>
      <c r="P2" s="853" t="s">
        <v>144</v>
      </c>
      <c r="Q2" s="853"/>
      <c r="R2" s="853"/>
      <c r="S2" s="853"/>
      <c r="T2" s="853"/>
      <c r="U2" s="853"/>
      <c r="V2" s="143"/>
      <c r="W2" s="853" t="s">
        <v>145</v>
      </c>
      <c r="X2" s="853"/>
      <c r="Y2" s="853"/>
      <c r="Z2" s="853"/>
      <c r="AA2" s="853"/>
      <c r="AB2" s="853"/>
      <c r="AC2" s="143"/>
      <c r="AD2" s="853" t="s">
        <v>146</v>
      </c>
      <c r="AE2" s="853"/>
      <c r="AF2" s="853"/>
      <c r="AG2" s="853"/>
      <c r="AH2" s="853"/>
      <c r="AI2" s="853"/>
    </row>
    <row r="3" spans="2:35" x14ac:dyDescent="0.2">
      <c r="B3" s="509" t="s">
        <v>397</v>
      </c>
      <c r="C3" s="854"/>
      <c r="D3" s="854"/>
      <c r="E3" s="854"/>
      <c r="F3" s="854"/>
      <c r="G3" s="854"/>
      <c r="H3" s="143"/>
      <c r="I3" s="509" t="s">
        <v>397</v>
      </c>
      <c r="J3" s="854"/>
      <c r="K3" s="854"/>
      <c r="L3" s="854"/>
      <c r="M3" s="854"/>
      <c r="N3" s="854"/>
      <c r="O3" s="143"/>
      <c r="P3" s="509" t="s">
        <v>397</v>
      </c>
      <c r="Q3" s="854"/>
      <c r="R3" s="854"/>
      <c r="S3" s="854"/>
      <c r="T3" s="854"/>
      <c r="U3" s="854"/>
      <c r="V3" s="143"/>
      <c r="W3" s="509" t="s">
        <v>397</v>
      </c>
      <c r="X3" s="854"/>
      <c r="Y3" s="854"/>
      <c r="Z3" s="854"/>
      <c r="AA3" s="854"/>
      <c r="AB3" s="854"/>
      <c r="AC3" s="143"/>
      <c r="AD3" s="509" t="s">
        <v>397</v>
      </c>
      <c r="AE3" s="854"/>
      <c r="AF3" s="854"/>
      <c r="AG3" s="854"/>
      <c r="AH3" s="854"/>
      <c r="AI3" s="854"/>
    </row>
    <row r="4" spans="2:35" ht="28.5" customHeight="1" x14ac:dyDescent="0.2">
      <c r="B4" s="855" t="s">
        <v>398</v>
      </c>
      <c r="C4" s="855"/>
      <c r="D4" s="510" t="s">
        <v>399</v>
      </c>
      <c r="E4" s="510" t="s">
        <v>400</v>
      </c>
      <c r="F4" s="510" t="s">
        <v>401</v>
      </c>
      <c r="G4" s="510" t="s">
        <v>402</v>
      </c>
      <c r="H4" s="143"/>
      <c r="I4" s="855" t="s">
        <v>398</v>
      </c>
      <c r="J4" s="855"/>
      <c r="K4" s="510" t="s">
        <v>399</v>
      </c>
      <c r="L4" s="510" t="s">
        <v>400</v>
      </c>
      <c r="M4" s="510" t="s">
        <v>401</v>
      </c>
      <c r="N4" s="510" t="s">
        <v>402</v>
      </c>
      <c r="O4" s="143"/>
      <c r="P4" s="855" t="s">
        <v>398</v>
      </c>
      <c r="Q4" s="855"/>
      <c r="R4" s="510" t="s">
        <v>399</v>
      </c>
      <c r="S4" s="510" t="s">
        <v>400</v>
      </c>
      <c r="T4" s="510" t="s">
        <v>401</v>
      </c>
      <c r="U4" s="510" t="s">
        <v>402</v>
      </c>
      <c r="V4" s="143"/>
      <c r="W4" s="855" t="s">
        <v>398</v>
      </c>
      <c r="X4" s="855"/>
      <c r="Y4" s="510" t="s">
        <v>399</v>
      </c>
      <c r="Z4" s="510" t="s">
        <v>400</v>
      </c>
      <c r="AA4" s="510" t="s">
        <v>401</v>
      </c>
      <c r="AB4" s="510" t="s">
        <v>402</v>
      </c>
      <c r="AC4" s="143"/>
      <c r="AD4" s="855" t="s">
        <v>398</v>
      </c>
      <c r="AE4" s="855"/>
      <c r="AF4" s="510" t="s">
        <v>399</v>
      </c>
      <c r="AG4" s="510" t="s">
        <v>400</v>
      </c>
      <c r="AH4" s="510" t="s">
        <v>401</v>
      </c>
      <c r="AI4" s="510" t="s">
        <v>402</v>
      </c>
    </row>
    <row r="5" spans="2:35" ht="15" x14ac:dyDescent="0.2">
      <c r="B5" s="511" t="s">
        <v>403</v>
      </c>
      <c r="C5" s="511" t="s">
        <v>404</v>
      </c>
      <c r="D5" s="511" t="s">
        <v>405</v>
      </c>
      <c r="E5" s="511"/>
      <c r="F5" s="511" t="s">
        <v>406</v>
      </c>
      <c r="G5" s="512">
        <v>100</v>
      </c>
      <c r="H5" s="143"/>
      <c r="I5" s="511" t="s">
        <v>403</v>
      </c>
      <c r="J5" s="511" t="s">
        <v>404</v>
      </c>
      <c r="K5" s="511" t="s">
        <v>405</v>
      </c>
      <c r="L5" s="511"/>
      <c r="M5" s="511" t="s">
        <v>406</v>
      </c>
      <c r="N5" s="512">
        <v>100</v>
      </c>
      <c r="O5" s="143"/>
      <c r="P5" s="511" t="s">
        <v>403</v>
      </c>
      <c r="Q5" s="511" t="s">
        <v>404</v>
      </c>
      <c r="R5" s="511" t="s">
        <v>405</v>
      </c>
      <c r="S5" s="511"/>
      <c r="T5" s="511" t="s">
        <v>406</v>
      </c>
      <c r="U5" s="512">
        <v>100</v>
      </c>
      <c r="V5" s="143"/>
      <c r="W5" s="511" t="s">
        <v>403</v>
      </c>
      <c r="X5" s="511" t="s">
        <v>404</v>
      </c>
      <c r="Y5" s="511" t="s">
        <v>405</v>
      </c>
      <c r="Z5" s="511"/>
      <c r="AA5" s="511" t="s">
        <v>406</v>
      </c>
      <c r="AB5" s="512">
        <v>100</v>
      </c>
      <c r="AC5" s="143"/>
      <c r="AD5" s="511" t="s">
        <v>403</v>
      </c>
      <c r="AE5" s="511" t="s">
        <v>404</v>
      </c>
      <c r="AF5" s="511" t="s">
        <v>405</v>
      </c>
      <c r="AG5" s="511"/>
      <c r="AH5" s="511" t="s">
        <v>406</v>
      </c>
      <c r="AI5" s="512">
        <v>100</v>
      </c>
    </row>
    <row r="6" spans="2:35" ht="16.5" customHeight="1" x14ac:dyDescent="0.25">
      <c r="B6" s="511">
        <v>2025</v>
      </c>
      <c r="C6" s="513" t="s">
        <v>407</v>
      </c>
      <c r="D6" s="514"/>
      <c r="E6" s="515">
        <v>25</v>
      </c>
      <c r="F6" s="514">
        <f>D6/30*E6</f>
        <v>0</v>
      </c>
      <c r="G6" s="516">
        <f t="shared" ref="G6:G18" si="0">(G5*F6)+G5</f>
        <v>100</v>
      </c>
      <c r="H6" s="143"/>
      <c r="I6" s="511">
        <f t="shared" ref="I6:I18" si="1">B6+1</f>
        <v>2026</v>
      </c>
      <c r="J6" s="513" t="str">
        <f t="shared" ref="J6:J18" si="2">C6</f>
        <v>AGO</v>
      </c>
      <c r="K6" s="514"/>
      <c r="L6" s="515">
        <f>$E$6</f>
        <v>25</v>
      </c>
      <c r="M6" s="514">
        <f>K6/30*L6</f>
        <v>0</v>
      </c>
      <c r="N6" s="516">
        <f t="shared" ref="N6:N18" si="3">(N5*M6)+N5</f>
        <v>100</v>
      </c>
      <c r="O6" s="143"/>
      <c r="P6" s="511">
        <f t="shared" ref="P6:P18" si="4">I6+1</f>
        <v>2027</v>
      </c>
      <c r="Q6" s="513" t="s">
        <v>407</v>
      </c>
      <c r="R6" s="514"/>
      <c r="S6" s="515">
        <f>$E$6</f>
        <v>25</v>
      </c>
      <c r="T6" s="514">
        <f>R6/30*S6</f>
        <v>0</v>
      </c>
      <c r="U6" s="516">
        <f t="shared" ref="U6:U18" si="5">(U5*T6)+U5</f>
        <v>100</v>
      </c>
      <c r="V6" s="143"/>
      <c r="W6" s="511">
        <f t="shared" ref="W6:W18" si="6">P6+1</f>
        <v>2028</v>
      </c>
      <c r="X6" s="513" t="s">
        <v>407</v>
      </c>
      <c r="Y6" s="514"/>
      <c r="Z6" s="515">
        <f>$E$6</f>
        <v>25</v>
      </c>
      <c r="AA6" s="514">
        <f>Y6/30*Z6</f>
        <v>0</v>
      </c>
      <c r="AB6" s="516">
        <f t="shared" ref="AB6:AB18" si="7">(AB5*AA6)+AB5</f>
        <v>100</v>
      </c>
      <c r="AC6" s="143"/>
      <c r="AD6" s="511">
        <f t="shared" ref="AD6:AD18" si="8">W6+1</f>
        <v>2029</v>
      </c>
      <c r="AE6" s="513" t="s">
        <v>407</v>
      </c>
      <c r="AF6" s="514"/>
      <c r="AG6" s="515">
        <f>$E$6</f>
        <v>25</v>
      </c>
      <c r="AH6" s="514">
        <f>AF6/30*AG6</f>
        <v>0</v>
      </c>
      <c r="AI6" s="516">
        <f t="shared" ref="AI6:AI18" si="9">(AI5*AH6)+AI5</f>
        <v>100</v>
      </c>
    </row>
    <row r="7" spans="2:35" ht="15" x14ac:dyDescent="0.25">
      <c r="B7" s="511">
        <v>2025</v>
      </c>
      <c r="C7" s="513" t="s">
        <v>408</v>
      </c>
      <c r="D7" s="514"/>
      <c r="E7" s="515"/>
      <c r="F7" s="514">
        <f t="shared" ref="F7:F17" si="10">D7</f>
        <v>0</v>
      </c>
      <c r="G7" s="516">
        <f t="shared" si="0"/>
        <v>100</v>
      </c>
      <c r="H7" s="143"/>
      <c r="I7" s="511">
        <f t="shared" si="1"/>
        <v>2026</v>
      </c>
      <c r="J7" s="513" t="str">
        <f t="shared" si="2"/>
        <v>SET</v>
      </c>
      <c r="K7" s="514"/>
      <c r="L7" s="515"/>
      <c r="M7" s="514">
        <f t="shared" ref="M7:M17" si="11">K7</f>
        <v>0</v>
      </c>
      <c r="N7" s="516">
        <f t="shared" si="3"/>
        <v>100</v>
      </c>
      <c r="O7" s="143"/>
      <c r="P7" s="511">
        <f t="shared" si="4"/>
        <v>2027</v>
      </c>
      <c r="Q7" s="513" t="s">
        <v>408</v>
      </c>
      <c r="R7" s="514"/>
      <c r="S7" s="515"/>
      <c r="T7" s="514">
        <f t="shared" ref="T7:T17" si="12">R7</f>
        <v>0</v>
      </c>
      <c r="U7" s="516">
        <f t="shared" si="5"/>
        <v>100</v>
      </c>
      <c r="V7" s="143"/>
      <c r="W7" s="511">
        <f t="shared" si="6"/>
        <v>2028</v>
      </c>
      <c r="X7" s="513" t="s">
        <v>408</v>
      </c>
      <c r="Y7" s="514"/>
      <c r="Z7" s="515"/>
      <c r="AA7" s="514">
        <f t="shared" ref="AA7:AA17" si="13">Y7</f>
        <v>0</v>
      </c>
      <c r="AB7" s="516">
        <f t="shared" si="7"/>
        <v>100</v>
      </c>
      <c r="AC7" s="143"/>
      <c r="AD7" s="511">
        <f t="shared" si="8"/>
        <v>2029</v>
      </c>
      <c r="AE7" s="513" t="s">
        <v>408</v>
      </c>
      <c r="AF7" s="514"/>
      <c r="AG7" s="515"/>
      <c r="AH7" s="514">
        <f t="shared" ref="AH7:AH17" si="14">AF7</f>
        <v>0</v>
      </c>
      <c r="AI7" s="516">
        <f t="shared" si="9"/>
        <v>100</v>
      </c>
    </row>
    <row r="8" spans="2:35" ht="15" x14ac:dyDescent="0.25">
      <c r="B8" s="511">
        <v>2025</v>
      </c>
      <c r="C8" s="513" t="s">
        <v>409</v>
      </c>
      <c r="D8" s="514"/>
      <c r="E8" s="515"/>
      <c r="F8" s="514">
        <f t="shared" si="10"/>
        <v>0</v>
      </c>
      <c r="G8" s="516">
        <f t="shared" si="0"/>
        <v>100</v>
      </c>
      <c r="H8" s="143"/>
      <c r="I8" s="511">
        <f t="shared" si="1"/>
        <v>2026</v>
      </c>
      <c r="J8" s="513" t="str">
        <f t="shared" si="2"/>
        <v>OUT</v>
      </c>
      <c r="K8" s="514"/>
      <c r="L8" s="515"/>
      <c r="M8" s="514">
        <f t="shared" si="11"/>
        <v>0</v>
      </c>
      <c r="N8" s="516">
        <f t="shared" si="3"/>
        <v>100</v>
      </c>
      <c r="O8" s="143"/>
      <c r="P8" s="511">
        <f t="shared" si="4"/>
        <v>2027</v>
      </c>
      <c r="Q8" s="513" t="s">
        <v>409</v>
      </c>
      <c r="R8" s="514"/>
      <c r="S8" s="515"/>
      <c r="T8" s="514">
        <f t="shared" si="12"/>
        <v>0</v>
      </c>
      <c r="U8" s="516">
        <f t="shared" si="5"/>
        <v>100</v>
      </c>
      <c r="V8" s="143"/>
      <c r="W8" s="511">
        <f t="shared" si="6"/>
        <v>2028</v>
      </c>
      <c r="X8" s="513" t="s">
        <v>409</v>
      </c>
      <c r="Y8" s="514"/>
      <c r="Z8" s="515"/>
      <c r="AA8" s="514">
        <f t="shared" si="13"/>
        <v>0</v>
      </c>
      <c r="AB8" s="516">
        <f t="shared" si="7"/>
        <v>100</v>
      </c>
      <c r="AC8" s="143"/>
      <c r="AD8" s="511">
        <f t="shared" si="8"/>
        <v>2029</v>
      </c>
      <c r="AE8" s="513" t="s">
        <v>409</v>
      </c>
      <c r="AF8" s="514"/>
      <c r="AG8" s="515"/>
      <c r="AH8" s="514">
        <f t="shared" si="14"/>
        <v>0</v>
      </c>
      <c r="AI8" s="516">
        <f t="shared" si="9"/>
        <v>100</v>
      </c>
    </row>
    <row r="9" spans="2:35" ht="15" x14ac:dyDescent="0.25">
      <c r="B9" s="511">
        <v>2025</v>
      </c>
      <c r="C9" s="513" t="s">
        <v>410</v>
      </c>
      <c r="D9" s="514"/>
      <c r="E9" s="515"/>
      <c r="F9" s="514">
        <f t="shared" si="10"/>
        <v>0</v>
      </c>
      <c r="G9" s="516">
        <f t="shared" si="0"/>
        <v>100</v>
      </c>
      <c r="H9" s="143"/>
      <c r="I9" s="511">
        <f t="shared" si="1"/>
        <v>2026</v>
      </c>
      <c r="J9" s="513" t="str">
        <f t="shared" si="2"/>
        <v>NOV</v>
      </c>
      <c r="K9" s="514"/>
      <c r="L9" s="515"/>
      <c r="M9" s="514">
        <f t="shared" si="11"/>
        <v>0</v>
      </c>
      <c r="N9" s="516">
        <f t="shared" si="3"/>
        <v>100</v>
      </c>
      <c r="O9" s="143"/>
      <c r="P9" s="511">
        <f t="shared" si="4"/>
        <v>2027</v>
      </c>
      <c r="Q9" s="513" t="s">
        <v>410</v>
      </c>
      <c r="R9" s="514"/>
      <c r="S9" s="515"/>
      <c r="T9" s="514">
        <f t="shared" si="12"/>
        <v>0</v>
      </c>
      <c r="U9" s="516">
        <f t="shared" si="5"/>
        <v>100</v>
      </c>
      <c r="V9" s="143"/>
      <c r="W9" s="511">
        <f t="shared" si="6"/>
        <v>2028</v>
      </c>
      <c r="X9" s="513" t="s">
        <v>410</v>
      </c>
      <c r="Y9" s="514"/>
      <c r="Z9" s="515"/>
      <c r="AA9" s="514">
        <f t="shared" si="13"/>
        <v>0</v>
      </c>
      <c r="AB9" s="516">
        <f t="shared" si="7"/>
        <v>100</v>
      </c>
      <c r="AC9" s="143"/>
      <c r="AD9" s="511">
        <f t="shared" si="8"/>
        <v>2029</v>
      </c>
      <c r="AE9" s="513" t="s">
        <v>410</v>
      </c>
      <c r="AF9" s="514"/>
      <c r="AG9" s="515"/>
      <c r="AH9" s="514">
        <f t="shared" si="14"/>
        <v>0</v>
      </c>
      <c r="AI9" s="516">
        <f t="shared" si="9"/>
        <v>100</v>
      </c>
    </row>
    <row r="10" spans="2:35" ht="15" x14ac:dyDescent="0.25">
      <c r="B10" s="511">
        <v>2025</v>
      </c>
      <c r="C10" s="513" t="s">
        <v>411</v>
      </c>
      <c r="D10" s="514"/>
      <c r="E10" s="515"/>
      <c r="F10" s="514">
        <f t="shared" si="10"/>
        <v>0</v>
      </c>
      <c r="G10" s="516">
        <f t="shared" si="0"/>
        <v>100</v>
      </c>
      <c r="H10" s="143"/>
      <c r="I10" s="511">
        <f t="shared" si="1"/>
        <v>2026</v>
      </c>
      <c r="J10" s="513" t="str">
        <f t="shared" si="2"/>
        <v>DEZ</v>
      </c>
      <c r="K10" s="514"/>
      <c r="L10" s="515"/>
      <c r="M10" s="514">
        <f t="shared" si="11"/>
        <v>0</v>
      </c>
      <c r="N10" s="516">
        <f t="shared" si="3"/>
        <v>100</v>
      </c>
      <c r="O10" s="143"/>
      <c r="P10" s="511">
        <f t="shared" si="4"/>
        <v>2027</v>
      </c>
      <c r="Q10" s="513" t="s">
        <v>411</v>
      </c>
      <c r="R10" s="514"/>
      <c r="S10" s="515"/>
      <c r="T10" s="514">
        <f t="shared" si="12"/>
        <v>0</v>
      </c>
      <c r="U10" s="516">
        <f t="shared" si="5"/>
        <v>100</v>
      </c>
      <c r="V10" s="143"/>
      <c r="W10" s="511">
        <f t="shared" si="6"/>
        <v>2028</v>
      </c>
      <c r="X10" s="513" t="s">
        <v>411</v>
      </c>
      <c r="Y10" s="514"/>
      <c r="Z10" s="515"/>
      <c r="AA10" s="514">
        <f t="shared" si="13"/>
        <v>0</v>
      </c>
      <c r="AB10" s="516">
        <f t="shared" si="7"/>
        <v>100</v>
      </c>
      <c r="AC10" s="143"/>
      <c r="AD10" s="511">
        <f t="shared" si="8"/>
        <v>2029</v>
      </c>
      <c r="AE10" s="513" t="s">
        <v>411</v>
      </c>
      <c r="AF10" s="514"/>
      <c r="AG10" s="515"/>
      <c r="AH10" s="514">
        <f t="shared" si="14"/>
        <v>0</v>
      </c>
      <c r="AI10" s="516">
        <f t="shared" si="9"/>
        <v>100</v>
      </c>
    </row>
    <row r="11" spans="2:35" ht="15" x14ac:dyDescent="0.25">
      <c r="B11" s="511">
        <v>2025</v>
      </c>
      <c r="C11" s="513" t="s">
        <v>411</v>
      </c>
      <c r="D11" s="514"/>
      <c r="E11" s="515"/>
      <c r="F11" s="514">
        <f t="shared" si="10"/>
        <v>0</v>
      </c>
      <c r="G11" s="516">
        <f t="shared" si="0"/>
        <v>100</v>
      </c>
      <c r="H11" s="143"/>
      <c r="I11" s="511">
        <f t="shared" si="1"/>
        <v>2026</v>
      </c>
      <c r="J11" s="513" t="str">
        <f t="shared" si="2"/>
        <v>DEZ</v>
      </c>
      <c r="K11" s="514"/>
      <c r="L11" s="515"/>
      <c r="M11" s="514">
        <f t="shared" si="11"/>
        <v>0</v>
      </c>
      <c r="N11" s="516">
        <f t="shared" si="3"/>
        <v>100</v>
      </c>
      <c r="O11" s="143"/>
      <c r="P11" s="511">
        <f t="shared" si="4"/>
        <v>2027</v>
      </c>
      <c r="Q11" s="513" t="s">
        <v>411</v>
      </c>
      <c r="R11" s="514"/>
      <c r="S11" s="515"/>
      <c r="T11" s="514">
        <f t="shared" si="12"/>
        <v>0</v>
      </c>
      <c r="U11" s="516">
        <f t="shared" si="5"/>
        <v>100</v>
      </c>
      <c r="V11" s="143"/>
      <c r="W11" s="511">
        <f t="shared" si="6"/>
        <v>2028</v>
      </c>
      <c r="X11" s="513" t="s">
        <v>411</v>
      </c>
      <c r="Y11" s="514"/>
      <c r="Z11" s="515"/>
      <c r="AA11" s="514">
        <f t="shared" si="13"/>
        <v>0</v>
      </c>
      <c r="AB11" s="516">
        <f t="shared" si="7"/>
        <v>100</v>
      </c>
      <c r="AC11" s="143"/>
      <c r="AD11" s="511">
        <f t="shared" si="8"/>
        <v>2029</v>
      </c>
      <c r="AE11" s="513" t="s">
        <v>411</v>
      </c>
      <c r="AF11" s="514"/>
      <c r="AG11" s="515"/>
      <c r="AH11" s="514">
        <f t="shared" si="14"/>
        <v>0</v>
      </c>
      <c r="AI11" s="516">
        <f t="shared" si="9"/>
        <v>100</v>
      </c>
    </row>
    <row r="12" spans="2:35" ht="16.5" customHeight="1" x14ac:dyDescent="0.25">
      <c r="B12" s="511">
        <v>2025</v>
      </c>
      <c r="C12" s="517" t="s">
        <v>412</v>
      </c>
      <c r="D12" s="518"/>
      <c r="E12" s="519"/>
      <c r="F12" s="514">
        <f t="shared" si="10"/>
        <v>0</v>
      </c>
      <c r="G12" s="516">
        <f t="shared" si="0"/>
        <v>100</v>
      </c>
      <c r="H12" s="143"/>
      <c r="I12" s="511">
        <f t="shared" si="1"/>
        <v>2026</v>
      </c>
      <c r="J12" s="513" t="str">
        <f t="shared" si="2"/>
        <v>JAN</v>
      </c>
      <c r="K12" s="518"/>
      <c r="L12" s="515"/>
      <c r="M12" s="514">
        <f t="shared" si="11"/>
        <v>0</v>
      </c>
      <c r="N12" s="516">
        <f t="shared" si="3"/>
        <v>100</v>
      </c>
      <c r="O12" s="143"/>
      <c r="P12" s="511">
        <f t="shared" si="4"/>
        <v>2027</v>
      </c>
      <c r="Q12" s="517" t="s">
        <v>412</v>
      </c>
      <c r="R12" s="518"/>
      <c r="S12" s="519"/>
      <c r="T12" s="514">
        <f t="shared" si="12"/>
        <v>0</v>
      </c>
      <c r="U12" s="516">
        <f t="shared" si="5"/>
        <v>100</v>
      </c>
      <c r="V12" s="143"/>
      <c r="W12" s="511">
        <f t="shared" si="6"/>
        <v>2028</v>
      </c>
      <c r="X12" s="517" t="s">
        <v>412</v>
      </c>
      <c r="Y12" s="518"/>
      <c r="Z12" s="519"/>
      <c r="AA12" s="514">
        <f t="shared" si="13"/>
        <v>0</v>
      </c>
      <c r="AB12" s="516">
        <f t="shared" si="7"/>
        <v>100</v>
      </c>
      <c r="AC12" s="143"/>
      <c r="AD12" s="511">
        <f t="shared" si="8"/>
        <v>2029</v>
      </c>
      <c r="AE12" s="517" t="s">
        <v>412</v>
      </c>
      <c r="AF12" s="518"/>
      <c r="AG12" s="519"/>
      <c r="AH12" s="514">
        <f t="shared" si="14"/>
        <v>0</v>
      </c>
      <c r="AI12" s="516">
        <f t="shared" si="9"/>
        <v>100</v>
      </c>
    </row>
    <row r="13" spans="2:35" ht="15" x14ac:dyDescent="0.25">
      <c r="B13" s="511">
        <v>2025</v>
      </c>
      <c r="C13" s="513" t="s">
        <v>413</v>
      </c>
      <c r="D13" s="514"/>
      <c r="E13" s="515"/>
      <c r="F13" s="514">
        <f t="shared" si="10"/>
        <v>0</v>
      </c>
      <c r="G13" s="516">
        <f t="shared" si="0"/>
        <v>100</v>
      </c>
      <c r="H13" s="143"/>
      <c r="I13" s="511">
        <f t="shared" si="1"/>
        <v>2026</v>
      </c>
      <c r="J13" s="513" t="str">
        <f t="shared" si="2"/>
        <v>FEV</v>
      </c>
      <c r="K13" s="514"/>
      <c r="L13" s="515"/>
      <c r="M13" s="514">
        <f t="shared" si="11"/>
        <v>0</v>
      </c>
      <c r="N13" s="516">
        <f t="shared" si="3"/>
        <v>100</v>
      </c>
      <c r="O13" s="143"/>
      <c r="P13" s="511">
        <f t="shared" si="4"/>
        <v>2027</v>
      </c>
      <c r="Q13" s="513" t="s">
        <v>413</v>
      </c>
      <c r="R13" s="514"/>
      <c r="S13" s="515"/>
      <c r="T13" s="514">
        <f t="shared" si="12"/>
        <v>0</v>
      </c>
      <c r="U13" s="516">
        <f t="shared" si="5"/>
        <v>100</v>
      </c>
      <c r="V13" s="143"/>
      <c r="W13" s="511">
        <f t="shared" si="6"/>
        <v>2028</v>
      </c>
      <c r="X13" s="513" t="s">
        <v>413</v>
      </c>
      <c r="Y13" s="514"/>
      <c r="Z13" s="515"/>
      <c r="AA13" s="514">
        <f t="shared" si="13"/>
        <v>0</v>
      </c>
      <c r="AB13" s="516">
        <f t="shared" si="7"/>
        <v>100</v>
      </c>
      <c r="AC13" s="143"/>
      <c r="AD13" s="511">
        <f t="shared" si="8"/>
        <v>2029</v>
      </c>
      <c r="AE13" s="513" t="s">
        <v>413</v>
      </c>
      <c r="AF13" s="514"/>
      <c r="AG13" s="515"/>
      <c r="AH13" s="514">
        <f t="shared" si="14"/>
        <v>0</v>
      </c>
      <c r="AI13" s="516">
        <f t="shared" si="9"/>
        <v>100</v>
      </c>
    </row>
    <row r="14" spans="2:35" ht="15" x14ac:dyDescent="0.25">
      <c r="B14" s="511">
        <v>2025</v>
      </c>
      <c r="C14" s="517" t="s">
        <v>414</v>
      </c>
      <c r="D14" s="514"/>
      <c r="E14" s="515"/>
      <c r="F14" s="514">
        <f t="shared" si="10"/>
        <v>0</v>
      </c>
      <c r="G14" s="516">
        <f t="shared" si="0"/>
        <v>100</v>
      </c>
      <c r="H14" s="143"/>
      <c r="I14" s="511">
        <f t="shared" si="1"/>
        <v>2026</v>
      </c>
      <c r="J14" s="513" t="str">
        <f t="shared" si="2"/>
        <v>MAR</v>
      </c>
      <c r="K14" s="514"/>
      <c r="L14" s="515"/>
      <c r="M14" s="514">
        <f t="shared" si="11"/>
        <v>0</v>
      </c>
      <c r="N14" s="516">
        <f t="shared" si="3"/>
        <v>100</v>
      </c>
      <c r="O14" s="143"/>
      <c r="P14" s="511">
        <f t="shared" si="4"/>
        <v>2027</v>
      </c>
      <c r="Q14" s="517" t="s">
        <v>414</v>
      </c>
      <c r="R14" s="514"/>
      <c r="S14" s="515"/>
      <c r="T14" s="514">
        <f t="shared" si="12"/>
        <v>0</v>
      </c>
      <c r="U14" s="516">
        <f t="shared" si="5"/>
        <v>100</v>
      </c>
      <c r="V14" s="143"/>
      <c r="W14" s="511">
        <f t="shared" si="6"/>
        <v>2028</v>
      </c>
      <c r="X14" s="517" t="s">
        <v>414</v>
      </c>
      <c r="Y14" s="514"/>
      <c r="Z14" s="515"/>
      <c r="AA14" s="514">
        <f t="shared" si="13"/>
        <v>0</v>
      </c>
      <c r="AB14" s="516">
        <f t="shared" si="7"/>
        <v>100</v>
      </c>
      <c r="AC14" s="143"/>
      <c r="AD14" s="511">
        <f t="shared" si="8"/>
        <v>2029</v>
      </c>
      <c r="AE14" s="517" t="s">
        <v>414</v>
      </c>
      <c r="AF14" s="514"/>
      <c r="AG14" s="515"/>
      <c r="AH14" s="514">
        <f t="shared" si="14"/>
        <v>0</v>
      </c>
      <c r="AI14" s="516">
        <f t="shared" si="9"/>
        <v>100</v>
      </c>
    </row>
    <row r="15" spans="2:35" ht="15" x14ac:dyDescent="0.25">
      <c r="B15" s="511">
        <v>2025</v>
      </c>
      <c r="C15" s="513" t="s">
        <v>415</v>
      </c>
      <c r="D15" s="514"/>
      <c r="E15" s="515"/>
      <c r="F15" s="514">
        <f t="shared" si="10"/>
        <v>0</v>
      </c>
      <c r="G15" s="516">
        <f t="shared" si="0"/>
        <v>100</v>
      </c>
      <c r="H15" s="143"/>
      <c r="I15" s="511">
        <f t="shared" si="1"/>
        <v>2026</v>
      </c>
      <c r="J15" s="513" t="str">
        <f t="shared" si="2"/>
        <v>ABR</v>
      </c>
      <c r="K15" s="514"/>
      <c r="L15" s="515"/>
      <c r="M15" s="514">
        <f t="shared" si="11"/>
        <v>0</v>
      </c>
      <c r="N15" s="516">
        <f t="shared" si="3"/>
        <v>100</v>
      </c>
      <c r="O15" s="143"/>
      <c r="P15" s="511">
        <f t="shared" si="4"/>
        <v>2027</v>
      </c>
      <c r="Q15" s="513" t="s">
        <v>415</v>
      </c>
      <c r="R15" s="514"/>
      <c r="S15" s="515"/>
      <c r="T15" s="514">
        <f t="shared" si="12"/>
        <v>0</v>
      </c>
      <c r="U15" s="516">
        <f t="shared" si="5"/>
        <v>100</v>
      </c>
      <c r="V15" s="143"/>
      <c r="W15" s="511">
        <f t="shared" si="6"/>
        <v>2028</v>
      </c>
      <c r="X15" s="513" t="s">
        <v>415</v>
      </c>
      <c r="Y15" s="514"/>
      <c r="Z15" s="515"/>
      <c r="AA15" s="514">
        <f t="shared" si="13"/>
        <v>0</v>
      </c>
      <c r="AB15" s="516">
        <f t="shared" si="7"/>
        <v>100</v>
      </c>
      <c r="AC15" s="143"/>
      <c r="AD15" s="511">
        <f t="shared" si="8"/>
        <v>2029</v>
      </c>
      <c r="AE15" s="513" t="s">
        <v>415</v>
      </c>
      <c r="AF15" s="514"/>
      <c r="AG15" s="515"/>
      <c r="AH15" s="514">
        <f t="shared" si="14"/>
        <v>0</v>
      </c>
      <c r="AI15" s="516">
        <f t="shared" si="9"/>
        <v>100</v>
      </c>
    </row>
    <row r="16" spans="2:35" ht="15" x14ac:dyDescent="0.25">
      <c r="B16" s="511">
        <v>2025</v>
      </c>
      <c r="C16" s="517" t="s">
        <v>416</v>
      </c>
      <c r="D16" s="514"/>
      <c r="E16" s="515"/>
      <c r="F16" s="514">
        <f t="shared" si="10"/>
        <v>0</v>
      </c>
      <c r="G16" s="516">
        <f t="shared" si="0"/>
        <v>100</v>
      </c>
      <c r="H16" s="143"/>
      <c r="I16" s="511">
        <f t="shared" si="1"/>
        <v>2026</v>
      </c>
      <c r="J16" s="513" t="str">
        <f t="shared" si="2"/>
        <v>MAI</v>
      </c>
      <c r="K16" s="514"/>
      <c r="L16" s="515"/>
      <c r="M16" s="514">
        <f t="shared" si="11"/>
        <v>0</v>
      </c>
      <c r="N16" s="516">
        <f t="shared" si="3"/>
        <v>100</v>
      </c>
      <c r="O16" s="143"/>
      <c r="P16" s="511">
        <f t="shared" si="4"/>
        <v>2027</v>
      </c>
      <c r="Q16" s="517" t="s">
        <v>416</v>
      </c>
      <c r="R16" s="514"/>
      <c r="S16" s="515"/>
      <c r="T16" s="514">
        <f t="shared" si="12"/>
        <v>0</v>
      </c>
      <c r="U16" s="516">
        <f t="shared" si="5"/>
        <v>100</v>
      </c>
      <c r="V16" s="143"/>
      <c r="W16" s="511">
        <f t="shared" si="6"/>
        <v>2028</v>
      </c>
      <c r="X16" s="517" t="s">
        <v>416</v>
      </c>
      <c r="Y16" s="514"/>
      <c r="Z16" s="515"/>
      <c r="AA16" s="514">
        <f t="shared" si="13"/>
        <v>0</v>
      </c>
      <c r="AB16" s="516">
        <f t="shared" si="7"/>
        <v>100</v>
      </c>
      <c r="AC16" s="143"/>
      <c r="AD16" s="511">
        <f t="shared" si="8"/>
        <v>2029</v>
      </c>
      <c r="AE16" s="517" t="s">
        <v>416</v>
      </c>
      <c r="AF16" s="514"/>
      <c r="AG16" s="515"/>
      <c r="AH16" s="514">
        <f t="shared" si="14"/>
        <v>0</v>
      </c>
      <c r="AI16" s="516">
        <f t="shared" si="9"/>
        <v>100</v>
      </c>
    </row>
    <row r="17" spans="2:35" ht="15" x14ac:dyDescent="0.25">
      <c r="B17" s="511">
        <v>2025</v>
      </c>
      <c r="C17" s="513" t="s">
        <v>417</v>
      </c>
      <c r="D17" s="514"/>
      <c r="E17" s="515"/>
      <c r="F17" s="514">
        <f t="shared" si="10"/>
        <v>0</v>
      </c>
      <c r="G17" s="516">
        <f t="shared" si="0"/>
        <v>100</v>
      </c>
      <c r="H17" s="143"/>
      <c r="I17" s="511">
        <f t="shared" si="1"/>
        <v>2026</v>
      </c>
      <c r="J17" s="513" t="str">
        <f t="shared" si="2"/>
        <v>JUN</v>
      </c>
      <c r="K17" s="514"/>
      <c r="L17" s="515"/>
      <c r="M17" s="514">
        <f t="shared" si="11"/>
        <v>0</v>
      </c>
      <c r="N17" s="516">
        <f t="shared" si="3"/>
        <v>100</v>
      </c>
      <c r="O17" s="143"/>
      <c r="P17" s="511">
        <f t="shared" si="4"/>
        <v>2027</v>
      </c>
      <c r="Q17" s="513" t="s">
        <v>417</v>
      </c>
      <c r="R17" s="514"/>
      <c r="S17" s="515"/>
      <c r="T17" s="514">
        <f t="shared" si="12"/>
        <v>0</v>
      </c>
      <c r="U17" s="516">
        <f t="shared" si="5"/>
        <v>100</v>
      </c>
      <c r="V17" s="143"/>
      <c r="W17" s="511">
        <f t="shared" si="6"/>
        <v>2028</v>
      </c>
      <c r="X17" s="513" t="s">
        <v>417</v>
      </c>
      <c r="Y17" s="514"/>
      <c r="Z17" s="515"/>
      <c r="AA17" s="514">
        <f t="shared" si="13"/>
        <v>0</v>
      </c>
      <c r="AB17" s="516">
        <f t="shared" si="7"/>
        <v>100</v>
      </c>
      <c r="AC17" s="143"/>
      <c r="AD17" s="511">
        <f t="shared" si="8"/>
        <v>2029</v>
      </c>
      <c r="AE17" s="513" t="s">
        <v>417</v>
      </c>
      <c r="AF17" s="514"/>
      <c r="AG17" s="515"/>
      <c r="AH17" s="514">
        <f t="shared" si="14"/>
        <v>0</v>
      </c>
      <c r="AI17" s="516">
        <f t="shared" si="9"/>
        <v>100</v>
      </c>
    </row>
    <row r="18" spans="2:35" ht="15" x14ac:dyDescent="0.25">
      <c r="B18" s="511">
        <v>2025</v>
      </c>
      <c r="C18" s="517" t="s">
        <v>418</v>
      </c>
      <c r="D18" s="514"/>
      <c r="E18" s="515">
        <v>5</v>
      </c>
      <c r="F18" s="514">
        <f>D18/30*E18</f>
        <v>0</v>
      </c>
      <c r="G18" s="516">
        <f t="shared" si="0"/>
        <v>100</v>
      </c>
      <c r="H18" s="143"/>
      <c r="I18" s="511">
        <f t="shared" si="1"/>
        <v>2026</v>
      </c>
      <c r="J18" s="513" t="str">
        <f t="shared" si="2"/>
        <v>JUL</v>
      </c>
      <c r="K18" s="514"/>
      <c r="L18" s="515">
        <f>$E$18</f>
        <v>5</v>
      </c>
      <c r="M18" s="514">
        <f>K18/30*L18</f>
        <v>0</v>
      </c>
      <c r="N18" s="516">
        <f t="shared" si="3"/>
        <v>100</v>
      </c>
      <c r="O18" s="143"/>
      <c r="P18" s="511">
        <f t="shared" si="4"/>
        <v>2027</v>
      </c>
      <c r="Q18" s="517" t="s">
        <v>418</v>
      </c>
      <c r="R18" s="514"/>
      <c r="S18" s="515">
        <f>$E$18</f>
        <v>5</v>
      </c>
      <c r="T18" s="514">
        <f>R18/30*S18</f>
        <v>0</v>
      </c>
      <c r="U18" s="516">
        <f t="shared" si="5"/>
        <v>100</v>
      </c>
      <c r="V18" s="143"/>
      <c r="W18" s="511">
        <f t="shared" si="6"/>
        <v>2028</v>
      </c>
      <c r="X18" s="517" t="s">
        <v>418</v>
      </c>
      <c r="Y18" s="514"/>
      <c r="Z18" s="515">
        <f>$E$18</f>
        <v>5</v>
      </c>
      <c r="AA18" s="514">
        <f>Y18/30*Z18</f>
        <v>0</v>
      </c>
      <c r="AB18" s="516">
        <f t="shared" si="7"/>
        <v>100</v>
      </c>
      <c r="AC18" s="143"/>
      <c r="AD18" s="511">
        <f t="shared" si="8"/>
        <v>2029</v>
      </c>
      <c r="AE18" s="517" t="s">
        <v>418</v>
      </c>
      <c r="AF18" s="514"/>
      <c r="AG18" s="515">
        <f>$E$18</f>
        <v>5</v>
      </c>
      <c r="AH18" s="514">
        <f>AF18/30*AG18</f>
        <v>0</v>
      </c>
      <c r="AI18" s="516">
        <f t="shared" si="9"/>
        <v>100</v>
      </c>
    </row>
    <row r="19" spans="2:35" x14ac:dyDescent="0.2">
      <c r="B19" s="856" t="s">
        <v>419</v>
      </c>
      <c r="C19" s="856"/>
      <c r="D19" s="856"/>
      <c r="E19" s="856"/>
      <c r="F19" s="856"/>
      <c r="G19" s="520">
        <f>ROUND(((G18-G5)/G5),4)</f>
        <v>0</v>
      </c>
      <c r="H19" s="143"/>
      <c r="I19" s="856" t="s">
        <v>419</v>
      </c>
      <c r="J19" s="856"/>
      <c r="K19" s="856"/>
      <c r="L19" s="856"/>
      <c r="M19" s="856"/>
      <c r="N19" s="520">
        <f>ROUND(((N18-N5)/N5),4)</f>
        <v>0</v>
      </c>
      <c r="O19" s="143"/>
      <c r="P19" s="856" t="s">
        <v>419</v>
      </c>
      <c r="Q19" s="856"/>
      <c r="R19" s="856"/>
      <c r="S19" s="856"/>
      <c r="T19" s="856"/>
      <c r="U19" s="520">
        <f>ROUND(((U18-U5)/U5),4)</f>
        <v>0</v>
      </c>
      <c r="V19" s="143"/>
      <c r="W19" s="856" t="s">
        <v>419</v>
      </c>
      <c r="X19" s="856"/>
      <c r="Y19" s="856"/>
      <c r="Z19" s="856"/>
      <c r="AA19" s="856"/>
      <c r="AB19" s="520">
        <f>ROUND(((AB18-AB5)/AB5),4)</f>
        <v>0</v>
      </c>
      <c r="AC19" s="143"/>
      <c r="AD19" s="856" t="s">
        <v>419</v>
      </c>
      <c r="AE19" s="856"/>
      <c r="AF19" s="856"/>
      <c r="AG19" s="856"/>
      <c r="AH19" s="856"/>
      <c r="AI19" s="520">
        <f>ROUND(((AI18-AI5)/AI5),4)</f>
        <v>0</v>
      </c>
    </row>
  </sheetData>
  <mergeCells count="20">
    <mergeCell ref="B19:F19"/>
    <mergeCell ref="I19:M19"/>
    <mergeCell ref="P19:T19"/>
    <mergeCell ref="W19:AA19"/>
    <mergeCell ref="AD19:AH19"/>
    <mergeCell ref="B4:C4"/>
    <mergeCell ref="I4:J4"/>
    <mergeCell ref="P4:Q4"/>
    <mergeCell ref="W4:X4"/>
    <mergeCell ref="AD4:AE4"/>
    <mergeCell ref="C3:G3"/>
    <mergeCell ref="J3:N3"/>
    <mergeCell ref="Q3:U3"/>
    <mergeCell ref="X3:AB3"/>
    <mergeCell ref="AE3:AI3"/>
    <mergeCell ref="B2:G2"/>
    <mergeCell ref="I2:N2"/>
    <mergeCell ref="P2:U2"/>
    <mergeCell ref="W2:AB2"/>
    <mergeCell ref="AD2:AI2"/>
  </mergeCells>
  <pageMargins left="0.51180555555555596" right="0.51180555555555596" top="0.78749999999999998" bottom="0.78749999999999998" header="0.511811023622047" footer="0.511811023622047"/>
  <pageSetup paperSize="9" scale="62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FFF"/>
    <pageSetUpPr fitToPage="1"/>
  </sheetPr>
  <dimension ref="A1:JM60"/>
  <sheetViews>
    <sheetView showGridLines="0" tabSelected="1" zoomScale="90" zoomScaleNormal="90" workbookViewId="0">
      <selection activeCell="G41" sqref="G41"/>
    </sheetView>
  </sheetViews>
  <sheetFormatPr defaultColWidth="9" defaultRowHeight="14.25" x14ac:dyDescent="0.2"/>
  <cols>
    <col min="1" max="1" width="10" style="8" customWidth="1"/>
    <col min="2" max="2" width="43.5" style="8" customWidth="1"/>
    <col min="3" max="3" width="8.33203125" style="8" customWidth="1"/>
    <col min="4" max="4" width="10.5" style="8" customWidth="1"/>
    <col min="5" max="5" width="20.6640625" style="8" bestFit="1" customWidth="1"/>
    <col min="6" max="6" width="19.6640625" style="8" customWidth="1"/>
    <col min="7" max="7" width="12.5" style="8" customWidth="1"/>
    <col min="8" max="8" width="21.83203125" style="8" bestFit="1" customWidth="1"/>
    <col min="9" max="9" width="20.33203125" style="8" bestFit="1" customWidth="1"/>
    <col min="10" max="10" width="14.1640625" style="8" customWidth="1"/>
    <col min="11" max="11" width="10.83203125" style="8" customWidth="1"/>
    <col min="12" max="13" width="12.83203125" style="8" customWidth="1"/>
    <col min="14" max="14" width="8.83203125" style="8" customWidth="1"/>
    <col min="15" max="18" width="12.83203125" style="8" customWidth="1"/>
    <col min="19" max="19" width="16.33203125" style="8" customWidth="1"/>
    <col min="20" max="33" width="18.33203125" style="8" customWidth="1"/>
    <col min="34" max="34" width="20.33203125" style="8" customWidth="1"/>
    <col min="35" max="35" width="9.33203125" style="8" customWidth="1"/>
    <col min="36" max="36" width="14.33203125" style="8" customWidth="1"/>
    <col min="37" max="38" width="16.6640625" style="8" customWidth="1"/>
    <col min="39" max="39" width="15.6640625" style="8" customWidth="1"/>
    <col min="40" max="40" width="13.33203125" style="8" customWidth="1"/>
    <col min="41" max="41" width="15.1640625" style="8" customWidth="1"/>
    <col min="42" max="43" width="13.33203125" style="8" customWidth="1"/>
    <col min="44" max="44" width="14.33203125" style="8" customWidth="1"/>
    <col min="45" max="273" width="9.33203125" style="8" customWidth="1"/>
  </cols>
  <sheetData>
    <row r="1" spans="1:273" ht="15" x14ac:dyDescent="0.25">
      <c r="A1" s="218"/>
      <c r="B1" s="135" t="s">
        <v>26</v>
      </c>
      <c r="C1" s="219"/>
      <c r="D1" s="219"/>
      <c r="E1" s="219"/>
      <c r="F1" s="219"/>
      <c r="G1" s="219"/>
      <c r="H1" s="219"/>
      <c r="I1" s="219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1"/>
    </row>
    <row r="2" spans="1:273" ht="15" x14ac:dyDescent="0.25">
      <c r="A2" s="222"/>
      <c r="B2" s="142" t="s">
        <v>27</v>
      </c>
      <c r="C2" s="223"/>
      <c r="D2" s="223"/>
      <c r="E2" s="223"/>
      <c r="F2" s="223"/>
      <c r="G2" s="223"/>
      <c r="H2" s="223"/>
      <c r="I2" s="223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5"/>
    </row>
    <row r="3" spans="1:273" ht="15.75" thickBot="1" x14ac:dyDescent="0.3">
      <c r="A3" s="226"/>
      <c r="B3" s="227" t="str">
        <f>Dados!B3</f>
        <v>Divisão de Engenharia e Arquitetura - DIEAR</v>
      </c>
      <c r="C3" s="228"/>
      <c r="D3" s="228"/>
      <c r="E3" s="228"/>
      <c r="F3" s="228"/>
      <c r="G3" s="228"/>
      <c r="H3" s="228"/>
      <c r="I3" s="228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30"/>
    </row>
    <row r="4" spans="1:273" s="11" customFormat="1" ht="30.75" customHeight="1" thickBot="1" x14ac:dyDescent="0.25">
      <c r="A4" s="631" t="s">
        <v>28</v>
      </c>
      <c r="B4" s="631"/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  <c r="Q4" s="631"/>
      <c r="R4" s="631"/>
      <c r="S4" s="631"/>
      <c r="T4" s="631"/>
      <c r="U4" s="631"/>
      <c r="V4" s="631"/>
      <c r="W4" s="631"/>
      <c r="X4" s="631"/>
      <c r="Y4" s="631"/>
      <c r="Z4" s="631"/>
      <c r="AA4" s="631"/>
      <c r="AB4" s="631"/>
      <c r="AC4" s="631"/>
      <c r="AD4" s="631"/>
      <c r="AE4" s="631"/>
      <c r="AF4" s="631"/>
      <c r="AG4" s="631"/>
      <c r="AH4" s="631"/>
    </row>
    <row r="5" spans="1:273" s="11" customFormat="1" ht="21.75" customHeight="1" thickBot="1" x14ac:dyDescent="0.25">
      <c r="A5" s="632" t="s">
        <v>29</v>
      </c>
      <c r="B5" s="632"/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2"/>
      <c r="V5" s="632"/>
      <c r="W5" s="632"/>
      <c r="X5" s="632"/>
      <c r="Y5" s="632"/>
      <c r="Z5" s="632"/>
      <c r="AA5" s="632"/>
      <c r="AB5" s="632"/>
      <c r="AC5" s="632"/>
      <c r="AD5" s="632"/>
      <c r="AE5" s="632"/>
      <c r="AF5" s="632"/>
      <c r="AG5" s="632"/>
      <c r="AH5" s="632"/>
    </row>
    <row r="6" spans="1:273" s="11" customFormat="1" ht="42.75" customHeight="1" thickBot="1" x14ac:dyDescent="0.25">
      <c r="A6" s="633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6" s="633"/>
      <c r="C6" s="633"/>
      <c r="D6" s="633"/>
      <c r="E6" s="633"/>
      <c r="F6" s="633"/>
      <c r="G6" s="633"/>
      <c r="H6" s="633"/>
      <c r="I6" s="231" t="s">
        <v>30</v>
      </c>
      <c r="J6" s="232"/>
      <c r="K6" s="233"/>
      <c r="L6" s="233"/>
      <c r="M6" s="233"/>
      <c r="N6" s="233"/>
      <c r="O6" s="234"/>
      <c r="P6" s="233"/>
      <c r="Q6" s="233"/>
      <c r="R6" s="233"/>
      <c r="S6" s="634" t="s">
        <v>31</v>
      </c>
      <c r="T6" s="634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6"/>
    </row>
    <row r="7" spans="1:273" s="11" customFormat="1" ht="12.75" customHeight="1" thickBot="1" x14ac:dyDescent="0.25">
      <c r="A7" s="635" t="s">
        <v>32</v>
      </c>
      <c r="B7" s="636" t="s">
        <v>33</v>
      </c>
      <c r="C7" s="636"/>
      <c r="D7" s="637" t="s">
        <v>34</v>
      </c>
      <c r="E7" s="637"/>
      <c r="F7" s="637"/>
      <c r="G7" s="637"/>
      <c r="H7" s="637"/>
      <c r="I7" s="637"/>
      <c r="J7" s="637"/>
      <c r="K7" s="637"/>
      <c r="L7" s="637"/>
      <c r="M7" s="637"/>
      <c r="N7" s="637"/>
      <c r="O7" s="637"/>
      <c r="P7" s="637"/>
      <c r="Q7" s="637"/>
      <c r="R7" s="637"/>
      <c r="S7" s="637"/>
      <c r="T7" s="638" t="s">
        <v>450</v>
      </c>
      <c r="U7" s="653" t="s">
        <v>449</v>
      </c>
      <c r="V7" s="654"/>
      <c r="W7" s="654"/>
      <c r="X7" s="654"/>
      <c r="Y7" s="654"/>
      <c r="Z7" s="654"/>
      <c r="AA7" s="654"/>
      <c r="AB7" s="654"/>
      <c r="AC7" s="654"/>
      <c r="AD7" s="655"/>
      <c r="AE7" s="638" t="s">
        <v>451</v>
      </c>
      <c r="AF7" s="639" t="s">
        <v>452</v>
      </c>
      <c r="AG7" s="237"/>
      <c r="AH7" s="237"/>
    </row>
    <row r="8" spans="1:273" s="11" customFormat="1" ht="15" customHeight="1" thickBot="1" x14ac:dyDescent="0.25">
      <c r="A8" s="635"/>
      <c r="B8" s="636"/>
      <c r="C8" s="636"/>
      <c r="D8" s="640" t="s">
        <v>35</v>
      </c>
      <c r="E8" s="640"/>
      <c r="F8" s="640"/>
      <c r="G8" s="641" t="s">
        <v>36</v>
      </c>
      <c r="H8" s="641"/>
      <c r="I8" s="641"/>
      <c r="J8" s="641" t="s">
        <v>37</v>
      </c>
      <c r="K8" s="641"/>
      <c r="L8" s="641"/>
      <c r="M8" s="641"/>
      <c r="N8" s="641"/>
      <c r="O8" s="641"/>
      <c r="P8" s="642" t="s">
        <v>38</v>
      </c>
      <c r="Q8" s="642"/>
      <c r="R8" s="642"/>
      <c r="S8" s="238"/>
      <c r="T8" s="638"/>
      <c r="U8" s="656"/>
      <c r="V8" s="657"/>
      <c r="W8" s="657"/>
      <c r="X8" s="657"/>
      <c r="Y8" s="657"/>
      <c r="Z8" s="657"/>
      <c r="AA8" s="657"/>
      <c r="AB8" s="657"/>
      <c r="AC8" s="657"/>
      <c r="AD8" s="658"/>
      <c r="AE8" s="638"/>
      <c r="AF8" s="639"/>
      <c r="AG8" s="237"/>
      <c r="AH8" s="237"/>
    </row>
    <row r="9" spans="1:273" s="11" customFormat="1" ht="29.25" customHeight="1" thickBot="1" x14ac:dyDescent="0.25">
      <c r="A9" s="635"/>
      <c r="B9" s="636"/>
      <c r="C9" s="636"/>
      <c r="D9" s="643" t="s">
        <v>39</v>
      </c>
      <c r="E9" s="643"/>
      <c r="F9" s="643"/>
      <c r="G9" s="644" t="s">
        <v>40</v>
      </c>
      <c r="H9" s="645" t="s">
        <v>41</v>
      </c>
      <c r="I9" s="645"/>
      <c r="J9" s="649" t="s">
        <v>42</v>
      </c>
      <c r="K9" s="649"/>
      <c r="L9" s="649"/>
      <c r="M9" s="650" t="s">
        <v>43</v>
      </c>
      <c r="N9" s="650"/>
      <c r="O9" s="650"/>
      <c r="P9" s="651" t="s">
        <v>44</v>
      </c>
      <c r="Q9" s="651"/>
      <c r="R9" s="651"/>
      <c r="S9" s="652" t="s">
        <v>45</v>
      </c>
      <c r="T9" s="638"/>
      <c r="U9" s="659"/>
      <c r="V9" s="660"/>
      <c r="W9" s="660"/>
      <c r="X9" s="660"/>
      <c r="Y9" s="660"/>
      <c r="Z9" s="660"/>
      <c r="AA9" s="660"/>
      <c r="AB9" s="660"/>
      <c r="AC9" s="660"/>
      <c r="AD9" s="661"/>
      <c r="AE9" s="638"/>
      <c r="AF9" s="639"/>
      <c r="AG9" s="237"/>
      <c r="AH9" s="237"/>
    </row>
    <row r="10" spans="1:273" s="11" customFormat="1" ht="84" customHeight="1" thickBot="1" x14ac:dyDescent="0.25">
      <c r="A10" s="635"/>
      <c r="B10" s="239" t="s">
        <v>46</v>
      </c>
      <c r="C10" s="240" t="s">
        <v>47</v>
      </c>
      <c r="D10" s="241" t="s">
        <v>48</v>
      </c>
      <c r="E10" s="242" t="s">
        <v>49</v>
      </c>
      <c r="F10" s="243" t="s">
        <v>50</v>
      </c>
      <c r="G10" s="644"/>
      <c r="H10" s="244" t="s">
        <v>51</v>
      </c>
      <c r="I10" s="243" t="s">
        <v>52</v>
      </c>
      <c r="J10" s="245" t="s">
        <v>53</v>
      </c>
      <c r="K10" s="242" t="s">
        <v>54</v>
      </c>
      <c r="L10" s="246" t="s">
        <v>55</v>
      </c>
      <c r="M10" s="245" t="s">
        <v>56</v>
      </c>
      <c r="N10" s="242" t="s">
        <v>57</v>
      </c>
      <c r="O10" s="247" t="s">
        <v>58</v>
      </c>
      <c r="P10" s="248" t="s">
        <v>59</v>
      </c>
      <c r="Q10" s="249" t="s">
        <v>60</v>
      </c>
      <c r="R10" s="250" t="s">
        <v>61</v>
      </c>
      <c r="S10" s="652"/>
      <c r="T10" s="638"/>
      <c r="U10" s="152" t="s">
        <v>440</v>
      </c>
      <c r="V10" s="152" t="s">
        <v>445</v>
      </c>
      <c r="W10" s="152" t="s">
        <v>441</v>
      </c>
      <c r="X10" s="152" t="s">
        <v>446</v>
      </c>
      <c r="Y10" s="152" t="s">
        <v>442</v>
      </c>
      <c r="Z10" s="152" t="s">
        <v>448</v>
      </c>
      <c r="AA10" s="152" t="s">
        <v>477</v>
      </c>
      <c r="AB10" s="152" t="s">
        <v>475</v>
      </c>
      <c r="AC10" s="152" t="s">
        <v>478</v>
      </c>
      <c r="AD10" s="152" t="s">
        <v>476</v>
      </c>
      <c r="AE10" s="638"/>
      <c r="AF10" s="639"/>
      <c r="AG10" s="237"/>
      <c r="AH10" s="237"/>
    </row>
    <row r="11" spans="1:273" s="11" customFormat="1" ht="34.5" customHeight="1" thickBot="1" x14ac:dyDescent="0.25">
      <c r="A11" s="662">
        <v>333903701</v>
      </c>
      <c r="B11" s="251" t="str">
        <f>Dados!B8</f>
        <v>Nível Superior Senior</v>
      </c>
      <c r="C11" s="252">
        <f>Dados!C8</f>
        <v>200</v>
      </c>
      <c r="D11" s="253">
        <f>Dados!D8</f>
        <v>1</v>
      </c>
      <c r="E11" s="254">
        <f>'NS SENIOR 200'!F41</f>
        <v>38122.54</v>
      </c>
      <c r="F11" s="255">
        <f>ROUND(D11*E11,2)</f>
        <v>38122.54</v>
      </c>
      <c r="G11" s="256">
        <f>IF('NS SENIOR 200'!I41&lt;0,0,'NS SENIOR 200'!I41)</f>
        <v>0</v>
      </c>
      <c r="H11" s="257">
        <f>'Ocorrências Mensais - FAT'!F14+'Ocorrências Mensais - FAT'!G14</f>
        <v>0</v>
      </c>
      <c r="I11" s="258">
        <f>(ROUND(G11/Dados!$G$37*H11,2)-(G11/'Ocorrências Mensais - FAT'!$E$8*'Ocorrências Mensais - FAT'!H14))</f>
        <v>0</v>
      </c>
      <c r="J11" s="259">
        <f>'NS SENIOR 200'!F41-'NS SENIOR 200'!H41</f>
        <v>38122.54</v>
      </c>
      <c r="K11" s="260">
        <f>'Ocorrências Mensais - FAT'!K14</f>
        <v>0</v>
      </c>
      <c r="L11" s="261">
        <f>J11/'Ocorrências Mensais - FAT'!$E$8*K11</f>
        <v>0</v>
      </c>
      <c r="M11" s="262">
        <f>'Custo Estimativo Substituto'!F33</f>
        <v>32662.239999999998</v>
      </c>
      <c r="N11" s="263">
        <f>'Ocorrências Mensais - FAT'!L14</f>
        <v>0</v>
      </c>
      <c r="O11" s="264">
        <f>ROUND((M11/'Ocorrências Mensais - FAT'!$E$8*N11),2)</f>
        <v>0</v>
      </c>
      <c r="P11" s="265">
        <f>'NS SENIOR 200'!G40</f>
        <v>0</v>
      </c>
      <c r="Q11" s="266">
        <f>'Ocorrências Mensais - FAT'!M14</f>
        <v>0</v>
      </c>
      <c r="R11" s="267">
        <f>ROUND((P11/Dados!$G$37*Q11),2)</f>
        <v>0</v>
      </c>
      <c r="S11" s="268">
        <f>I11+L11+O11+R11</f>
        <v>0</v>
      </c>
      <c r="T11" s="269">
        <f>(((F11-S11)))</f>
        <v>38122.54</v>
      </c>
      <c r="U11" s="160">
        <f>'Ocorrências Mensais - FAT'!C38</f>
        <v>2</v>
      </c>
      <c r="V11" s="183">
        <f>'NS SENIOR 200'!$K$41*U11</f>
        <v>113.34</v>
      </c>
      <c r="W11" s="160">
        <f>'Ocorrências Mensais - FAT'!E38</f>
        <v>2</v>
      </c>
      <c r="X11" s="183">
        <f>'NS SENIOR 200'!$L$41*W11</f>
        <v>680.08</v>
      </c>
      <c r="Y11" s="160">
        <f>'Ocorrências Mensais - FAT'!G38</f>
        <v>2</v>
      </c>
      <c r="Z11" s="183">
        <f>'NS SENIOR 200'!$M$41*Y11</f>
        <v>906.8</v>
      </c>
      <c r="AA11" s="160">
        <f>'Ocorrências Mensais - FAT'!I38</f>
        <v>1</v>
      </c>
      <c r="AB11" s="183">
        <f>ROUND('V.T e V.A - Extra'!$D$23*AA11,2)</f>
        <v>49.08</v>
      </c>
      <c r="AC11" s="160">
        <f>'Ocorrências Mensais - FAT'!K38</f>
        <v>1</v>
      </c>
      <c r="AD11" s="183">
        <f>ROUND('V.T e V.A - Extra'!$D$46*AC11,2)</f>
        <v>29.76</v>
      </c>
      <c r="AE11" s="270">
        <f>+V11+X11+Z11+AB11+AD11</f>
        <v>1779.06</v>
      </c>
      <c r="AF11" s="646">
        <f>SUM(T11:T15)++V16+X16+Z16+AB16+AD16</f>
        <v>172690.65000000002</v>
      </c>
      <c r="AG11" s="237"/>
      <c r="AH11" s="237"/>
    </row>
    <row r="12" spans="1:273" s="11" customFormat="1" ht="34.5" customHeight="1" thickBot="1" x14ac:dyDescent="0.25">
      <c r="A12" s="662"/>
      <c r="B12" s="251" t="str">
        <f>Dados!B9</f>
        <v>Nível Superior Pleno</v>
      </c>
      <c r="C12" s="271">
        <f>Dados!C9</f>
        <v>200</v>
      </c>
      <c r="D12" s="253">
        <v>2</v>
      </c>
      <c r="E12" s="254">
        <f>'NS PLENO 200'!F41</f>
        <v>30541.99</v>
      </c>
      <c r="F12" s="255">
        <f>ROUND(D12*E12,2)</f>
        <v>61083.98</v>
      </c>
      <c r="G12" s="256">
        <f>IF('NS PLENO 200'!I41&lt;0,0,'NS PLENO 200'!I41)</f>
        <v>0</v>
      </c>
      <c r="H12" s="257">
        <f>'Ocorrências Mensais - FAT'!F15+'Ocorrências Mensais - FAT'!G15</f>
        <v>0</v>
      </c>
      <c r="I12" s="258">
        <f>(ROUND(G12/Dados!$G$37*H12,2)-(G12/'Ocorrências Mensais - FAT'!$E$8*'Ocorrências Mensais - FAT'!H15))</f>
        <v>0</v>
      </c>
      <c r="J12" s="259">
        <f>'NS PLENO 200'!F41-'NS PLENO 200'!H41</f>
        <v>30541.99</v>
      </c>
      <c r="K12" s="260">
        <f>'Ocorrências Mensais - FAT'!K15</f>
        <v>0</v>
      </c>
      <c r="L12" s="261">
        <f>J12/'Ocorrências Mensais - FAT'!$E$8*K12</f>
        <v>0</v>
      </c>
      <c r="M12" s="262">
        <f>'Custo Estimativo Substituto'!G33</f>
        <v>26108.959999999999</v>
      </c>
      <c r="N12" s="263">
        <f>'Ocorrências Mensais - FAT'!L15</f>
        <v>0</v>
      </c>
      <c r="O12" s="264">
        <f>ROUND((M12/'Ocorrências Mensais - FAT'!$E$8*N12),2)</f>
        <v>0</v>
      </c>
      <c r="P12" s="272">
        <f>'NS PLENO 200'!G40</f>
        <v>0</v>
      </c>
      <c r="Q12" s="273">
        <f>'Ocorrências Mensais - FAT'!M15</f>
        <v>0</v>
      </c>
      <c r="R12" s="274">
        <f>ROUND((P12/Dados!$G$37*Q12),2)</f>
        <v>0</v>
      </c>
      <c r="S12" s="268">
        <f>I12+L12+O12+R12</f>
        <v>0</v>
      </c>
      <c r="T12" s="269">
        <f>(((F12-S12)))</f>
        <v>61083.98</v>
      </c>
      <c r="U12" s="160">
        <f>'Ocorrências Mensais - FAT'!C39</f>
        <v>2</v>
      </c>
      <c r="V12" s="183">
        <f>'NS PLENO 200'!$K$41*U12</f>
        <v>90.6</v>
      </c>
      <c r="W12" s="160">
        <f>'Ocorrências Mensais - FAT'!E39</f>
        <v>2</v>
      </c>
      <c r="X12" s="183">
        <f>'NS PLENO 200'!$L$41*W12</f>
        <v>543.64</v>
      </c>
      <c r="Y12" s="160">
        <f>'Ocorrências Mensais - FAT'!G39</f>
        <v>2</v>
      </c>
      <c r="Z12" s="183">
        <f>'NS PLENO 200'!$M$41*Y12</f>
        <v>724.9</v>
      </c>
      <c r="AA12" s="160">
        <f>'Ocorrências Mensais - FAT'!I39</f>
        <v>1</v>
      </c>
      <c r="AB12" s="183">
        <f>ROUND('V.T e V.A - Extra'!$D$23*AA12,2)</f>
        <v>49.08</v>
      </c>
      <c r="AC12" s="160">
        <f>'Ocorrências Mensais - FAT'!K39</f>
        <v>1</v>
      </c>
      <c r="AD12" s="183">
        <f>ROUND('V.T e V.A - Extra'!$D$46*AC12,2)</f>
        <v>29.76</v>
      </c>
      <c r="AE12" s="270">
        <f t="shared" ref="AE12:AE15" si="0">+V12+X12+Z12+AB12+AD12</f>
        <v>1437.9799999999998</v>
      </c>
      <c r="AF12" s="646"/>
      <c r="AG12" s="237"/>
      <c r="AH12" s="237"/>
    </row>
    <row r="13" spans="1:273" s="11" customFormat="1" ht="34.5" customHeight="1" thickBot="1" x14ac:dyDescent="0.25">
      <c r="A13" s="662"/>
      <c r="B13" s="275" t="str">
        <f>Dados!B10</f>
        <v>Nível Superior Junior</v>
      </c>
      <c r="C13" s="271">
        <f>Dados!C10</f>
        <v>200</v>
      </c>
      <c r="D13" s="253">
        <f>Dados!D10</f>
        <v>0</v>
      </c>
      <c r="E13" s="276">
        <f>'NS JUNIOR 200'!F41</f>
        <v>29535.88</v>
      </c>
      <c r="F13" s="255">
        <f>ROUND(D13*E13,2)</f>
        <v>0</v>
      </c>
      <c r="G13" s="256">
        <f>IF('NS JUNIOR 200'!I41&lt;0,0,'NS JUNIOR 200'!I41)</f>
        <v>0</v>
      </c>
      <c r="H13" s="257">
        <f>'Ocorrências Mensais - FAT'!F16+'Ocorrências Mensais - FAT'!G16</f>
        <v>0</v>
      </c>
      <c r="I13" s="258">
        <f>(ROUND(G13/Dados!$G$37*H13,2)-(G13/'Ocorrências Mensais - FAT'!$E$8*'Ocorrências Mensais - FAT'!H16))</f>
        <v>0</v>
      </c>
      <c r="J13" s="277">
        <f>'NS JUNIOR 200'!F41-'NS JUNIOR 200'!H41</f>
        <v>29535.88</v>
      </c>
      <c r="K13" s="260">
        <f>'Ocorrências Mensais - FAT'!K16</f>
        <v>0</v>
      </c>
      <c r="L13" s="261">
        <f>J13/'Ocorrências Mensais - FAT'!$E$8*K13</f>
        <v>0</v>
      </c>
      <c r="M13" s="278">
        <f>'Custo Estimativo Substituto'!H33</f>
        <v>25239.269999999997</v>
      </c>
      <c r="N13" s="263">
        <f>'Ocorrências Mensais - FAT'!L16</f>
        <v>0</v>
      </c>
      <c r="O13" s="264">
        <f>ROUND((M13/'Ocorrências Mensais - FAT'!$E$8*N13),2)</f>
        <v>0</v>
      </c>
      <c r="P13" s="272">
        <f>'NS JUNIOR 200'!G40</f>
        <v>0</v>
      </c>
      <c r="Q13" s="273">
        <f>'Ocorrências Mensais - FAT'!M16</f>
        <v>0</v>
      </c>
      <c r="R13" s="274">
        <f>ROUND((P13/Dados!$G$37*Q13),2)</f>
        <v>0</v>
      </c>
      <c r="S13" s="268">
        <f>I13+L13+O13+R13</f>
        <v>0</v>
      </c>
      <c r="T13" s="269">
        <f>(((F13-S13)))</f>
        <v>0</v>
      </c>
      <c r="U13" s="160">
        <f>'Ocorrências Mensais - FAT'!C40</f>
        <v>0</v>
      </c>
      <c r="V13" s="183">
        <f>'NS JUNIOR 200'!$K$41*U13</f>
        <v>0</v>
      </c>
      <c r="W13" s="160">
        <f>'Ocorrências Mensais - FAT'!E40</f>
        <v>0</v>
      </c>
      <c r="X13" s="183">
        <f>'NS JUNIOR 200'!$L$41*W13</f>
        <v>0</v>
      </c>
      <c r="Y13" s="160">
        <f>'Ocorrências Mensais - FAT'!G40</f>
        <v>0</v>
      </c>
      <c r="Z13" s="183">
        <f>'NS JUNIOR 200'!$M$41*Y13</f>
        <v>0</v>
      </c>
      <c r="AA13" s="160">
        <f>'Ocorrências Mensais - FAT'!I40</f>
        <v>0</v>
      </c>
      <c r="AB13" s="183">
        <f>ROUND('V.T e V.A - Extra'!$D$23*AA13,2)</f>
        <v>0</v>
      </c>
      <c r="AC13" s="160">
        <f>'Ocorrências Mensais - FAT'!K40</f>
        <v>0</v>
      </c>
      <c r="AD13" s="183">
        <f>ROUND('V.T e V.A - Extra'!$D$46*AC13,2)</f>
        <v>0</v>
      </c>
      <c r="AE13" s="270">
        <f t="shared" si="0"/>
        <v>0</v>
      </c>
      <c r="AF13" s="646"/>
      <c r="AG13" s="237"/>
      <c r="AH13" s="237"/>
    </row>
    <row r="14" spans="1:273" ht="32.25" customHeight="1" thickBot="1" x14ac:dyDescent="0.3">
      <c r="A14" s="662"/>
      <c r="B14" s="275" t="str">
        <f>Dados!B11</f>
        <v>Técnico Nível Médio Sênior</v>
      </c>
      <c r="C14" s="279">
        <f>Dados!C11</f>
        <v>200</v>
      </c>
      <c r="D14" s="280">
        <f>Dados!D11</f>
        <v>1</v>
      </c>
      <c r="E14" s="281">
        <f>'NM TECNICO SR 200'!F41</f>
        <v>14784.42</v>
      </c>
      <c r="F14" s="282">
        <f>ROUND(D14*E14,2)</f>
        <v>14784.42</v>
      </c>
      <c r="G14" s="256">
        <f>'NM TECNICO SR 200'!I41</f>
        <v>201.27</v>
      </c>
      <c r="H14" s="257">
        <f>'Ocorrências Mensais - FAT'!F17+'Ocorrências Mensais - FAT'!G17</f>
        <v>0</v>
      </c>
      <c r="I14" s="258">
        <f>(ROUND(G14/Dados!$G$37*H14,2)-(G14/'Ocorrências Mensais - FAT'!$E$8*'Ocorrências Mensais - FAT'!H17))</f>
        <v>0</v>
      </c>
      <c r="J14" s="283">
        <f>'NM TECNICO SR 200'!F41-'NM TECNICO SR 200'!H41</f>
        <v>14784.42</v>
      </c>
      <c r="K14" s="260">
        <f>'Ocorrências Mensais - FAT'!K17</f>
        <v>0</v>
      </c>
      <c r="L14" s="261">
        <f>J14/'Ocorrências Mensais - FAT'!$E$8*K14</f>
        <v>0</v>
      </c>
      <c r="M14" s="284">
        <f>'Custo Estimativo Substituto'!I33</f>
        <v>12589.075999999999</v>
      </c>
      <c r="N14" s="263">
        <f>'Ocorrências Mensais - FAT'!L17</f>
        <v>0</v>
      </c>
      <c r="O14" s="264">
        <f>ROUND((M14/'Ocorrências Mensais - FAT'!$E$8*N14),2)</f>
        <v>0</v>
      </c>
      <c r="P14" s="272">
        <f>'NM TECNICO SR 200'!G40</f>
        <v>863.75</v>
      </c>
      <c r="Q14" s="273">
        <f>'Ocorrências Mensais - FAT'!M17</f>
        <v>0</v>
      </c>
      <c r="R14" s="274">
        <f>ROUND((P14/Dados!$G$37*Q14),2)</f>
        <v>0</v>
      </c>
      <c r="S14" s="268">
        <f>I14+L14+O14+R14</f>
        <v>0</v>
      </c>
      <c r="T14" s="269">
        <f>(((F14-S14)))</f>
        <v>14784.42</v>
      </c>
      <c r="U14" s="160">
        <f>'Ocorrências Mensais - FAT'!C41</f>
        <v>4</v>
      </c>
      <c r="V14" s="183">
        <f>'NM TECNICO SR 200'!$K$41*U14</f>
        <v>63.96</v>
      </c>
      <c r="W14" s="160">
        <f>'Ocorrências Mensais - FAT'!E41</f>
        <v>4</v>
      </c>
      <c r="X14" s="183">
        <f>'NM TECNICO SR 200'!$L$41*W14</f>
        <v>479.96</v>
      </c>
      <c r="Y14" s="160">
        <f>'Ocorrências Mensais - FAT'!G41</f>
        <v>4</v>
      </c>
      <c r="Z14" s="183">
        <f>'NM TECNICO SR 200'!$M$41*Y14</f>
        <v>639.79999999999995</v>
      </c>
      <c r="AA14" s="160">
        <f>'Ocorrências Mensais - FAT'!I41</f>
        <v>1</v>
      </c>
      <c r="AB14" s="183">
        <f>ROUND('V.T e V.A - Extra'!$D$23*AA14,2)</f>
        <v>49.08</v>
      </c>
      <c r="AC14" s="160">
        <f>'Ocorrências Mensais - FAT'!K41</f>
        <v>1</v>
      </c>
      <c r="AD14" s="183">
        <f>ROUND('V.T e V.A - Extra'!$D$46*AC14,2)</f>
        <v>29.76</v>
      </c>
      <c r="AE14" s="270">
        <f t="shared" si="0"/>
        <v>1262.5599999999997</v>
      </c>
      <c r="AF14" s="646"/>
      <c r="AG14" s="224"/>
      <c r="AH14" s="224"/>
      <c r="JL14"/>
      <c r="JM14"/>
    </row>
    <row r="15" spans="1:273" ht="32.25" customHeight="1" thickBot="1" x14ac:dyDescent="0.3">
      <c r="A15" s="662"/>
      <c r="B15" s="275" t="str">
        <f>Dados!B12</f>
        <v>Técnico Nível Médio Pleno</v>
      </c>
      <c r="C15" s="279">
        <f>Dados!C12</f>
        <v>200</v>
      </c>
      <c r="D15" s="280">
        <f>Dados!D12</f>
        <v>5</v>
      </c>
      <c r="E15" s="281">
        <f>'NM TECNICO PL 200'!F41</f>
        <v>10667.19</v>
      </c>
      <c r="F15" s="285">
        <f>ROUND(D15*E15,2)</f>
        <v>53335.95</v>
      </c>
      <c r="G15" s="256">
        <f>'NM TECNICO PL 200'!I41</f>
        <v>346.25</v>
      </c>
      <c r="H15" s="257">
        <f>'Ocorrências Mensais - FAT'!F18+'Ocorrências Mensais - FAT'!G18</f>
        <v>0</v>
      </c>
      <c r="I15" s="258">
        <f>(ROUND(G15/Dados!$G$37*H15,2)-(G15/'Ocorrências Mensais - FAT'!$E$8*'Ocorrências Mensais - FAT'!H18))</f>
        <v>0</v>
      </c>
      <c r="J15" s="286">
        <f>'NM TECNICO PL 200'!F41-'NM TECNICO PL 200'!H41</f>
        <v>10667.19</v>
      </c>
      <c r="K15" s="260">
        <f>'Ocorrências Mensais - FAT'!K18</f>
        <v>0</v>
      </c>
      <c r="L15" s="261">
        <f>J15/'Ocorrências Mensais - FAT'!$E$8*K15</f>
        <v>0</v>
      </c>
      <c r="M15" s="287">
        <f>'Custo Estimativo Substituto'!J33</f>
        <v>9049.5160000000014</v>
      </c>
      <c r="N15" s="263">
        <f>'Ocorrências Mensais - FAT'!L18</f>
        <v>0</v>
      </c>
      <c r="O15" s="264">
        <f>ROUND((M15/'Ocorrências Mensais - FAT'!$E$8*N15),2)</f>
        <v>0</v>
      </c>
      <c r="P15" s="272">
        <f>'NM TECNICO PL 200'!G40</f>
        <v>863.75</v>
      </c>
      <c r="Q15" s="273">
        <f>'Ocorrências Mensais - FAT'!M18</f>
        <v>0</v>
      </c>
      <c r="R15" s="274">
        <f>ROUND((P15/Dados!$G$37*Q15),2)</f>
        <v>0</v>
      </c>
      <c r="S15" s="268">
        <f>I15+L15+O15+R15</f>
        <v>0</v>
      </c>
      <c r="T15" s="269">
        <f>(((F15-S15)))</f>
        <v>53335.95</v>
      </c>
      <c r="U15" s="160">
        <f>'Ocorrências Mensais - FAT'!C42</f>
        <v>4</v>
      </c>
      <c r="V15" s="183">
        <f>'NM TECNICO PL 200'!$K$41*U15</f>
        <v>43.48</v>
      </c>
      <c r="W15" s="160">
        <f>'Ocorrências Mensais - FAT'!E42</f>
        <v>4</v>
      </c>
      <c r="X15" s="183">
        <f>'NM TECNICO PL 200'!$L$41*W15</f>
        <v>326.48</v>
      </c>
      <c r="Y15" s="160">
        <f>'Ocorrências Mensais - FAT'!G42</f>
        <v>4</v>
      </c>
      <c r="Z15" s="183">
        <f>'NM TECNICO PL 200'!$M$41*Y15</f>
        <v>435.36</v>
      </c>
      <c r="AA15" s="160">
        <f>'Ocorrências Mensais - FAT'!I42</f>
        <v>1</v>
      </c>
      <c r="AB15" s="183">
        <f>ROUND('V.T e V.A - Extra'!$D$23*AA15,2)</f>
        <v>49.08</v>
      </c>
      <c r="AC15" s="160">
        <f>'Ocorrências Mensais - FAT'!K42</f>
        <v>1</v>
      </c>
      <c r="AD15" s="183">
        <f>ROUND('V.T e V.A - Extra'!$D$46*AC15,2)</f>
        <v>29.76</v>
      </c>
      <c r="AE15" s="270">
        <f t="shared" si="0"/>
        <v>884.16000000000008</v>
      </c>
      <c r="AF15" s="646"/>
      <c r="AG15" s="224"/>
      <c r="AH15" s="224"/>
      <c r="JL15"/>
      <c r="JM15"/>
    </row>
    <row r="16" spans="1:273" s="12" customFormat="1" ht="55.5" customHeight="1" thickBot="1" x14ac:dyDescent="0.25">
      <c r="A16" s="647" t="s">
        <v>62</v>
      </c>
      <c r="B16" s="647"/>
      <c r="C16" s="647"/>
      <c r="D16" s="288">
        <f>SUM(D11:D15)</f>
        <v>9</v>
      </c>
      <c r="E16" s="289"/>
      <c r="F16" s="290">
        <f>SUM(F11:F15)</f>
        <v>167326.89000000001</v>
      </c>
      <c r="G16" s="291"/>
      <c r="H16" s="292">
        <f t="shared" ref="H16:AE16" si="1">SUM(H11:H15)</f>
        <v>0</v>
      </c>
      <c r="I16" s="293">
        <f t="shared" si="1"/>
        <v>0</v>
      </c>
      <c r="J16" s="294">
        <f t="shared" si="1"/>
        <v>123652.02</v>
      </c>
      <c r="K16" s="292">
        <f t="shared" si="1"/>
        <v>0</v>
      </c>
      <c r="L16" s="293">
        <f t="shared" si="1"/>
        <v>0</v>
      </c>
      <c r="M16" s="294">
        <f t="shared" si="1"/>
        <v>105649.06200000001</v>
      </c>
      <c r="N16" s="292">
        <f t="shared" si="1"/>
        <v>0</v>
      </c>
      <c r="O16" s="295">
        <f t="shared" si="1"/>
        <v>0</v>
      </c>
      <c r="P16" s="294">
        <f t="shared" si="1"/>
        <v>1727.5</v>
      </c>
      <c r="Q16" s="292">
        <f t="shared" si="1"/>
        <v>0</v>
      </c>
      <c r="R16" s="295">
        <f t="shared" si="1"/>
        <v>0</v>
      </c>
      <c r="S16" s="296">
        <f t="shared" si="1"/>
        <v>0</v>
      </c>
      <c r="T16" s="297">
        <f t="shared" si="1"/>
        <v>167326.89000000001</v>
      </c>
      <c r="U16" s="298"/>
      <c r="V16" s="297">
        <f t="shared" si="1"/>
        <v>311.38</v>
      </c>
      <c r="W16" s="298"/>
      <c r="X16" s="297">
        <f t="shared" si="1"/>
        <v>2030.16</v>
      </c>
      <c r="Y16" s="298"/>
      <c r="Z16" s="297">
        <f t="shared" si="1"/>
        <v>2706.86</v>
      </c>
      <c r="AA16" s="298"/>
      <c r="AB16" s="297">
        <f t="shared" si="1"/>
        <v>196.32</v>
      </c>
      <c r="AC16" s="298"/>
      <c r="AD16" s="297">
        <f t="shared" si="1"/>
        <v>119.04</v>
      </c>
      <c r="AE16" s="299">
        <f t="shared" si="1"/>
        <v>5363.7599999999993</v>
      </c>
      <c r="AF16" s="300">
        <f>T16+AE16</f>
        <v>172690.65000000002</v>
      </c>
      <c r="AG16" s="301"/>
      <c r="AH16" s="301"/>
    </row>
    <row r="17" spans="1:34" s="12" customFormat="1" ht="55.5" customHeight="1" thickBot="1" x14ac:dyDescent="0.25">
      <c r="A17" s="648" t="s">
        <v>63</v>
      </c>
      <c r="B17" s="648"/>
      <c r="C17" s="648"/>
      <c r="D17" s="648"/>
      <c r="E17" s="648"/>
      <c r="F17" s="648"/>
      <c r="G17" s="648"/>
      <c r="H17" s="648"/>
      <c r="I17" s="648"/>
      <c r="J17" s="648"/>
      <c r="K17" s="648"/>
      <c r="L17" s="648"/>
      <c r="M17" s="648"/>
      <c r="N17" s="648"/>
      <c r="O17" s="648"/>
      <c r="P17" s="648"/>
      <c r="Q17" s="648"/>
      <c r="R17" s="648"/>
      <c r="S17" s="648"/>
      <c r="T17" s="297">
        <f>T16*12</f>
        <v>2007922.6800000002</v>
      </c>
      <c r="U17" s="298"/>
      <c r="V17" s="297">
        <f>V16*12</f>
        <v>3736.56</v>
      </c>
      <c r="W17" s="298"/>
      <c r="X17" s="297">
        <f>X16*12</f>
        <v>24361.920000000002</v>
      </c>
      <c r="Y17" s="298"/>
      <c r="Z17" s="297">
        <f>Z16*12</f>
        <v>32482.32</v>
      </c>
      <c r="AA17" s="297"/>
      <c r="AB17" s="297">
        <f>AB16*12</f>
        <v>2355.84</v>
      </c>
      <c r="AC17" s="297"/>
      <c r="AD17" s="297">
        <f>AD16*12</f>
        <v>1428.48</v>
      </c>
      <c r="AE17" s="299">
        <f>AE16*12</f>
        <v>64365.119999999995</v>
      </c>
      <c r="AF17" s="302">
        <f>AF16*12</f>
        <v>2072287.8000000003</v>
      </c>
      <c r="AG17" s="301"/>
      <c r="AH17" s="301"/>
    </row>
    <row r="18" spans="1:34" ht="18" customHeight="1" x14ac:dyDescent="0.25">
      <c r="A18" s="224"/>
      <c r="B18" s="224"/>
      <c r="C18" s="224"/>
      <c r="D18" s="224"/>
      <c r="E18" s="303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</row>
    <row r="19" spans="1:34" ht="18" customHeight="1" x14ac:dyDescent="0.25">
      <c r="A19" s="621" t="s">
        <v>538</v>
      </c>
      <c r="B19" s="621"/>
      <c r="C19" s="621"/>
      <c r="D19" s="621"/>
      <c r="E19" s="621"/>
      <c r="F19" s="621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</row>
    <row r="20" spans="1:34" ht="18" customHeight="1" x14ac:dyDescent="0.25">
      <c r="A20" s="622" t="s">
        <v>458</v>
      </c>
      <c r="B20" s="623"/>
      <c r="C20" s="623"/>
      <c r="D20" s="623"/>
      <c r="E20" s="624"/>
      <c r="F20" s="152" t="s">
        <v>35</v>
      </c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</row>
    <row r="21" spans="1:34" ht="18" customHeight="1" x14ac:dyDescent="0.25">
      <c r="A21" s="574" t="s">
        <v>35</v>
      </c>
      <c r="B21" s="575"/>
      <c r="C21" s="575"/>
      <c r="D21" s="575"/>
      <c r="E21" s="576"/>
      <c r="F21" s="102">
        <f>'Ocorrências Mensais - FAT'!F75</f>
        <v>2914.27</v>
      </c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</row>
    <row r="22" spans="1:34" ht="18" customHeight="1" x14ac:dyDescent="0.25">
      <c r="A22" s="625" t="s">
        <v>427</v>
      </c>
      <c r="B22" s="626"/>
      <c r="C22" s="626"/>
      <c r="D22" s="626"/>
      <c r="E22" s="627"/>
      <c r="F22" s="120">
        <f>SUM(F21:F21)</f>
        <v>2914.27</v>
      </c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</row>
    <row r="23" spans="1:34" ht="18" customHeight="1" x14ac:dyDescent="0.25">
      <c r="A23" s="224"/>
      <c r="B23" s="224"/>
      <c r="C23" s="224"/>
      <c r="D23" s="224"/>
      <c r="E23" s="303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</row>
    <row r="24" spans="1:34" ht="18" customHeight="1" x14ac:dyDescent="0.25">
      <c r="A24" s="621" t="s">
        <v>463</v>
      </c>
      <c r="B24" s="621"/>
      <c r="C24" s="621"/>
      <c r="D24" s="621"/>
      <c r="E24" s="621"/>
      <c r="F24" s="621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</row>
    <row r="25" spans="1:34" ht="25.9" customHeight="1" x14ac:dyDescent="0.25">
      <c r="A25" s="585" t="s">
        <v>458</v>
      </c>
      <c r="B25" s="585"/>
      <c r="C25" s="585"/>
      <c r="D25" s="585"/>
      <c r="E25" s="152" t="s">
        <v>503</v>
      </c>
      <c r="F25" s="152" t="s">
        <v>35</v>
      </c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</row>
    <row r="26" spans="1:34" ht="18" customHeight="1" x14ac:dyDescent="0.25">
      <c r="A26" s="603" t="str">
        <f>'Ocorrências Mensais - FAT'!B79</f>
        <v>ART PARA SERVIÇOS COM VALOR IGUAL OU MENOR QUE R$15.000,00</v>
      </c>
      <c r="B26" s="603"/>
      <c r="C26" s="603"/>
      <c r="D26" s="603"/>
      <c r="E26" s="160">
        <f>'Ocorrências Mensais - FAT'!D79</f>
        <v>2</v>
      </c>
      <c r="F26" s="102">
        <f>E26*ART!D24</f>
        <v>247.88</v>
      </c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</row>
    <row r="27" spans="1:34" ht="18" customHeight="1" x14ac:dyDescent="0.25">
      <c r="A27" s="603" t="str">
        <f>'Ocorrências Mensais - FAT'!B80</f>
        <v>ART PARA SERVIÇOS COM VALOR MAIOR QUE R$15.000,00</v>
      </c>
      <c r="B27" s="603"/>
      <c r="C27" s="603"/>
      <c r="D27" s="603"/>
      <c r="E27" s="160">
        <f>'Ocorrências Mensais - FAT'!D80</f>
        <v>1</v>
      </c>
      <c r="F27" s="102">
        <f>E27*ART!D46</f>
        <v>326.58</v>
      </c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</row>
    <row r="28" spans="1:34" ht="18" customHeight="1" x14ac:dyDescent="0.25">
      <c r="A28" s="630" t="s">
        <v>427</v>
      </c>
      <c r="B28" s="630"/>
      <c r="C28" s="630"/>
      <c r="D28" s="630"/>
      <c r="E28" s="122"/>
      <c r="F28" s="120">
        <f>SUM(F26:F27)</f>
        <v>574.46</v>
      </c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</row>
    <row r="29" spans="1:34" ht="18" customHeight="1" thickBot="1" x14ac:dyDescent="0.3">
      <c r="A29" s="224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3"/>
      <c r="AH29" s="223"/>
    </row>
    <row r="30" spans="1:34" ht="21" customHeight="1" x14ac:dyDescent="0.25">
      <c r="A30" s="628" t="s">
        <v>572</v>
      </c>
      <c r="B30" s="629"/>
      <c r="C30" s="629"/>
      <c r="D30" s="629"/>
      <c r="E30" s="629"/>
      <c r="F30" s="629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</row>
    <row r="31" spans="1:34" ht="15" x14ac:dyDescent="0.25">
      <c r="A31" s="607" t="s">
        <v>147</v>
      </c>
      <c r="B31" s="585"/>
      <c r="C31" s="585"/>
      <c r="D31" s="585"/>
      <c r="E31" s="152" t="s">
        <v>447</v>
      </c>
      <c r="F31" s="152" t="s">
        <v>471</v>
      </c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</row>
    <row r="32" spans="1:34" ht="15" x14ac:dyDescent="0.25">
      <c r="A32" s="618" t="s">
        <v>464</v>
      </c>
      <c r="B32" s="603"/>
      <c r="C32" s="603"/>
      <c r="D32" s="603"/>
      <c r="E32" s="102">
        <f>T16</f>
        <v>167326.89000000001</v>
      </c>
      <c r="F32" s="102">
        <f>E32*12</f>
        <v>2007922.6800000002</v>
      </c>
      <c r="G32" s="304"/>
      <c r="H32" s="305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</row>
    <row r="33" spans="1:34" ht="15" x14ac:dyDescent="0.25">
      <c r="A33" s="618" t="s">
        <v>465</v>
      </c>
      <c r="B33" s="603"/>
      <c r="C33" s="603"/>
      <c r="D33" s="603"/>
      <c r="E33" s="102">
        <f>V16</f>
        <v>311.38</v>
      </c>
      <c r="F33" s="102">
        <f>E33*12</f>
        <v>3736.56</v>
      </c>
      <c r="G33" s="304"/>
      <c r="H33" s="305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</row>
    <row r="34" spans="1:34" ht="15" x14ac:dyDescent="0.25">
      <c r="A34" s="618" t="s">
        <v>466</v>
      </c>
      <c r="B34" s="603"/>
      <c r="C34" s="603"/>
      <c r="D34" s="603"/>
      <c r="E34" s="102">
        <f>X16</f>
        <v>2030.16</v>
      </c>
      <c r="F34" s="102">
        <f t="shared" ref="F34:F35" si="2">E34*12</f>
        <v>24361.920000000002</v>
      </c>
      <c r="G34" s="304"/>
      <c r="H34" s="305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</row>
    <row r="35" spans="1:34" ht="15" x14ac:dyDescent="0.25">
      <c r="A35" s="618" t="s">
        <v>467</v>
      </c>
      <c r="B35" s="603"/>
      <c r="C35" s="603"/>
      <c r="D35" s="603"/>
      <c r="E35" s="102">
        <f>Z16</f>
        <v>2706.86</v>
      </c>
      <c r="F35" s="102">
        <f t="shared" si="2"/>
        <v>32482.32</v>
      </c>
      <c r="G35" s="304"/>
      <c r="H35" s="305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</row>
    <row r="36" spans="1:34" ht="15" x14ac:dyDescent="0.25">
      <c r="A36" s="618" t="s">
        <v>506</v>
      </c>
      <c r="B36" s="603"/>
      <c r="C36" s="603"/>
      <c r="D36" s="603"/>
      <c r="E36" s="102">
        <f>AB16</f>
        <v>196.32</v>
      </c>
      <c r="F36" s="102">
        <f t="shared" ref="F36" si="3">E36*12</f>
        <v>2355.84</v>
      </c>
      <c r="G36" s="304"/>
      <c r="H36" s="305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</row>
    <row r="37" spans="1:34" ht="15" x14ac:dyDescent="0.25">
      <c r="A37" s="618" t="s">
        <v>507</v>
      </c>
      <c r="B37" s="603"/>
      <c r="C37" s="603"/>
      <c r="D37" s="603"/>
      <c r="E37" s="102">
        <f>AD16</f>
        <v>119.04</v>
      </c>
      <c r="F37" s="102">
        <f t="shared" ref="F37" si="4">E37*12</f>
        <v>1428.48</v>
      </c>
      <c r="G37" s="304"/>
      <c r="H37" s="305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</row>
    <row r="38" spans="1:34" ht="15" x14ac:dyDescent="0.25">
      <c r="A38" s="618" t="s">
        <v>537</v>
      </c>
      <c r="B38" s="603"/>
      <c r="C38" s="603" t="e">
        <f>Dados!#REF!</f>
        <v>#REF!</v>
      </c>
      <c r="D38" s="603"/>
      <c r="E38" s="102">
        <f>F22</f>
        <v>2914.27</v>
      </c>
      <c r="F38" s="102">
        <f>E38*12</f>
        <v>34971.24</v>
      </c>
      <c r="G38" s="304"/>
      <c r="H38" s="305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</row>
    <row r="39" spans="1:34" ht="15.75" thickBot="1" x14ac:dyDescent="0.3">
      <c r="A39" s="619" t="s">
        <v>468</v>
      </c>
      <c r="B39" s="620"/>
      <c r="C39" s="620" t="e">
        <f>Dados!#REF!</f>
        <v>#REF!</v>
      </c>
      <c r="D39" s="620"/>
      <c r="E39" s="121">
        <f>F28</f>
        <v>574.46</v>
      </c>
      <c r="F39" s="121">
        <f>E39*12</f>
        <v>6893.52</v>
      </c>
      <c r="G39" s="304"/>
      <c r="H39" s="305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</row>
    <row r="40" spans="1:34" ht="15.75" thickBot="1" x14ac:dyDescent="0.3">
      <c r="A40" s="616" t="s">
        <v>427</v>
      </c>
      <c r="B40" s="617"/>
      <c r="C40" s="617"/>
      <c r="D40" s="617"/>
      <c r="E40" s="124">
        <f>SUM(E32:E39)</f>
        <v>176179.38</v>
      </c>
      <c r="F40" s="306">
        <f>SUM(F32:F39)</f>
        <v>2114152.5600000005</v>
      </c>
      <c r="G40" s="304"/>
      <c r="H40" s="305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</row>
    <row r="41" spans="1:34" ht="15.75" thickBot="1" x14ac:dyDescent="0.3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</row>
    <row r="42" spans="1:34" ht="15" customHeight="1" x14ac:dyDescent="0.25">
      <c r="A42" s="663" t="s">
        <v>66</v>
      </c>
      <c r="B42" s="664"/>
      <c r="C42" s="664"/>
      <c r="D42" s="665"/>
      <c r="E42" s="610">
        <f>F40</f>
        <v>2114152.5600000005</v>
      </c>
      <c r="F42" s="611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</row>
    <row r="43" spans="1:34" ht="13.5" customHeight="1" x14ac:dyDescent="0.25">
      <c r="A43" s="682" t="s">
        <v>67</v>
      </c>
      <c r="B43" s="683"/>
      <c r="C43" s="683"/>
      <c r="D43" s="684"/>
      <c r="E43" s="612"/>
      <c r="F43" s="613"/>
      <c r="G43" s="307" t="s">
        <v>472</v>
      </c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</row>
    <row r="44" spans="1:34" ht="14.45" customHeight="1" thickBot="1" x14ac:dyDescent="0.3">
      <c r="A44" s="685"/>
      <c r="B44" s="686"/>
      <c r="C44" s="686"/>
      <c r="D44" s="687"/>
      <c r="E44" s="614"/>
      <c r="F44" s="615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</row>
    <row r="45" spans="1:34" ht="15.75" thickBot="1" x14ac:dyDescent="0.3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</row>
    <row r="46" spans="1:34" ht="21" x14ac:dyDescent="0.25">
      <c r="A46" s="628" t="s">
        <v>570</v>
      </c>
      <c r="B46" s="629"/>
      <c r="C46" s="629"/>
      <c r="D46" s="629"/>
      <c r="E46" s="629"/>
      <c r="F46" s="668"/>
      <c r="G46" s="139"/>
      <c r="H46" s="139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</row>
    <row r="47" spans="1:34" ht="15" x14ac:dyDescent="0.25">
      <c r="A47" s="669" t="s">
        <v>560</v>
      </c>
      <c r="B47" s="670"/>
      <c r="C47" s="670"/>
      <c r="D47" s="670"/>
      <c r="E47" s="670"/>
      <c r="F47" s="671"/>
      <c r="G47" s="310"/>
      <c r="H47" s="310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</row>
    <row r="48" spans="1:34" ht="30" x14ac:dyDescent="0.25">
      <c r="A48" s="308" t="s">
        <v>561</v>
      </c>
      <c r="B48" s="309" t="s">
        <v>562</v>
      </c>
      <c r="C48" s="670" t="s">
        <v>563</v>
      </c>
      <c r="D48" s="670"/>
      <c r="E48" s="670"/>
      <c r="F48" s="671"/>
      <c r="G48" s="311" t="s">
        <v>564</v>
      </c>
      <c r="H48" s="311" t="s">
        <v>565</v>
      </c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</row>
    <row r="49" spans="1:34" ht="15.75" x14ac:dyDescent="0.25">
      <c r="A49" s="312">
        <v>1</v>
      </c>
      <c r="B49" s="313" t="str">
        <f>CONCATENATE("Total de ocorrências entre - ",G49," e ",H49)</f>
        <v>Total de ocorrências entre - 0 e 10</v>
      </c>
      <c r="C49" s="672" t="s">
        <v>566</v>
      </c>
      <c r="D49" s="673"/>
      <c r="E49" s="673"/>
      <c r="F49" s="674"/>
      <c r="G49" s="311">
        <v>0</v>
      </c>
      <c r="H49" s="311">
        <v>10</v>
      </c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</row>
    <row r="50" spans="1:34" ht="15.75" x14ac:dyDescent="0.25">
      <c r="A50" s="312">
        <v>1</v>
      </c>
      <c r="B50" s="313" t="str">
        <f>CONCATENATE("Total de ocorrências entre - ",G50," e ",H50)</f>
        <v>Total de ocorrências entre - 11 e 20</v>
      </c>
      <c r="C50" s="672" t="s">
        <v>567</v>
      </c>
      <c r="D50" s="673"/>
      <c r="E50" s="673" t="s">
        <v>567</v>
      </c>
      <c r="F50" s="674"/>
      <c r="G50" s="311">
        <v>11</v>
      </c>
      <c r="H50" s="311">
        <v>20</v>
      </c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</row>
    <row r="51" spans="1:34" ht="15.75" x14ac:dyDescent="0.25">
      <c r="A51" s="314">
        <v>0.99</v>
      </c>
      <c r="B51" s="313" t="str">
        <f>CONCATENATE("Total de ocorrências entre - ",G51," e ",H51)</f>
        <v>Total de ocorrências entre - 21 e 40</v>
      </c>
      <c r="C51" s="672" t="s">
        <v>568</v>
      </c>
      <c r="D51" s="673"/>
      <c r="E51" s="673" t="s">
        <v>568</v>
      </c>
      <c r="F51" s="674"/>
      <c r="G51" s="311">
        <v>21</v>
      </c>
      <c r="H51" s="311">
        <v>40</v>
      </c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</row>
    <row r="52" spans="1:34" ht="15.75" x14ac:dyDescent="0.25">
      <c r="A52" s="314">
        <v>0.97</v>
      </c>
      <c r="B52" s="313" t="str">
        <f>CONCATENATE("Total de ocorrências entre - ",G52," e ",H52)</f>
        <v>Total de ocorrências entre - 41 e 55</v>
      </c>
      <c r="C52" s="672" t="s">
        <v>569</v>
      </c>
      <c r="D52" s="673"/>
      <c r="E52" s="673" t="s">
        <v>569</v>
      </c>
      <c r="F52" s="674"/>
      <c r="G52" s="311">
        <v>41</v>
      </c>
      <c r="H52" s="311">
        <v>55</v>
      </c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</row>
    <row r="53" spans="1:34" ht="15.75" x14ac:dyDescent="0.25">
      <c r="A53" s="314">
        <v>0.95</v>
      </c>
      <c r="B53" s="313" t="str">
        <f>CONCATENATE("Total de ocorrências entre - ",G53," e ",H53)</f>
        <v>Total de ocorrências entre - 56 e 74</v>
      </c>
      <c r="C53" s="672" t="s">
        <v>607</v>
      </c>
      <c r="D53" s="673"/>
      <c r="E53" s="673" t="s">
        <v>608</v>
      </c>
      <c r="F53" s="674"/>
      <c r="G53" s="311">
        <v>56</v>
      </c>
      <c r="H53" s="311">
        <v>74</v>
      </c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</row>
    <row r="54" spans="1:34" ht="16.5" thickBot="1" x14ac:dyDescent="0.3">
      <c r="A54" s="315">
        <v>0.9</v>
      </c>
      <c r="B54" s="316" t="str">
        <f>CONCATENATE("Igual ou maior que ",G54,)</f>
        <v>Igual ou maior que 75</v>
      </c>
      <c r="C54" s="675" t="s">
        <v>609</v>
      </c>
      <c r="D54" s="676"/>
      <c r="E54" s="676" t="s">
        <v>610</v>
      </c>
      <c r="F54" s="677"/>
      <c r="G54" s="311">
        <v>75</v>
      </c>
      <c r="H54" s="311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</row>
    <row r="55" spans="1:34" ht="15.75" thickBot="1" x14ac:dyDescent="0.3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</row>
    <row r="56" spans="1:34" ht="21.75" thickBot="1" x14ac:dyDescent="0.3">
      <c r="A56" s="565" t="s">
        <v>571</v>
      </c>
      <c r="B56" s="566"/>
      <c r="C56" s="566"/>
      <c r="D56" s="566"/>
      <c r="E56" s="567"/>
      <c r="F56" s="139"/>
      <c r="G56" s="139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</row>
    <row r="57" spans="1:34" ht="15.6" customHeight="1" x14ac:dyDescent="0.25">
      <c r="A57" s="678" t="s">
        <v>645</v>
      </c>
      <c r="B57" s="679"/>
      <c r="C57" s="679"/>
      <c r="D57" s="679"/>
      <c r="E57" s="561">
        <v>0</v>
      </c>
      <c r="F57" s="317" t="s">
        <v>554</v>
      </c>
      <c r="G57" s="139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</row>
    <row r="58" spans="1:34" ht="15.6" customHeight="1" x14ac:dyDescent="0.25">
      <c r="A58" s="680" t="s">
        <v>555</v>
      </c>
      <c r="B58" s="681"/>
      <c r="C58" s="681"/>
      <c r="D58" s="681"/>
      <c r="E58" s="558">
        <f>IF(E57&gt;=G54,A54,IF(E57&gt;=G53,A53,IF(E57&gt;=G52,A52,IF(E57&gt;=G51,A51,IF(E57&lt;=H50,A50,"VERIFICAR")))))</f>
        <v>1</v>
      </c>
      <c r="F58" s="317" t="s">
        <v>556</v>
      </c>
      <c r="G58" s="139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</row>
    <row r="59" spans="1:34" ht="15.6" customHeight="1" x14ac:dyDescent="0.25">
      <c r="A59" s="680" t="s">
        <v>557</v>
      </c>
      <c r="B59" s="681"/>
      <c r="C59" s="681"/>
      <c r="D59" s="681"/>
      <c r="E59" s="318">
        <f>E40</f>
        <v>176179.38</v>
      </c>
      <c r="F59" s="319"/>
      <c r="G59" s="139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</row>
    <row r="60" spans="1:34" ht="16.149999999999999" customHeight="1" thickBot="1" x14ac:dyDescent="0.3">
      <c r="A60" s="666" t="s">
        <v>558</v>
      </c>
      <c r="B60" s="667"/>
      <c r="C60" s="667"/>
      <c r="D60" s="667"/>
      <c r="E60" s="320">
        <f>E59*E58</f>
        <v>176179.38</v>
      </c>
      <c r="F60" s="317" t="s">
        <v>559</v>
      </c>
      <c r="G60" s="139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</row>
  </sheetData>
  <sheetProtection algorithmName="SHA-512" hashValue="iz/VN4CHfvUqd8Y05GZp9wVKgkFV7I2EgAQh6pFVJoXzs97Drrt5YZxPCAtvK5mbZ7QqK08MTaKugsmKs6Vo+Q==" saltValue="/NWYUpkwvDs5E4E5XZ1Qyw==" spinCount="100000" sheet="1" objects="1" scenarios="1"/>
  <mergeCells count="63">
    <mergeCell ref="A60:D60"/>
    <mergeCell ref="A46:F46"/>
    <mergeCell ref="A47:F47"/>
    <mergeCell ref="C48:F48"/>
    <mergeCell ref="C49:F49"/>
    <mergeCell ref="C50:F50"/>
    <mergeCell ref="C51:F51"/>
    <mergeCell ref="C52:F52"/>
    <mergeCell ref="C53:F53"/>
    <mergeCell ref="C54:F54"/>
    <mergeCell ref="A56:E56"/>
    <mergeCell ref="A57:D57"/>
    <mergeCell ref="A58:D58"/>
    <mergeCell ref="A59:D59"/>
    <mergeCell ref="AF11:AF15"/>
    <mergeCell ref="A16:C16"/>
    <mergeCell ref="A17:S17"/>
    <mergeCell ref="J9:L9"/>
    <mergeCell ref="M9:O9"/>
    <mergeCell ref="P9:R9"/>
    <mergeCell ref="S9:S10"/>
    <mergeCell ref="U7:AD9"/>
    <mergeCell ref="AE7:AE10"/>
    <mergeCell ref="A11:A15"/>
    <mergeCell ref="A4:AH4"/>
    <mergeCell ref="A5:AH5"/>
    <mergeCell ref="A6:H6"/>
    <mergeCell ref="S6:T6"/>
    <mergeCell ref="A7:A10"/>
    <mergeCell ref="B7:C9"/>
    <mergeCell ref="D7:S7"/>
    <mergeCell ref="T7:T10"/>
    <mergeCell ref="AF7:AF10"/>
    <mergeCell ref="D8:F8"/>
    <mergeCell ref="G8:I8"/>
    <mergeCell ref="J8:O8"/>
    <mergeCell ref="P8:R8"/>
    <mergeCell ref="D9:F9"/>
    <mergeCell ref="G9:G10"/>
    <mergeCell ref="H9:I9"/>
    <mergeCell ref="A19:F19"/>
    <mergeCell ref="A21:E21"/>
    <mergeCell ref="A20:E20"/>
    <mergeCell ref="A22:E22"/>
    <mergeCell ref="A31:D31"/>
    <mergeCell ref="A30:F30"/>
    <mergeCell ref="A24:F24"/>
    <mergeCell ref="A25:D25"/>
    <mergeCell ref="A26:D26"/>
    <mergeCell ref="A27:D27"/>
    <mergeCell ref="A28:D28"/>
    <mergeCell ref="E42:F44"/>
    <mergeCell ref="A40:D40"/>
    <mergeCell ref="A32:D32"/>
    <mergeCell ref="A34:D34"/>
    <mergeCell ref="A35:D35"/>
    <mergeCell ref="A39:D39"/>
    <mergeCell ref="A38:D38"/>
    <mergeCell ref="A36:D36"/>
    <mergeCell ref="A37:D37"/>
    <mergeCell ref="A33:D33"/>
    <mergeCell ref="A42:D42"/>
    <mergeCell ref="A43:D44"/>
  </mergeCells>
  <printOptions horizontalCentered="1"/>
  <pageMargins left="0.196527777777778" right="0.196527777777778" top="0.196527777777778" bottom="0.39374999999999999" header="0.511811023622047" footer="0.511811023622047"/>
  <pageSetup paperSize="9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9"/>
  <sheetViews>
    <sheetView showGridLines="0" zoomScale="90" zoomScaleNormal="90" workbookViewId="0">
      <selection activeCell="J6" sqref="J6"/>
    </sheetView>
  </sheetViews>
  <sheetFormatPr defaultColWidth="9.33203125" defaultRowHeight="12.75" x14ac:dyDescent="0.2"/>
  <cols>
    <col min="1" max="1024" width="9.33203125" style="1"/>
  </cols>
  <sheetData>
    <row r="1" spans="1:26" s="2" customFormat="1" ht="25.5" customHeight="1" x14ac:dyDescent="0.3">
      <c r="A1" s="688" t="s">
        <v>620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  <c r="U1" s="688"/>
      <c r="V1" s="688"/>
      <c r="W1" s="688"/>
      <c r="X1" s="688"/>
      <c r="Y1" s="688"/>
      <c r="Z1" s="688"/>
    </row>
    <row r="2" spans="1:26" ht="15" x14ac:dyDescent="0.2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</row>
    <row r="3" spans="1:26" ht="15" x14ac:dyDescent="0.25">
      <c r="A3" s="207" t="s">
        <v>0</v>
      </c>
      <c r="B3" s="207" t="s">
        <v>1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</row>
    <row r="4" spans="1:26" ht="15" x14ac:dyDescent="0.25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</row>
    <row r="5" spans="1:26" ht="15" x14ac:dyDescent="0.25">
      <c r="A5" s="206"/>
      <c r="B5" s="208"/>
      <c r="C5" s="206" t="s">
        <v>2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</row>
    <row r="6" spans="1:26" ht="15" x14ac:dyDescent="0.25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spans="1:26" ht="15" x14ac:dyDescent="0.25">
      <c r="A7" s="206" t="s">
        <v>3</v>
      </c>
      <c r="B7" s="206" t="s">
        <v>4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spans="1:26" ht="15" x14ac:dyDescent="0.25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</row>
    <row r="9" spans="1:26" s="3" customFormat="1" ht="21.75" customHeight="1" x14ac:dyDescent="0.2">
      <c r="A9" s="209" t="s">
        <v>5</v>
      </c>
      <c r="B9" s="209" t="s">
        <v>622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</row>
    <row r="10" spans="1:26" s="3" customFormat="1" ht="23.25" customHeight="1" x14ac:dyDescent="0.2">
      <c r="A10" s="209"/>
      <c r="B10" s="209" t="s">
        <v>623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</row>
    <row r="11" spans="1:26" s="4" customFormat="1" ht="19.5" customHeight="1" x14ac:dyDescent="0.2">
      <c r="A11" s="210"/>
      <c r="B11" s="210" t="s">
        <v>6</v>
      </c>
      <c r="C11" s="211" t="s">
        <v>7</v>
      </c>
      <c r="D11" s="211"/>
      <c r="E11" s="211"/>
      <c r="F11" s="211"/>
      <c r="G11" s="211"/>
      <c r="H11" s="211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</row>
    <row r="12" spans="1:26" ht="15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</row>
    <row r="13" spans="1:26" ht="15" x14ac:dyDescent="0.25">
      <c r="A13" s="206"/>
      <c r="B13" s="206"/>
      <c r="C13" s="212" t="s">
        <v>8</v>
      </c>
      <c r="D13" s="212" t="s">
        <v>9</v>
      </c>
      <c r="E13" s="212"/>
      <c r="F13" s="212"/>
      <c r="G13" s="212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</row>
    <row r="14" spans="1:26" ht="15" x14ac:dyDescent="0.25">
      <c r="A14" s="206"/>
      <c r="B14" s="206"/>
      <c r="C14" s="206"/>
      <c r="D14" s="206" t="s">
        <v>585</v>
      </c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1:26" ht="15" x14ac:dyDescent="0.25">
      <c r="A15" s="206"/>
      <c r="B15" s="206"/>
      <c r="C15" s="206"/>
      <c r="D15" s="206" t="s">
        <v>584</v>
      </c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1:26" ht="15" x14ac:dyDescent="0.25">
      <c r="A16" s="206"/>
      <c r="B16" s="206"/>
      <c r="C16" s="206"/>
      <c r="D16" s="206" t="s">
        <v>624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26" ht="15" x14ac:dyDescent="0.25">
      <c r="A17" s="206"/>
      <c r="B17" s="206"/>
      <c r="C17" s="206"/>
      <c r="D17" s="206" t="s">
        <v>586</v>
      </c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26" ht="15" x14ac:dyDescent="0.25">
      <c r="A18" s="213"/>
      <c r="B18" s="213"/>
      <c r="C18" s="206"/>
      <c r="D18" s="206" t="s">
        <v>587</v>
      </c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</row>
    <row r="19" spans="1:26" ht="15" x14ac:dyDescent="0.25">
      <c r="A19" s="213"/>
      <c r="B19" s="213"/>
      <c r="C19" s="206"/>
      <c r="D19" s="206" t="s">
        <v>588</v>
      </c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</row>
    <row r="20" spans="1:26" ht="15" x14ac:dyDescent="0.25">
      <c r="A20" s="213"/>
      <c r="B20" s="213"/>
      <c r="C20" s="206"/>
      <c r="D20" s="206" t="s">
        <v>589</v>
      </c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</row>
    <row r="21" spans="1:26" ht="15" x14ac:dyDescent="0.25">
      <c r="A21" s="213"/>
      <c r="B21" s="213"/>
      <c r="C21" s="206"/>
      <c r="D21" s="206" t="s">
        <v>625</v>
      </c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</row>
    <row r="22" spans="1:26" ht="15" x14ac:dyDescent="0.25">
      <c r="A22" s="213"/>
      <c r="B22" s="213"/>
      <c r="C22" s="206"/>
      <c r="D22" s="206" t="s">
        <v>626</v>
      </c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</row>
    <row r="23" spans="1:26" ht="15" x14ac:dyDescent="0.25">
      <c r="A23" s="213"/>
      <c r="B23" s="213"/>
      <c r="C23" s="206"/>
      <c r="D23" s="206" t="s">
        <v>593</v>
      </c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</row>
    <row r="24" spans="1:26" ht="15" x14ac:dyDescent="0.25">
      <c r="A24" s="213"/>
      <c r="B24" s="213"/>
      <c r="C24" s="206"/>
      <c r="D24" s="206" t="s">
        <v>594</v>
      </c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</row>
    <row r="25" spans="1:26" ht="15" x14ac:dyDescent="0.25">
      <c r="A25" s="213"/>
      <c r="B25" s="213"/>
      <c r="C25" s="206"/>
      <c r="D25" s="206" t="s">
        <v>627</v>
      </c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</row>
    <row r="26" spans="1:26" ht="15" x14ac:dyDescent="0.25">
      <c r="A26" s="213"/>
      <c r="B26" s="213"/>
      <c r="C26" s="206"/>
      <c r="D26" s="206" t="s">
        <v>590</v>
      </c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</row>
    <row r="27" spans="1:26" ht="15" x14ac:dyDescent="0.25">
      <c r="A27" s="213"/>
      <c r="B27" s="213"/>
      <c r="C27" s="206"/>
      <c r="D27" s="206" t="s">
        <v>591</v>
      </c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</row>
    <row r="28" spans="1:26" ht="15" x14ac:dyDescent="0.25">
      <c r="A28" s="213"/>
      <c r="B28" s="213"/>
      <c r="C28" s="206"/>
      <c r="D28" s="206" t="s">
        <v>592</v>
      </c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</row>
    <row r="29" spans="1:26" ht="15" x14ac:dyDescent="0.25">
      <c r="A29" s="213"/>
      <c r="B29" s="213"/>
      <c r="C29" s="206"/>
      <c r="D29" s="206" t="s">
        <v>10</v>
      </c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</row>
    <row r="30" spans="1:26" ht="15" x14ac:dyDescent="0.25">
      <c r="A30" s="213"/>
      <c r="B30" s="213"/>
      <c r="C30" s="206"/>
      <c r="D30" s="206" t="s">
        <v>595</v>
      </c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</row>
    <row r="31" spans="1:26" ht="15" x14ac:dyDescent="0.25">
      <c r="A31" s="213"/>
      <c r="B31" s="213"/>
      <c r="C31" s="206"/>
      <c r="D31" s="206" t="s">
        <v>596</v>
      </c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</row>
    <row r="32" spans="1:26" ht="15" x14ac:dyDescent="0.25">
      <c r="A32" s="213"/>
      <c r="B32" s="213"/>
      <c r="C32" s="206"/>
      <c r="D32" s="206" t="s">
        <v>597</v>
      </c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</row>
    <row r="33" spans="1:26" ht="15" x14ac:dyDescent="0.25">
      <c r="A33" s="213"/>
      <c r="B33" s="213"/>
      <c r="C33" s="206"/>
      <c r="D33" s="206" t="s">
        <v>598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</row>
    <row r="34" spans="1:26" ht="15" x14ac:dyDescent="0.25">
      <c r="A34" s="213"/>
      <c r="B34" s="213"/>
      <c r="C34" s="206"/>
      <c r="D34" s="206" t="s">
        <v>599</v>
      </c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</row>
    <row r="35" spans="1:26" ht="15" x14ac:dyDescent="0.25">
      <c r="A35" s="213"/>
      <c r="B35" s="213"/>
      <c r="C35" s="206"/>
      <c r="D35" s="206" t="s">
        <v>600</v>
      </c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</row>
    <row r="36" spans="1:26" ht="15" x14ac:dyDescent="0.25">
      <c r="A36" s="213"/>
      <c r="B36" s="213"/>
      <c r="C36" s="206"/>
      <c r="D36" s="206" t="s">
        <v>601</v>
      </c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</row>
    <row r="37" spans="1:26" ht="15" x14ac:dyDescent="0.25">
      <c r="A37" s="213"/>
      <c r="B37" s="213"/>
      <c r="C37" s="206"/>
      <c r="D37" s="206" t="s">
        <v>628</v>
      </c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</row>
    <row r="38" spans="1:26" ht="15" x14ac:dyDescent="0.25">
      <c r="A38" s="213"/>
      <c r="B38" s="213"/>
      <c r="C38" s="206"/>
      <c r="D38" s="206" t="s">
        <v>629</v>
      </c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</row>
    <row r="39" spans="1:26" ht="15" x14ac:dyDescent="0.25">
      <c r="A39" s="213"/>
      <c r="B39" s="213"/>
      <c r="C39" s="206"/>
      <c r="D39" s="206" t="s">
        <v>630</v>
      </c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</row>
    <row r="40" spans="1:26" ht="15" x14ac:dyDescent="0.25">
      <c r="A40" s="213"/>
      <c r="B40" s="213"/>
      <c r="C40" s="206"/>
      <c r="D40" s="206" t="s">
        <v>631</v>
      </c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</row>
    <row r="41" spans="1:26" ht="15" x14ac:dyDescent="0.25">
      <c r="A41" s="213"/>
      <c r="B41" s="213"/>
      <c r="C41" s="206"/>
      <c r="D41" s="206" t="s">
        <v>632</v>
      </c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</row>
    <row r="42" spans="1:26" ht="15" x14ac:dyDescent="0.25">
      <c r="A42" s="213"/>
      <c r="B42" s="213"/>
      <c r="C42" s="206"/>
      <c r="D42" s="206" t="s">
        <v>633</v>
      </c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</row>
    <row r="43" spans="1:26" ht="15" x14ac:dyDescent="0.25">
      <c r="A43" s="213"/>
      <c r="B43" s="213"/>
      <c r="C43" s="206"/>
      <c r="D43" s="552" t="s">
        <v>11</v>
      </c>
      <c r="E43" s="552"/>
      <c r="F43" s="552"/>
      <c r="G43" s="552"/>
      <c r="H43" s="552"/>
      <c r="I43" s="552"/>
      <c r="J43" s="552"/>
      <c r="K43" s="552"/>
      <c r="L43" s="552"/>
      <c r="M43" s="552"/>
      <c r="N43" s="552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</row>
    <row r="44" spans="1:26" ht="15" x14ac:dyDescent="0.25">
      <c r="A44" s="213"/>
      <c r="B44" s="213"/>
      <c r="C44" s="206"/>
      <c r="D44" s="551" t="s">
        <v>635</v>
      </c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</row>
    <row r="45" spans="1:26" ht="15" x14ac:dyDescent="0.25">
      <c r="A45" s="206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</row>
    <row r="46" spans="1:26" s="5" customFormat="1" ht="15" x14ac:dyDescent="0.25">
      <c r="A46" s="212"/>
      <c r="B46" s="212"/>
      <c r="C46" s="212" t="s">
        <v>12</v>
      </c>
      <c r="D46" s="212" t="s">
        <v>13</v>
      </c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</row>
    <row r="47" spans="1:26" ht="15" x14ac:dyDescent="0.25">
      <c r="A47" s="206"/>
      <c r="B47" s="206"/>
      <c r="C47" s="206"/>
      <c r="D47" s="206" t="s">
        <v>14</v>
      </c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</row>
    <row r="48" spans="1:26" ht="15" x14ac:dyDescent="0.25">
      <c r="A48" s="206"/>
      <c r="B48" s="206"/>
      <c r="C48" s="206"/>
      <c r="D48" s="206" t="s">
        <v>15</v>
      </c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</row>
    <row r="49" spans="1:26" ht="15" x14ac:dyDescent="0.25">
      <c r="A49" s="206"/>
      <c r="B49" s="206"/>
      <c r="C49" s="206"/>
      <c r="D49" s="552" t="s">
        <v>11</v>
      </c>
      <c r="E49" s="552"/>
      <c r="F49" s="552"/>
      <c r="G49" s="552"/>
      <c r="H49" s="552"/>
      <c r="I49" s="552"/>
      <c r="J49" s="552"/>
      <c r="K49" s="552"/>
      <c r="L49" s="552"/>
      <c r="M49" s="552"/>
      <c r="N49" s="552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</row>
    <row r="50" spans="1:26" ht="14.25" customHeight="1" x14ac:dyDescent="0.25">
      <c r="A50" s="206"/>
      <c r="B50" s="206"/>
      <c r="C50" s="206"/>
      <c r="D50" s="553" t="s">
        <v>634</v>
      </c>
      <c r="E50" s="553"/>
      <c r="F50" s="553"/>
      <c r="G50" s="553"/>
      <c r="H50" s="553"/>
      <c r="I50" s="553"/>
      <c r="J50" s="553"/>
      <c r="K50" s="553"/>
      <c r="L50" s="553"/>
      <c r="M50" s="553"/>
      <c r="N50" s="553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</row>
    <row r="51" spans="1:26" ht="15" x14ac:dyDescent="0.25">
      <c r="A51" s="206"/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</row>
    <row r="52" spans="1:26" ht="32.25" customHeight="1" x14ac:dyDescent="0.25">
      <c r="A52" s="214" t="s">
        <v>16</v>
      </c>
      <c r="B52" s="689" t="s">
        <v>605</v>
      </c>
      <c r="C52" s="689"/>
      <c r="D52" s="689"/>
      <c r="E52" s="689"/>
      <c r="F52" s="689"/>
      <c r="G52" s="689"/>
      <c r="H52" s="689"/>
      <c r="I52" s="689"/>
      <c r="J52" s="689"/>
      <c r="K52" s="689"/>
      <c r="L52" s="689"/>
      <c r="M52" s="689"/>
      <c r="N52" s="689"/>
      <c r="O52" s="689"/>
      <c r="P52" s="689"/>
      <c r="Q52" s="689"/>
      <c r="R52" s="689"/>
      <c r="S52" s="689"/>
      <c r="T52" s="689"/>
      <c r="U52" s="689"/>
      <c r="V52" s="689"/>
      <c r="W52" s="689"/>
      <c r="X52" s="689"/>
      <c r="Y52" s="689"/>
      <c r="Z52" s="689"/>
    </row>
    <row r="53" spans="1:26" s="6" customFormat="1" ht="19.5" customHeight="1" x14ac:dyDescent="0.2">
      <c r="A53" s="215"/>
      <c r="B53" s="210" t="s">
        <v>17</v>
      </c>
      <c r="C53" s="215" t="s">
        <v>606</v>
      </c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</row>
    <row r="54" spans="1:26" s="5" customFormat="1" ht="15" x14ac:dyDescent="0.25">
      <c r="A54" s="212"/>
      <c r="B54" s="212" t="s">
        <v>18</v>
      </c>
      <c r="C54" s="216" t="s">
        <v>19</v>
      </c>
      <c r="D54" s="216"/>
      <c r="E54" s="216"/>
      <c r="F54" s="216"/>
      <c r="G54" s="216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</row>
    <row r="55" spans="1:26" ht="15" x14ac:dyDescent="0.25">
      <c r="A55" s="206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</row>
    <row r="56" spans="1:26" s="4" customFormat="1" ht="16.5" customHeight="1" x14ac:dyDescent="0.2">
      <c r="A56" s="210" t="s">
        <v>20</v>
      </c>
      <c r="B56" s="210" t="s">
        <v>21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</row>
    <row r="57" spans="1:26" s="3" customFormat="1" ht="18.75" customHeight="1" x14ac:dyDescent="0.2">
      <c r="A57" s="209"/>
      <c r="B57" s="209" t="s">
        <v>22</v>
      </c>
      <c r="C57" s="209" t="s">
        <v>23</v>
      </c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</row>
    <row r="58" spans="1:26" s="5" customFormat="1" ht="15" x14ac:dyDescent="0.25">
      <c r="A58" s="212"/>
      <c r="B58" s="212" t="s">
        <v>24</v>
      </c>
      <c r="C58" s="217" t="s">
        <v>25</v>
      </c>
      <c r="D58" s="217"/>
      <c r="E58" s="217"/>
      <c r="F58" s="217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</row>
    <row r="59" spans="1:26" x14ac:dyDescent="0.2">
      <c r="A59" s="213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</row>
  </sheetData>
  <sheetProtection algorithmName="SHA-512" hashValue="SpHnO75RK1hxVzIfcdGg2F1zd8Uc+F/b3/l5nMst77QBycMF3hctqf8zy6fLEkdpEtEWoNvUH9WNKLusU4I0wA==" saltValue="OAmrXFQzltuHwKzkPpsArw==" spinCount="100000" sheet="1" objects="1" scenarios="1"/>
  <mergeCells count="2">
    <mergeCell ref="A1:Z1"/>
    <mergeCell ref="B52:Z5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  <pageSetUpPr fitToPage="1"/>
  </sheetPr>
  <dimension ref="A1:AMJ82"/>
  <sheetViews>
    <sheetView showGridLines="0" topLeftCell="A59" zoomScaleNormal="100" workbookViewId="0">
      <selection activeCell="F70" sqref="F70"/>
    </sheetView>
  </sheetViews>
  <sheetFormatPr defaultColWidth="13.83203125" defaultRowHeight="15" x14ac:dyDescent="0.25"/>
  <cols>
    <col min="1" max="1" width="10" style="9" customWidth="1"/>
    <col min="2" max="2" width="39.1640625" style="9" customWidth="1"/>
    <col min="3" max="3" width="10" style="9" customWidth="1"/>
    <col min="4" max="4" width="8.1640625" style="9" customWidth="1"/>
    <col min="5" max="5" width="14.83203125" style="9" customWidth="1"/>
    <col min="6" max="6" width="16.5" style="9" customWidth="1"/>
    <col min="7" max="7" width="16" style="9" customWidth="1"/>
    <col min="8" max="8" width="12.5" style="9" customWidth="1"/>
    <col min="9" max="9" width="16" style="9" customWidth="1"/>
    <col min="10" max="10" width="15.33203125" style="9" customWidth="1"/>
    <col min="11" max="11" width="17.1640625" style="9" bestFit="1" customWidth="1"/>
    <col min="12" max="12" width="14.6640625" style="9" customWidth="1"/>
    <col min="13" max="13" width="13.33203125" style="9" customWidth="1"/>
    <col min="14" max="14" width="50" style="9" customWidth="1"/>
    <col min="15" max="246" width="9.33203125" style="9" customWidth="1"/>
    <col min="247" max="247" width="7" style="9" customWidth="1"/>
    <col min="248" max="248" width="45.83203125" style="9" customWidth="1"/>
    <col min="249" max="249" width="10" style="9" customWidth="1"/>
    <col min="250" max="253" width="14.1640625" style="9" customWidth="1"/>
    <col min="254" max="1020" width="13.83203125" style="9"/>
    <col min="1021" max="1024" width="12.83203125" style="9" customWidth="1"/>
  </cols>
  <sheetData>
    <row r="1" spans="1:1024" ht="12" customHeight="1" x14ac:dyDescent="0.25">
      <c r="A1" s="321"/>
      <c r="B1" s="322" t="s">
        <v>26</v>
      </c>
      <c r="C1" s="323"/>
      <c r="D1" s="220"/>
      <c r="E1" s="220"/>
      <c r="F1" s="220"/>
      <c r="G1" s="220"/>
      <c r="H1" s="220"/>
      <c r="I1" s="224"/>
      <c r="J1" s="224"/>
      <c r="K1" s="224"/>
      <c r="L1" s="224"/>
    </row>
    <row r="2" spans="1:1024" ht="12.75" customHeight="1" x14ac:dyDescent="0.25">
      <c r="A2" s="324"/>
      <c r="B2" s="322" t="s">
        <v>27</v>
      </c>
      <c r="C2" s="325"/>
      <c r="D2" s="224"/>
      <c r="E2" s="224"/>
      <c r="F2" s="224"/>
      <c r="G2" s="224"/>
      <c r="H2" s="224"/>
      <c r="I2" s="224"/>
      <c r="J2" s="224"/>
      <c r="K2" s="224"/>
      <c r="L2" s="224"/>
    </row>
    <row r="3" spans="1:1024" ht="12.75" customHeight="1" x14ac:dyDescent="0.25">
      <c r="A3" s="324"/>
      <c r="B3" s="322" t="s">
        <v>583</v>
      </c>
      <c r="C3" s="325"/>
      <c r="D3" s="224"/>
      <c r="E3" s="224"/>
      <c r="F3" s="224"/>
      <c r="G3" s="224"/>
      <c r="H3" s="224"/>
      <c r="I3" s="224"/>
      <c r="J3" s="224"/>
      <c r="K3" s="224"/>
      <c r="L3" s="224"/>
    </row>
    <row r="4" spans="1:1024" s="13" customFormat="1" ht="18" customHeight="1" x14ac:dyDescent="0.2">
      <c r="A4" s="712" t="s">
        <v>68</v>
      </c>
      <c r="B4" s="713"/>
      <c r="C4" s="713"/>
      <c r="D4" s="713"/>
      <c r="E4" s="713"/>
      <c r="F4" s="713"/>
      <c r="G4" s="713"/>
      <c r="H4" s="713"/>
      <c r="I4" s="713"/>
      <c r="J4" s="326"/>
      <c r="K4" s="326"/>
      <c r="L4" s="326"/>
    </row>
    <row r="5" spans="1:1024" s="13" customFormat="1" ht="54" customHeight="1" x14ac:dyDescent="0.2">
      <c r="A5" s="714" t="str">
        <f>CONCATENATE("Sindicato utilizado - ",E16,". Vigência: ",E18,"
Sendo a data base da categoria ",E19,". Com número de registro no MTE ",E17,".","
Datas-base de bases públicas utilizadas: ",E20,"",)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715"/>
      <c r="C5" s="715"/>
      <c r="D5" s="715"/>
      <c r="E5" s="715"/>
      <c r="F5" s="715"/>
      <c r="G5" s="715"/>
      <c r="H5" s="715"/>
      <c r="I5" s="715"/>
      <c r="J5" s="326"/>
      <c r="K5" s="326"/>
      <c r="L5" s="326"/>
    </row>
    <row r="6" spans="1:1024" s="13" customFormat="1" ht="24.75" customHeight="1" thickBot="1" x14ac:dyDescent="0.25">
      <c r="A6" s="716" t="s">
        <v>69</v>
      </c>
      <c r="B6" s="717"/>
      <c r="C6" s="717"/>
      <c r="D6" s="717"/>
      <c r="E6" s="717"/>
      <c r="F6" s="717"/>
      <c r="G6" s="717"/>
      <c r="H6" s="717"/>
      <c r="I6" s="717"/>
      <c r="J6" s="326"/>
      <c r="K6" s="326"/>
      <c r="L6" s="326"/>
    </row>
    <row r="7" spans="1:1024" s="13" customFormat="1" ht="96" customHeight="1" thickBot="1" x14ac:dyDescent="0.25">
      <c r="A7" s="327" t="s">
        <v>70</v>
      </c>
      <c r="B7" s="328" t="s">
        <v>46</v>
      </c>
      <c r="C7" s="329" t="s">
        <v>47</v>
      </c>
      <c r="D7" s="329" t="s">
        <v>48</v>
      </c>
      <c r="E7" s="329" t="s">
        <v>611</v>
      </c>
      <c r="F7" s="329" t="s">
        <v>71</v>
      </c>
      <c r="G7" s="329" t="s">
        <v>72</v>
      </c>
      <c r="H7" s="329" t="s">
        <v>73</v>
      </c>
      <c r="I7" s="329" t="s">
        <v>73</v>
      </c>
      <c r="J7" s="326"/>
      <c r="K7" s="326"/>
      <c r="L7" s="326"/>
    </row>
    <row r="8" spans="1:1024" s="13" customFormat="1" ht="24.75" customHeight="1" thickBot="1" x14ac:dyDescent="0.25">
      <c r="A8" s="702">
        <v>333903701</v>
      </c>
      <c r="B8" s="330" t="s">
        <v>74</v>
      </c>
      <c r="C8" s="331">
        <v>200</v>
      </c>
      <c r="D8" s="331">
        <v>1</v>
      </c>
      <c r="E8" s="332">
        <v>16697.830000000002</v>
      </c>
      <c r="F8" s="333">
        <f>ROUND(((E8/200)*C8),2)</f>
        <v>16697.830000000002</v>
      </c>
      <c r="G8" s="162">
        <v>0</v>
      </c>
      <c r="H8" s="334">
        <f t="shared" ref="H8:I12" si="0">SUM(F8:G8)</f>
        <v>16697.830000000002</v>
      </c>
      <c r="I8" s="334">
        <f t="shared" si="0"/>
        <v>16697.830000000002</v>
      </c>
      <c r="J8" s="326"/>
      <c r="K8" s="326"/>
      <c r="L8" s="326"/>
    </row>
    <row r="9" spans="1:1024" s="13" customFormat="1" ht="24.75" customHeight="1" thickBot="1" x14ac:dyDescent="0.25">
      <c r="A9" s="702"/>
      <c r="B9" s="330" t="s">
        <v>75</v>
      </c>
      <c r="C9" s="331">
        <v>200</v>
      </c>
      <c r="D9" s="331">
        <v>2</v>
      </c>
      <c r="E9" s="332">
        <v>13347.64</v>
      </c>
      <c r="F9" s="333">
        <f>ROUND(((E9/200)*C9),2)</f>
        <v>13347.64</v>
      </c>
      <c r="G9" s="162">
        <v>0</v>
      </c>
      <c r="H9" s="334">
        <f t="shared" si="0"/>
        <v>13347.64</v>
      </c>
      <c r="I9" s="334">
        <f t="shared" si="0"/>
        <v>13347.64</v>
      </c>
      <c r="J9" s="326"/>
      <c r="K9" s="326"/>
      <c r="L9" s="326"/>
    </row>
    <row r="10" spans="1:1024" s="13" customFormat="1" ht="24.75" customHeight="1" thickBot="1" x14ac:dyDescent="0.25">
      <c r="A10" s="702"/>
      <c r="B10" s="335" t="s">
        <v>76</v>
      </c>
      <c r="C10" s="336">
        <v>200</v>
      </c>
      <c r="D10" s="336">
        <v>0</v>
      </c>
      <c r="E10" s="337">
        <f>1518*8.5</f>
        <v>12903</v>
      </c>
      <c r="F10" s="333">
        <f>ROUND(((E10/200)*C10),2)</f>
        <v>12903</v>
      </c>
      <c r="G10" s="162">
        <v>0</v>
      </c>
      <c r="H10" s="334">
        <f t="shared" si="0"/>
        <v>12903</v>
      </c>
      <c r="I10" s="334">
        <f t="shared" si="0"/>
        <v>12903</v>
      </c>
      <c r="J10" s="326"/>
      <c r="K10" s="326"/>
      <c r="L10" s="326"/>
    </row>
    <row r="11" spans="1:1024" ht="24" customHeight="1" thickBot="1" x14ac:dyDescent="0.3">
      <c r="A11" s="702"/>
      <c r="B11" s="338" t="s">
        <v>77</v>
      </c>
      <c r="C11" s="339">
        <v>200</v>
      </c>
      <c r="D11" s="339">
        <v>1</v>
      </c>
      <c r="E11" s="340">
        <f>E12*147%</f>
        <v>5891.4512999999997</v>
      </c>
      <c r="F11" s="341">
        <f>ROUND(((E11/200)*C11),2)</f>
        <v>5891.45</v>
      </c>
      <c r="G11" s="162">
        <v>0</v>
      </c>
      <c r="H11" s="334">
        <f t="shared" si="0"/>
        <v>5891.45</v>
      </c>
      <c r="I11" s="334">
        <f t="shared" si="0"/>
        <v>5891.45</v>
      </c>
      <c r="J11" s="224"/>
      <c r="K11" s="224"/>
      <c r="L11" s="224"/>
      <c r="AMG11"/>
      <c r="AMH11"/>
      <c r="AMI11"/>
      <c r="AMJ11"/>
    </row>
    <row r="12" spans="1:1024" ht="24" customHeight="1" thickBot="1" x14ac:dyDescent="0.3">
      <c r="A12" s="702"/>
      <c r="B12" s="338" t="s">
        <v>78</v>
      </c>
      <c r="C12" s="342">
        <v>200</v>
      </c>
      <c r="D12" s="342">
        <v>5</v>
      </c>
      <c r="E12" s="343">
        <v>4007.79</v>
      </c>
      <c r="F12" s="344">
        <f>ROUND(((E12/200)*C12),2)</f>
        <v>4007.79</v>
      </c>
      <c r="G12" s="162">
        <v>0</v>
      </c>
      <c r="H12" s="334">
        <f t="shared" si="0"/>
        <v>4007.79</v>
      </c>
      <c r="I12" s="334">
        <f t="shared" si="0"/>
        <v>4007.79</v>
      </c>
      <c r="J12" s="224"/>
      <c r="K12" s="224"/>
      <c r="L12" s="224"/>
      <c r="AMG12"/>
      <c r="AMH12"/>
      <c r="AMI12"/>
      <c r="AMJ12"/>
    </row>
    <row r="13" spans="1:1024" ht="24" customHeight="1" x14ac:dyDescent="0.25">
      <c r="A13" s="224"/>
      <c r="B13" s="224"/>
      <c r="C13" s="224"/>
      <c r="D13" s="224"/>
      <c r="E13" s="126" t="s">
        <v>531</v>
      </c>
      <c r="F13" s="224"/>
      <c r="G13" s="224"/>
      <c r="H13" s="224"/>
      <c r="I13" s="224"/>
      <c r="J13" s="224"/>
      <c r="K13" s="224"/>
      <c r="L13" s="224"/>
      <c r="AMI13"/>
      <c r="AMJ13"/>
    </row>
    <row r="14" spans="1:1024" x14ac:dyDescent="0.25">
      <c r="A14" s="692" t="s">
        <v>79</v>
      </c>
      <c r="B14" s="692"/>
      <c r="C14" s="692"/>
      <c r="D14" s="692"/>
      <c r="E14" s="692"/>
      <c r="F14" s="692"/>
      <c r="G14" s="692"/>
      <c r="H14" s="139"/>
      <c r="I14" s="139"/>
      <c r="J14" s="224"/>
      <c r="K14" s="224"/>
      <c r="L14" s="224"/>
    </row>
    <row r="15" spans="1:1024" ht="30.75" customHeight="1" x14ac:dyDescent="0.25">
      <c r="A15" s="202">
        <v>1</v>
      </c>
      <c r="B15" s="691" t="s">
        <v>80</v>
      </c>
      <c r="C15" s="691"/>
      <c r="D15" s="691"/>
      <c r="E15" s="693" t="s">
        <v>81</v>
      </c>
      <c r="F15" s="693"/>
      <c r="G15" s="693"/>
      <c r="H15" s="690" t="s">
        <v>82</v>
      </c>
      <c r="I15" s="690"/>
      <c r="J15" s="690"/>
      <c r="K15" s="690"/>
      <c r="L15" s="690"/>
    </row>
    <row r="16" spans="1:1024" ht="30.75" customHeight="1" x14ac:dyDescent="0.25">
      <c r="A16" s="202">
        <v>2</v>
      </c>
      <c r="B16" s="691" t="s">
        <v>83</v>
      </c>
      <c r="C16" s="691"/>
      <c r="D16" s="691"/>
      <c r="E16" s="693" t="s">
        <v>84</v>
      </c>
      <c r="F16" s="693"/>
      <c r="G16" s="693"/>
      <c r="H16" s="690" t="s">
        <v>85</v>
      </c>
      <c r="I16" s="690"/>
      <c r="J16" s="690"/>
      <c r="K16" s="690"/>
      <c r="L16" s="690"/>
    </row>
    <row r="17" spans="1:12" ht="30.75" customHeight="1" x14ac:dyDescent="0.25">
      <c r="A17" s="202">
        <v>3</v>
      </c>
      <c r="B17" s="691" t="s">
        <v>86</v>
      </c>
      <c r="C17" s="691"/>
      <c r="D17" s="691"/>
      <c r="E17" s="693" t="s">
        <v>504</v>
      </c>
      <c r="F17" s="693"/>
      <c r="G17" s="693"/>
      <c r="H17" s="690" t="s">
        <v>87</v>
      </c>
      <c r="I17" s="690"/>
      <c r="J17" s="690"/>
      <c r="K17" s="690"/>
      <c r="L17" s="690"/>
    </row>
    <row r="18" spans="1:12" ht="30.75" customHeight="1" x14ac:dyDescent="0.25">
      <c r="A18" s="202">
        <v>4</v>
      </c>
      <c r="B18" s="691" t="s">
        <v>88</v>
      </c>
      <c r="C18" s="691"/>
      <c r="D18" s="691"/>
      <c r="E18" s="693" t="s">
        <v>89</v>
      </c>
      <c r="F18" s="693"/>
      <c r="G18" s="693"/>
      <c r="H18" s="690" t="s">
        <v>90</v>
      </c>
      <c r="I18" s="690"/>
      <c r="J18" s="690"/>
      <c r="K18" s="690"/>
      <c r="L18" s="690"/>
    </row>
    <row r="19" spans="1:12" ht="30.75" customHeight="1" x14ac:dyDescent="0.25">
      <c r="A19" s="202">
        <v>5</v>
      </c>
      <c r="B19" s="691" t="s">
        <v>91</v>
      </c>
      <c r="C19" s="691"/>
      <c r="D19" s="691"/>
      <c r="E19" s="693" t="s">
        <v>92</v>
      </c>
      <c r="F19" s="693"/>
      <c r="G19" s="693"/>
      <c r="H19" s="690" t="s">
        <v>93</v>
      </c>
      <c r="I19" s="690"/>
      <c r="J19" s="690"/>
      <c r="K19" s="690"/>
      <c r="L19" s="690"/>
    </row>
    <row r="20" spans="1:12" ht="30.75" customHeight="1" x14ac:dyDescent="0.25">
      <c r="A20" s="202">
        <v>6</v>
      </c>
      <c r="B20" s="691" t="s">
        <v>644</v>
      </c>
      <c r="C20" s="691"/>
      <c r="D20" s="691"/>
      <c r="E20" s="693" t="s">
        <v>80</v>
      </c>
      <c r="F20" s="693"/>
      <c r="G20" s="693"/>
      <c r="H20" s="690" t="s">
        <v>521</v>
      </c>
      <c r="I20" s="690"/>
      <c r="J20" s="690"/>
      <c r="K20" s="690"/>
      <c r="L20" s="690"/>
    </row>
    <row r="21" spans="1:12" x14ac:dyDescent="0.25">
      <c r="A21" s="224"/>
      <c r="B21" s="224"/>
      <c r="C21" s="224"/>
      <c r="D21" s="224"/>
      <c r="E21" s="345"/>
      <c r="F21" s="224"/>
      <c r="G21" s="224"/>
      <c r="H21" s="224"/>
      <c r="I21" s="224"/>
      <c r="J21" s="224"/>
      <c r="K21" s="224"/>
      <c r="L21" s="224"/>
    </row>
    <row r="22" spans="1:12" x14ac:dyDescent="0.25">
      <c r="A22" s="698" t="s">
        <v>94</v>
      </c>
      <c r="B22" s="698"/>
      <c r="C22" s="698"/>
      <c r="D22" s="698"/>
      <c r="E22" s="698"/>
      <c r="F22" s="698"/>
      <c r="G22" s="698"/>
      <c r="H22" s="326"/>
      <c r="I22" s="326"/>
      <c r="J22" s="224"/>
      <c r="K22" s="224"/>
      <c r="L22" s="224"/>
    </row>
    <row r="23" spans="1:12" x14ac:dyDescent="0.25">
      <c r="A23" s="346" t="s">
        <v>95</v>
      </c>
      <c r="B23" s="703" t="s">
        <v>96</v>
      </c>
      <c r="C23" s="703"/>
      <c r="D23" s="703"/>
      <c r="E23" s="703"/>
      <c r="F23" s="703"/>
      <c r="G23" s="347">
        <f>Encargos!$C$56</f>
        <v>0.76400000000000001</v>
      </c>
      <c r="H23" s="224"/>
      <c r="I23" s="224"/>
      <c r="J23" s="224"/>
      <c r="K23" s="224"/>
      <c r="L23" s="224"/>
    </row>
    <row r="24" spans="1:12" x14ac:dyDescent="0.25">
      <c r="A24" s="348"/>
      <c r="B24" s="349"/>
      <c r="C24" s="349"/>
      <c r="D24" s="349"/>
      <c r="E24" s="349"/>
      <c r="F24" s="349"/>
      <c r="G24" s="224"/>
      <c r="H24" s="224"/>
      <c r="I24" s="224"/>
      <c r="J24" s="224"/>
      <c r="K24" s="224"/>
      <c r="L24" s="224"/>
    </row>
    <row r="25" spans="1:12" x14ac:dyDescent="0.25">
      <c r="A25" s="346">
        <v>1</v>
      </c>
      <c r="B25" s="703" t="s">
        <v>529</v>
      </c>
      <c r="C25" s="703"/>
      <c r="D25" s="703"/>
      <c r="E25" s="703"/>
      <c r="F25" s="703"/>
      <c r="G25" s="350" t="s">
        <v>541</v>
      </c>
      <c r="H25" s="224" t="s">
        <v>524</v>
      </c>
      <c r="I25" s="224"/>
      <c r="J25" s="224"/>
      <c r="K25" s="224"/>
      <c r="L25" s="224"/>
    </row>
    <row r="26" spans="1:12" x14ac:dyDescent="0.25">
      <c r="A26" s="351">
        <v>2</v>
      </c>
      <c r="B26" s="691" t="s">
        <v>97</v>
      </c>
      <c r="C26" s="691"/>
      <c r="D26" s="691"/>
      <c r="E26" s="691"/>
      <c r="F26" s="691"/>
      <c r="G26" s="352">
        <f>G27*G28</f>
        <v>0.06</v>
      </c>
      <c r="H26" s="139"/>
      <c r="I26" s="224"/>
      <c r="J26" s="224"/>
      <c r="K26" s="224"/>
      <c r="L26" s="224"/>
    </row>
    <row r="27" spans="1:12" s="13" customFormat="1" x14ac:dyDescent="0.2">
      <c r="A27" s="351">
        <v>3</v>
      </c>
      <c r="B27" s="691" t="s">
        <v>98</v>
      </c>
      <c r="C27" s="691"/>
      <c r="D27" s="691"/>
      <c r="E27" s="691"/>
      <c r="F27" s="691"/>
      <c r="G27" s="123">
        <v>0.03</v>
      </c>
      <c r="H27" s="353" t="s">
        <v>99</v>
      </c>
      <c r="I27" s="326"/>
      <c r="J27" s="326"/>
      <c r="K27" s="326"/>
      <c r="L27" s="326"/>
    </row>
    <row r="28" spans="1:12" x14ac:dyDescent="0.25">
      <c r="A28" s="351">
        <v>4</v>
      </c>
      <c r="B28" s="691" t="s">
        <v>100</v>
      </c>
      <c r="C28" s="691"/>
      <c r="D28" s="691"/>
      <c r="E28" s="691"/>
      <c r="F28" s="691"/>
      <c r="G28" s="354">
        <v>2</v>
      </c>
      <c r="H28" s="353" t="s">
        <v>101</v>
      </c>
      <c r="I28" s="355"/>
      <c r="J28" s="224"/>
      <c r="K28" s="224"/>
      <c r="L28" s="356"/>
    </row>
    <row r="29" spans="1:12" x14ac:dyDescent="0.25">
      <c r="A29" s="224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356"/>
    </row>
    <row r="30" spans="1:12" s="13" customFormat="1" x14ac:dyDescent="0.25">
      <c r="A30" s="698" t="s">
        <v>102</v>
      </c>
      <c r="B30" s="698"/>
      <c r="C30" s="698"/>
      <c r="D30" s="698"/>
      <c r="E30" s="698"/>
      <c r="F30" s="698"/>
      <c r="G30" s="698"/>
      <c r="H30" s="326"/>
      <c r="I30" s="303"/>
      <c r="J30" s="326"/>
      <c r="K30" s="326"/>
      <c r="L30" s="326"/>
    </row>
    <row r="31" spans="1:12" x14ac:dyDescent="0.25">
      <c r="A31" s="357">
        <v>1</v>
      </c>
      <c r="B31" s="694" t="s">
        <v>103</v>
      </c>
      <c r="C31" s="694"/>
      <c r="D31" s="694"/>
      <c r="E31" s="694"/>
      <c r="F31" s="694"/>
      <c r="G31" s="358">
        <v>20</v>
      </c>
      <c r="H31" s="353" t="s">
        <v>104</v>
      </c>
      <c r="I31" s="224"/>
      <c r="J31" s="224"/>
      <c r="K31" s="224"/>
      <c r="L31" s="224"/>
    </row>
    <row r="32" spans="1:12" ht="13.9" customHeight="1" x14ac:dyDescent="0.25">
      <c r="A32" s="357">
        <v>2</v>
      </c>
      <c r="B32" s="695" t="s">
        <v>516</v>
      </c>
      <c r="C32" s="696"/>
      <c r="D32" s="696"/>
      <c r="E32" s="696"/>
      <c r="F32" s="697"/>
      <c r="G32" s="358">
        <v>380.02</v>
      </c>
      <c r="H32" s="353" t="s">
        <v>517</v>
      </c>
      <c r="I32" s="224"/>
      <c r="J32" s="224"/>
      <c r="K32" s="359"/>
      <c r="L32" s="224"/>
    </row>
    <row r="33" spans="1:12" ht="14.25" customHeight="1" x14ac:dyDescent="0.25">
      <c r="A33" s="718" t="s">
        <v>514</v>
      </c>
      <c r="B33" s="708" t="s">
        <v>612</v>
      </c>
      <c r="C33" s="709"/>
      <c r="D33" s="709"/>
      <c r="E33" s="709"/>
      <c r="F33" s="710"/>
      <c r="G33" s="699" t="s">
        <v>373</v>
      </c>
      <c r="H33" s="224" t="s">
        <v>524</v>
      </c>
      <c r="I33" s="224"/>
      <c r="J33" s="224"/>
      <c r="K33" s="359"/>
      <c r="L33" s="224"/>
    </row>
    <row r="34" spans="1:12" ht="14.25" customHeight="1" x14ac:dyDescent="0.25">
      <c r="A34" s="719"/>
      <c r="B34" s="720"/>
      <c r="C34" s="721"/>
      <c r="D34" s="721"/>
      <c r="E34" s="721"/>
      <c r="F34" s="722"/>
      <c r="G34" s="700"/>
      <c r="H34" s="361" t="str">
        <f>IF(G33="SIM","Opção Sim - Fornecimento conforme CCT SINAENCO.","Opção Não - Informar percentual de custo da contratada em relação ao valor mensal do plano de saúde.")</f>
        <v>Opção Sim - Fornecimento conforme CCT SINAENCO.</v>
      </c>
      <c r="I34" s="224"/>
      <c r="J34" s="224"/>
      <c r="K34" s="359"/>
      <c r="L34" s="224"/>
    </row>
    <row r="35" spans="1:12" ht="34.9" customHeight="1" x14ac:dyDescent="0.25">
      <c r="A35" s="360" t="s">
        <v>515</v>
      </c>
      <c r="B35" s="695" t="s">
        <v>613</v>
      </c>
      <c r="C35" s="696"/>
      <c r="D35" s="696"/>
      <c r="E35" s="696"/>
      <c r="F35" s="697"/>
      <c r="G35" s="127" t="str">
        <f>IF(G33="SIM","Conforme SINAENCO","INFORMAR PERCENTUAL")</f>
        <v>Conforme SINAENCO</v>
      </c>
      <c r="H35" s="353" t="s">
        <v>525</v>
      </c>
      <c r="I35" s="224"/>
      <c r="J35" s="224"/>
      <c r="K35" s="359"/>
      <c r="L35" s="224"/>
    </row>
    <row r="36" spans="1:12" ht="14.25" customHeight="1" x14ac:dyDescent="0.25">
      <c r="A36" s="711">
        <v>3</v>
      </c>
      <c r="B36" s="694" t="s">
        <v>105</v>
      </c>
      <c r="C36" s="703" t="s">
        <v>106</v>
      </c>
      <c r="D36" s="703"/>
      <c r="E36" s="703"/>
      <c r="F36" s="703"/>
      <c r="G36" s="358">
        <v>38.26</v>
      </c>
      <c r="H36" s="224" t="s">
        <v>107</v>
      </c>
      <c r="I36" s="224"/>
      <c r="J36" s="224"/>
      <c r="K36" s="224"/>
      <c r="L36" s="224"/>
    </row>
    <row r="37" spans="1:12" ht="14.25" customHeight="1" x14ac:dyDescent="0.25">
      <c r="A37" s="711"/>
      <c r="B37" s="694"/>
      <c r="C37" s="694" t="s">
        <v>108</v>
      </c>
      <c r="D37" s="694"/>
      <c r="E37" s="694"/>
      <c r="F37" s="694"/>
      <c r="G37" s="362">
        <v>22</v>
      </c>
      <c r="H37" s="353" t="s">
        <v>109</v>
      </c>
      <c r="I37" s="224"/>
      <c r="J37" s="224"/>
      <c r="K37" s="224"/>
      <c r="L37" s="224"/>
    </row>
    <row r="38" spans="1:12" ht="14.25" customHeight="1" x14ac:dyDescent="0.25">
      <c r="A38" s="711"/>
      <c r="B38" s="694"/>
      <c r="C38" s="694" t="s">
        <v>110</v>
      </c>
      <c r="D38" s="694"/>
      <c r="E38" s="694"/>
      <c r="F38" s="694"/>
      <c r="G38" s="363">
        <v>0.2</v>
      </c>
      <c r="H38" s="224" t="s">
        <v>111</v>
      </c>
      <c r="I38" s="224"/>
      <c r="J38" s="224"/>
      <c r="K38" s="224"/>
      <c r="L38" s="224"/>
    </row>
    <row r="39" spans="1:12" ht="14.25" customHeight="1" x14ac:dyDescent="0.25">
      <c r="A39" s="718" t="s">
        <v>6</v>
      </c>
      <c r="B39" s="708" t="s">
        <v>614</v>
      </c>
      <c r="C39" s="709"/>
      <c r="D39" s="709"/>
      <c r="E39" s="709"/>
      <c r="F39" s="710"/>
      <c r="G39" s="699" t="s">
        <v>373</v>
      </c>
      <c r="H39" s="224" t="s">
        <v>524</v>
      </c>
      <c r="I39" s="224"/>
      <c r="J39" s="224"/>
      <c r="K39" s="224"/>
      <c r="L39" s="224"/>
    </row>
    <row r="40" spans="1:12" ht="14.25" customHeight="1" x14ac:dyDescent="0.25">
      <c r="A40" s="719"/>
      <c r="B40" s="720"/>
      <c r="C40" s="721"/>
      <c r="D40" s="721"/>
      <c r="E40" s="721"/>
      <c r="F40" s="722"/>
      <c r="G40" s="700"/>
      <c r="H40" s="361" t="str">
        <f>IF(G39="SIM","Opção Sim - Fornecimento conforme CCT SINAENCO.","Opção Não - Apresentação de V.A para todos os postos.")</f>
        <v>Opção Sim - Fornecimento conforme CCT SINAENCO.</v>
      </c>
      <c r="I40" s="224"/>
      <c r="J40" s="224"/>
      <c r="K40" s="224"/>
      <c r="L40" s="224"/>
    </row>
    <row r="41" spans="1:12" ht="14.25" customHeight="1" x14ac:dyDescent="0.25">
      <c r="A41" s="711">
        <v>4</v>
      </c>
      <c r="B41" s="694" t="s">
        <v>112</v>
      </c>
      <c r="C41" s="703" t="s">
        <v>113</v>
      </c>
      <c r="D41" s="703"/>
      <c r="E41" s="703"/>
      <c r="F41" s="703"/>
      <c r="G41" s="354">
        <v>2</v>
      </c>
      <c r="H41" s="224" t="s">
        <v>114</v>
      </c>
      <c r="I41" s="224"/>
      <c r="J41" s="224"/>
      <c r="K41" s="224"/>
      <c r="L41" s="224"/>
    </row>
    <row r="42" spans="1:12" x14ac:dyDescent="0.25">
      <c r="A42" s="711"/>
      <c r="B42" s="694"/>
      <c r="C42" s="703" t="s">
        <v>115</v>
      </c>
      <c r="D42" s="703"/>
      <c r="E42" s="703"/>
      <c r="F42" s="703"/>
      <c r="G42" s="358">
        <v>4.5</v>
      </c>
      <c r="H42" s="224" t="s">
        <v>116</v>
      </c>
      <c r="I42" s="224"/>
      <c r="J42" s="224"/>
      <c r="K42" s="224"/>
      <c r="L42" s="224"/>
    </row>
    <row r="43" spans="1:12" x14ac:dyDescent="0.25">
      <c r="A43" s="711"/>
      <c r="B43" s="694"/>
      <c r="C43" s="703" t="s">
        <v>117</v>
      </c>
      <c r="D43" s="703"/>
      <c r="E43" s="703"/>
      <c r="F43" s="703"/>
      <c r="G43" s="354">
        <v>2</v>
      </c>
      <c r="H43" s="224" t="s">
        <v>114</v>
      </c>
      <c r="I43" s="224"/>
      <c r="J43" s="224"/>
      <c r="K43" s="224"/>
      <c r="L43" s="224"/>
    </row>
    <row r="44" spans="1:12" x14ac:dyDescent="0.25">
      <c r="A44" s="711"/>
      <c r="B44" s="694"/>
      <c r="C44" s="703" t="s">
        <v>118</v>
      </c>
      <c r="D44" s="703"/>
      <c r="E44" s="703"/>
      <c r="F44" s="703"/>
      <c r="G44" s="364">
        <v>7.1</v>
      </c>
      <c r="H44" s="224" t="s">
        <v>119</v>
      </c>
      <c r="I44" s="224"/>
      <c r="J44" s="224"/>
      <c r="K44" s="224"/>
      <c r="L44" s="224"/>
    </row>
    <row r="45" spans="1:12" ht="14.25" customHeight="1" x14ac:dyDescent="0.25">
      <c r="A45" s="711"/>
      <c r="B45" s="694"/>
      <c r="C45" s="694" t="s">
        <v>108</v>
      </c>
      <c r="D45" s="694"/>
      <c r="E45" s="694"/>
      <c r="F45" s="694"/>
      <c r="G45" s="362">
        <v>22</v>
      </c>
      <c r="H45" s="353" t="s">
        <v>109</v>
      </c>
      <c r="I45" s="224"/>
      <c r="J45" s="224"/>
      <c r="K45" s="224"/>
      <c r="L45" s="224"/>
    </row>
    <row r="46" spans="1:12" ht="14.25" customHeight="1" x14ac:dyDescent="0.25">
      <c r="A46" s="711"/>
      <c r="B46" s="694"/>
      <c r="C46" s="694" t="s">
        <v>110</v>
      </c>
      <c r="D46" s="694"/>
      <c r="E46" s="694"/>
      <c r="F46" s="694"/>
      <c r="G46" s="363">
        <v>0.06</v>
      </c>
      <c r="H46" s="224" t="s">
        <v>111</v>
      </c>
      <c r="I46" s="224"/>
      <c r="J46" s="224"/>
      <c r="K46" s="224"/>
      <c r="L46" s="224"/>
    </row>
    <row r="47" spans="1:12" s="15" customFormat="1" ht="28.5" customHeight="1" x14ac:dyDescent="0.2">
      <c r="A47" s="202">
        <v>5</v>
      </c>
      <c r="B47" s="708" t="s">
        <v>547</v>
      </c>
      <c r="C47" s="709"/>
      <c r="D47" s="709"/>
      <c r="E47" s="709"/>
      <c r="F47" s="710"/>
      <c r="G47" s="365">
        <f>Equipamentos!G23</f>
        <v>100.15547800925926</v>
      </c>
      <c r="H47" s="690" t="s">
        <v>536</v>
      </c>
      <c r="I47" s="690"/>
      <c r="J47" s="690"/>
      <c r="K47" s="690"/>
      <c r="L47" s="690"/>
    </row>
    <row r="48" spans="1:12" s="15" customFormat="1" ht="28.5" customHeight="1" x14ac:dyDescent="0.2">
      <c r="A48" s="202">
        <v>6</v>
      </c>
      <c r="B48" s="708" t="s">
        <v>548</v>
      </c>
      <c r="C48" s="709"/>
      <c r="D48" s="709"/>
      <c r="E48" s="709"/>
      <c r="F48" s="710"/>
      <c r="G48" s="365">
        <f>Equipamentos!G31</f>
        <v>68.819999999999993</v>
      </c>
      <c r="H48" s="690" t="s">
        <v>536</v>
      </c>
      <c r="I48" s="690"/>
      <c r="J48" s="690"/>
      <c r="K48" s="690"/>
      <c r="L48" s="690"/>
    </row>
    <row r="49" spans="1:12" s="15" customFormat="1" ht="28.5" customHeight="1" x14ac:dyDescent="0.2">
      <c r="A49" s="202">
        <v>7</v>
      </c>
      <c r="B49" s="705" t="s">
        <v>120</v>
      </c>
      <c r="C49" s="705"/>
      <c r="D49" s="705"/>
      <c r="E49" s="705"/>
      <c r="F49" s="705"/>
      <c r="G49" s="366">
        <v>0</v>
      </c>
      <c r="H49" s="690" t="s">
        <v>121</v>
      </c>
      <c r="I49" s="690"/>
      <c r="J49" s="690"/>
      <c r="K49" s="690"/>
      <c r="L49" s="690"/>
    </row>
    <row r="50" spans="1:12" s="15" customFormat="1" ht="28.5" customHeight="1" x14ac:dyDescent="0.2">
      <c r="A50" s="202">
        <v>8</v>
      </c>
      <c r="B50" s="705" t="s">
        <v>120</v>
      </c>
      <c r="C50" s="705"/>
      <c r="D50" s="705"/>
      <c r="E50" s="705"/>
      <c r="F50" s="705"/>
      <c r="G50" s="366">
        <v>0</v>
      </c>
      <c r="H50" s="690" t="s">
        <v>121</v>
      </c>
      <c r="I50" s="690"/>
      <c r="J50" s="690"/>
      <c r="K50" s="690"/>
      <c r="L50" s="690"/>
    </row>
    <row r="51" spans="1:12" ht="18.75" customHeight="1" x14ac:dyDescent="0.25">
      <c r="A51" s="367"/>
      <c r="B51" s="368"/>
      <c r="C51" s="368"/>
      <c r="D51" s="368"/>
      <c r="E51" s="368"/>
      <c r="F51" s="368"/>
      <c r="G51" s="224"/>
      <c r="H51" s="224"/>
      <c r="I51" s="224"/>
      <c r="J51" s="224"/>
      <c r="K51" s="224"/>
      <c r="L51" s="224"/>
    </row>
    <row r="52" spans="1:12" s="13" customFormat="1" x14ac:dyDescent="0.2">
      <c r="A52" s="698" t="s">
        <v>122</v>
      </c>
      <c r="B52" s="698"/>
      <c r="C52" s="698"/>
      <c r="D52" s="698"/>
      <c r="E52" s="698"/>
      <c r="F52" s="698"/>
      <c r="G52" s="698"/>
      <c r="H52" s="326"/>
      <c r="I52" s="326"/>
      <c r="J52" s="326"/>
      <c r="K52" s="326"/>
      <c r="L52" s="326"/>
    </row>
    <row r="53" spans="1:12" x14ac:dyDescent="0.25">
      <c r="A53" s="357">
        <v>1</v>
      </c>
      <c r="B53" s="703" t="s">
        <v>123</v>
      </c>
      <c r="C53" s="703"/>
      <c r="D53" s="703"/>
      <c r="E53" s="703"/>
      <c r="F53" s="703"/>
      <c r="G53" s="371">
        <v>0.03</v>
      </c>
      <c r="H53" s="353" t="s">
        <v>124</v>
      </c>
      <c r="I53" s="224"/>
      <c r="J53" s="224"/>
      <c r="K53" s="224"/>
      <c r="L53" s="224"/>
    </row>
    <row r="54" spans="1:12" x14ac:dyDescent="0.25">
      <c r="A54" s="357">
        <v>2</v>
      </c>
      <c r="B54" s="703" t="s">
        <v>125</v>
      </c>
      <c r="C54" s="703"/>
      <c r="D54" s="703"/>
      <c r="E54" s="703"/>
      <c r="F54" s="703"/>
      <c r="G54" s="371">
        <v>6.7900000000000002E-2</v>
      </c>
      <c r="H54" s="353" t="s">
        <v>124</v>
      </c>
      <c r="I54" s="224"/>
      <c r="J54" s="224"/>
      <c r="K54" s="224"/>
      <c r="L54" s="224"/>
    </row>
    <row r="55" spans="1:12" x14ac:dyDescent="0.25">
      <c r="A55" s="326"/>
      <c r="B55" s="349"/>
      <c r="C55" s="349"/>
      <c r="D55" s="349"/>
      <c r="E55" s="349"/>
      <c r="F55" s="349"/>
      <c r="G55" s="369"/>
      <c r="H55" s="353"/>
      <c r="I55" s="224"/>
      <c r="J55" s="224"/>
      <c r="K55" s="224"/>
      <c r="L55" s="224"/>
    </row>
    <row r="56" spans="1:12" x14ac:dyDescent="0.25">
      <c r="A56" s="698" t="s">
        <v>126</v>
      </c>
      <c r="B56" s="698"/>
      <c r="C56" s="698"/>
      <c r="D56" s="698"/>
      <c r="E56" s="698"/>
      <c r="F56" s="698"/>
      <c r="G56" s="698"/>
      <c r="H56" s="353"/>
      <c r="I56" s="224"/>
      <c r="J56" s="224"/>
      <c r="K56" s="224"/>
      <c r="L56" s="224"/>
    </row>
    <row r="57" spans="1:12" ht="14.25" customHeight="1" x14ac:dyDescent="0.25">
      <c r="A57" s="704" t="s">
        <v>127</v>
      </c>
      <c r="B57" s="704" t="str">
        <f>IF(F60="LUCRO REAL","INFORMAR ALÍQUOTAS MÉDIAS DE RECOLHIMENTO DOS ÚLTIMOS 12 (DOZE) MESES.",IF(F60="LUCRO PRESUMIDO","ALÍQUOTAS FIXAS - PIS: 0,65%; COFINS: 3,00%.",IF(F60="SIMPLES NACIONAL","NECESSÁRIO COMUNICAR A EXCLUSÃO DO SIMPLES NACIONAL - REGIME DE CONTRATAÇÃO INCOMPATÍVEL COM A LEI 123/2003. DEFINIR OUTRO REGIME TRIBUTÁRIO PARA O PRESENTE PROCESSO, OU APRESENTAR AS JUSTIFICATIVAS LEGAIS.","INFORMAR ALÍQUOTA E APRESENTAR AS JUSTIFICATIVAS LEGAIS.")))</f>
        <v>INFORMAR ALÍQUOTAS MÉDIAS DE RECOLHIMENTO DOS ÚLTIMOS 12 (DOZE) MESES.</v>
      </c>
      <c r="C57" s="704"/>
      <c r="D57" s="704"/>
      <c r="E57" s="704"/>
      <c r="F57" s="704"/>
      <c r="G57" s="704"/>
      <c r="H57" s="353"/>
      <c r="I57" s="224"/>
      <c r="J57" s="224"/>
      <c r="K57" s="224"/>
      <c r="L57" s="224"/>
    </row>
    <row r="58" spans="1:12" x14ac:dyDescent="0.25">
      <c r="A58" s="704"/>
      <c r="B58" s="704"/>
      <c r="C58" s="704"/>
      <c r="D58" s="704"/>
      <c r="E58" s="704"/>
      <c r="F58" s="704"/>
      <c r="G58" s="704"/>
      <c r="H58" s="353"/>
      <c r="I58" s="224"/>
      <c r="J58" s="224"/>
      <c r="K58" s="224"/>
      <c r="L58" s="224"/>
    </row>
    <row r="59" spans="1:12" x14ac:dyDescent="0.25">
      <c r="A59" s="704"/>
      <c r="B59" s="704"/>
      <c r="C59" s="704"/>
      <c r="D59" s="704"/>
      <c r="E59" s="704"/>
      <c r="F59" s="704"/>
      <c r="G59" s="704"/>
      <c r="H59" s="353"/>
      <c r="I59" s="224"/>
      <c r="J59" s="224"/>
      <c r="K59" s="224"/>
      <c r="L59" s="224"/>
    </row>
    <row r="60" spans="1:12" x14ac:dyDescent="0.25">
      <c r="A60" s="370">
        <v>1</v>
      </c>
      <c r="B60" s="691" t="s">
        <v>128</v>
      </c>
      <c r="C60" s="691"/>
      <c r="D60" s="691"/>
      <c r="E60" s="691"/>
      <c r="F60" s="693" t="s">
        <v>129</v>
      </c>
      <c r="G60" s="693"/>
      <c r="H60" s="224" t="s">
        <v>522</v>
      </c>
      <c r="I60" s="224"/>
      <c r="J60" s="224"/>
      <c r="K60" s="224"/>
      <c r="L60" s="224"/>
    </row>
    <row r="61" spans="1:12" x14ac:dyDescent="0.25">
      <c r="A61" s="370">
        <v>2</v>
      </c>
      <c r="B61" s="703" t="s">
        <v>130</v>
      </c>
      <c r="C61" s="703"/>
      <c r="D61" s="703"/>
      <c r="E61" s="703"/>
      <c r="F61" s="703"/>
      <c r="G61" s="371">
        <v>7.5999999999999998E-2</v>
      </c>
      <c r="H61" s="224" t="s">
        <v>520</v>
      </c>
      <c r="I61" s="224"/>
      <c r="J61" s="224"/>
      <c r="K61" s="224"/>
      <c r="L61" s="224"/>
    </row>
    <row r="62" spans="1:12" x14ac:dyDescent="0.25">
      <c r="A62" s="370">
        <v>3</v>
      </c>
      <c r="B62" s="703" t="s">
        <v>131</v>
      </c>
      <c r="C62" s="703"/>
      <c r="D62" s="703"/>
      <c r="E62" s="703"/>
      <c r="F62" s="703"/>
      <c r="G62" s="371">
        <v>1.6500000000000001E-2</v>
      </c>
      <c r="H62" s="224" t="s">
        <v>519</v>
      </c>
      <c r="I62" s="224"/>
      <c r="J62" s="224"/>
      <c r="K62" s="224"/>
      <c r="L62" s="224"/>
    </row>
    <row r="63" spans="1:12" x14ac:dyDescent="0.25">
      <c r="A63" s="370">
        <v>4</v>
      </c>
      <c r="B63" s="703" t="s">
        <v>132</v>
      </c>
      <c r="C63" s="703"/>
      <c r="D63" s="703"/>
      <c r="E63" s="703"/>
      <c r="F63" s="703"/>
      <c r="G63" s="371">
        <v>0.05</v>
      </c>
      <c r="H63" s="224" t="s">
        <v>519</v>
      </c>
      <c r="I63" s="224"/>
      <c r="J63" s="224"/>
      <c r="K63" s="224"/>
      <c r="L63" s="224"/>
    </row>
    <row r="64" spans="1:12" x14ac:dyDescent="0.25">
      <c r="A64" s="370">
        <v>5</v>
      </c>
      <c r="B64" s="706" t="s">
        <v>528</v>
      </c>
      <c r="C64" s="706"/>
      <c r="D64" s="706"/>
      <c r="E64" s="706"/>
      <c r="F64" s="706"/>
      <c r="G64" s="371">
        <v>0</v>
      </c>
      <c r="H64" s="224" t="s">
        <v>519</v>
      </c>
      <c r="I64" s="224"/>
      <c r="J64" s="224"/>
      <c r="K64" s="224"/>
      <c r="L64" s="224"/>
    </row>
    <row r="65" spans="1:1024" x14ac:dyDescent="0.25">
      <c r="A65" s="370">
        <v>6</v>
      </c>
      <c r="B65" s="703" t="s">
        <v>133</v>
      </c>
      <c r="C65" s="703"/>
      <c r="D65" s="703"/>
      <c r="E65" s="703"/>
      <c r="F65" s="703"/>
      <c r="G65" s="347">
        <f>SUM(G61:G64)</f>
        <v>0.14250000000000002</v>
      </c>
      <c r="H65" s="224"/>
      <c r="I65" s="224"/>
      <c r="J65" s="224"/>
      <c r="K65" s="224"/>
      <c r="L65" s="224"/>
    </row>
    <row r="66" spans="1:1024" ht="20.25" customHeight="1" x14ac:dyDescent="0.25">
      <c r="A66" s="372"/>
      <c r="B66" s="373"/>
      <c r="C66" s="373"/>
      <c r="D66" s="373"/>
      <c r="E66" s="374"/>
      <c r="F66" s="374"/>
      <c r="G66" s="224"/>
      <c r="H66" s="224"/>
      <c r="I66" s="224"/>
      <c r="J66" s="224"/>
      <c r="K66" s="224"/>
      <c r="L66" s="224"/>
    </row>
    <row r="67" spans="1:1024" x14ac:dyDescent="0.25">
      <c r="A67" s="704" t="s">
        <v>513</v>
      </c>
      <c r="B67" s="704"/>
      <c r="C67" s="704"/>
      <c r="D67" s="704"/>
      <c r="E67" s="704"/>
      <c r="F67" s="704"/>
      <c r="G67" s="704"/>
      <c r="H67" s="224"/>
      <c r="I67" s="224"/>
      <c r="J67" s="224"/>
      <c r="K67" s="224"/>
      <c r="L67" s="224"/>
    </row>
    <row r="68" spans="1:1024" ht="31.5" customHeight="1" x14ac:dyDescent="0.25">
      <c r="A68" s="375" t="s">
        <v>64</v>
      </c>
      <c r="B68" s="707" t="s">
        <v>65</v>
      </c>
      <c r="C68" s="707"/>
      <c r="D68" s="707"/>
      <c r="E68" s="707"/>
      <c r="F68" s="125" t="s">
        <v>643</v>
      </c>
      <c r="G68" s="125" t="s">
        <v>134</v>
      </c>
      <c r="H68" s="224"/>
      <c r="I68" s="224"/>
      <c r="J68" s="224"/>
      <c r="K68" s="224"/>
      <c r="L68" s="224"/>
    </row>
    <row r="69" spans="1:1024" ht="31.5" customHeight="1" x14ac:dyDescent="0.25">
      <c r="A69" s="357">
        <v>1</v>
      </c>
      <c r="B69" s="694" t="s">
        <v>140</v>
      </c>
      <c r="C69" s="694"/>
      <c r="D69" s="694"/>
      <c r="E69" s="694"/>
      <c r="F69" s="376">
        <f>24/12</f>
        <v>2</v>
      </c>
      <c r="G69" s="377">
        <v>96.62</v>
      </c>
      <c r="H69" s="353" t="s">
        <v>518</v>
      </c>
      <c r="I69" s="224"/>
      <c r="J69" s="224"/>
      <c r="K69" s="224"/>
      <c r="L69" s="224"/>
    </row>
    <row r="70" spans="1:1024" ht="20.25" customHeight="1" x14ac:dyDescent="0.25">
      <c r="A70" s="357">
        <v>2</v>
      </c>
      <c r="B70" s="694" t="s">
        <v>141</v>
      </c>
      <c r="C70" s="694"/>
      <c r="D70" s="694"/>
      <c r="E70" s="694"/>
      <c r="F70" s="376">
        <f>12/12</f>
        <v>1</v>
      </c>
      <c r="G70" s="377">
        <v>254.59</v>
      </c>
      <c r="H70" s="353" t="s">
        <v>518</v>
      </c>
      <c r="I70" s="224"/>
      <c r="J70" s="224"/>
      <c r="K70" s="224"/>
      <c r="L70" s="224"/>
    </row>
    <row r="71" spans="1:1024" ht="30.75" customHeight="1" x14ac:dyDescent="0.25">
      <c r="A71" s="346">
        <v>4</v>
      </c>
      <c r="B71" s="695" t="s">
        <v>527</v>
      </c>
      <c r="C71" s="696"/>
      <c r="D71" s="696"/>
      <c r="E71" s="696"/>
      <c r="F71" s="697"/>
      <c r="G71" s="363">
        <v>0.25</v>
      </c>
      <c r="H71" s="353" t="s">
        <v>505</v>
      </c>
      <c r="I71" s="224"/>
      <c r="J71" s="224"/>
      <c r="K71" s="224"/>
      <c r="L71" s="224"/>
    </row>
    <row r="72" spans="1:1024" ht="20.25" customHeight="1" x14ac:dyDescent="0.25">
      <c r="A72" s="346">
        <v>5</v>
      </c>
      <c r="B72" s="695" t="s">
        <v>526</v>
      </c>
      <c r="C72" s="696"/>
      <c r="D72" s="696"/>
      <c r="E72" s="696"/>
      <c r="F72" s="697"/>
      <c r="G72" s="363">
        <v>0.2</v>
      </c>
      <c r="H72" s="353" t="s">
        <v>505</v>
      </c>
      <c r="I72" s="224"/>
      <c r="J72" s="224"/>
      <c r="K72" s="224"/>
      <c r="L72" s="224"/>
    </row>
    <row r="73" spans="1:1024" ht="20.25" customHeight="1" x14ac:dyDescent="0.25">
      <c r="A73" s="346">
        <v>6</v>
      </c>
      <c r="B73" s="695" t="s">
        <v>439</v>
      </c>
      <c r="C73" s="696"/>
      <c r="D73" s="696"/>
      <c r="E73" s="696"/>
      <c r="F73" s="697"/>
      <c r="G73" s="363">
        <v>0.5</v>
      </c>
      <c r="H73" s="353" t="s">
        <v>505</v>
      </c>
      <c r="I73" s="224"/>
      <c r="J73" s="224"/>
      <c r="K73" s="224"/>
      <c r="L73" s="224"/>
    </row>
    <row r="74" spans="1:1024" ht="20.25" customHeight="1" x14ac:dyDescent="0.25">
      <c r="A74" s="346">
        <v>7</v>
      </c>
      <c r="B74" s="695" t="s">
        <v>443</v>
      </c>
      <c r="C74" s="696"/>
      <c r="D74" s="696"/>
      <c r="E74" s="696"/>
      <c r="F74" s="697"/>
      <c r="G74" s="363">
        <v>1</v>
      </c>
      <c r="H74" s="353" t="s">
        <v>505</v>
      </c>
      <c r="I74" s="224"/>
      <c r="J74" s="224"/>
      <c r="K74" s="224"/>
      <c r="L74" s="224"/>
    </row>
    <row r="75" spans="1:1024" ht="46.9" customHeight="1" x14ac:dyDescent="0.25">
      <c r="A75" s="701" t="s">
        <v>540</v>
      </c>
      <c r="B75" s="701"/>
      <c r="C75" s="125" t="s">
        <v>508</v>
      </c>
      <c r="D75" s="125" t="s">
        <v>509</v>
      </c>
      <c r="E75" s="125" t="s">
        <v>510</v>
      </c>
      <c r="F75" s="125" t="s">
        <v>511</v>
      </c>
      <c r="G75" s="125" t="s">
        <v>512</v>
      </c>
      <c r="H75" s="353"/>
      <c r="I75" s="224"/>
      <c r="J75" s="224"/>
      <c r="K75" s="224"/>
      <c r="L75" s="224"/>
      <c r="AMJ75"/>
    </row>
    <row r="76" spans="1:1024" ht="20.25" customHeight="1" x14ac:dyDescent="0.25">
      <c r="A76" s="346">
        <v>7</v>
      </c>
      <c r="B76" s="378" t="s">
        <v>74</v>
      </c>
      <c r="C76" s="379">
        <v>2</v>
      </c>
      <c r="D76" s="379">
        <v>2</v>
      </c>
      <c r="E76" s="379">
        <v>2</v>
      </c>
      <c r="F76" s="379">
        <v>1</v>
      </c>
      <c r="G76" s="379">
        <v>1</v>
      </c>
      <c r="H76" s="353" t="s">
        <v>523</v>
      </c>
      <c r="I76" s="224"/>
      <c r="J76" s="224"/>
      <c r="K76" s="224"/>
      <c r="L76" s="224"/>
      <c r="AMJ76"/>
    </row>
    <row r="77" spans="1:1024" ht="20.25" customHeight="1" x14ac:dyDescent="0.25">
      <c r="A77" s="346">
        <v>8</v>
      </c>
      <c r="B77" s="378" t="s">
        <v>75</v>
      </c>
      <c r="C77" s="379">
        <v>2</v>
      </c>
      <c r="D77" s="379">
        <v>2</v>
      </c>
      <c r="E77" s="379">
        <v>2</v>
      </c>
      <c r="F77" s="379">
        <v>1</v>
      </c>
      <c r="G77" s="379">
        <v>1</v>
      </c>
      <c r="H77" s="353" t="s">
        <v>523</v>
      </c>
      <c r="I77" s="224"/>
      <c r="J77" s="224"/>
      <c r="K77" s="224"/>
      <c r="L77" s="224"/>
      <c r="AMJ77"/>
    </row>
    <row r="78" spans="1:1024" ht="20.25" customHeight="1" x14ac:dyDescent="0.25">
      <c r="A78" s="346">
        <v>9</v>
      </c>
      <c r="B78" s="378" t="s">
        <v>76</v>
      </c>
      <c r="C78" s="379">
        <v>0</v>
      </c>
      <c r="D78" s="379">
        <v>0</v>
      </c>
      <c r="E78" s="379">
        <v>0</v>
      </c>
      <c r="F78" s="379">
        <v>0</v>
      </c>
      <c r="G78" s="379">
        <v>0</v>
      </c>
      <c r="H78" s="353" t="s">
        <v>523</v>
      </c>
      <c r="I78" s="224"/>
      <c r="J78" s="224"/>
      <c r="K78" s="224"/>
      <c r="L78" s="224"/>
      <c r="AMJ78"/>
    </row>
    <row r="79" spans="1:1024" ht="20.25" customHeight="1" x14ac:dyDescent="0.25">
      <c r="A79" s="346">
        <v>10</v>
      </c>
      <c r="B79" s="378" t="s">
        <v>77</v>
      </c>
      <c r="C79" s="379">
        <v>4</v>
      </c>
      <c r="D79" s="379">
        <v>4</v>
      </c>
      <c r="E79" s="379">
        <v>4</v>
      </c>
      <c r="F79" s="379">
        <v>1</v>
      </c>
      <c r="G79" s="379">
        <v>1</v>
      </c>
      <c r="H79" s="353" t="s">
        <v>523</v>
      </c>
      <c r="I79" s="224"/>
      <c r="J79" s="224"/>
      <c r="K79" s="224"/>
      <c r="L79" s="224"/>
      <c r="AMJ79"/>
    </row>
    <row r="80" spans="1:1024" ht="20.25" customHeight="1" x14ac:dyDescent="0.25">
      <c r="A80" s="346">
        <v>11</v>
      </c>
      <c r="B80" s="378" t="s">
        <v>78</v>
      </c>
      <c r="C80" s="379">
        <v>4</v>
      </c>
      <c r="D80" s="379">
        <v>4</v>
      </c>
      <c r="E80" s="379">
        <v>4</v>
      </c>
      <c r="F80" s="379">
        <v>1</v>
      </c>
      <c r="G80" s="379">
        <v>1</v>
      </c>
      <c r="H80" s="353" t="s">
        <v>523</v>
      </c>
      <c r="I80" s="224"/>
      <c r="J80" s="224"/>
      <c r="K80" s="224"/>
      <c r="L80" s="224"/>
      <c r="AMJ80"/>
    </row>
    <row r="81" spans="1:12" x14ac:dyDescent="0.25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</row>
    <row r="82" spans="1:12" x14ac:dyDescent="0.25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</row>
  </sheetData>
  <sheetProtection algorithmName="SHA-512" hashValue="d418jLke9LnZsJo18UFw3/IYWfCp1H822smuU4wtD740lYh1df81F70wLZxg5MLqxSBKOUIOFkbQYO94WWATqg==" saltValue="r63ZyhMKiNf08av4LQWPfg==" spinCount="100000" sheet="1" objects="1" scenarios="1"/>
  <mergeCells count="82">
    <mergeCell ref="A4:I4"/>
    <mergeCell ref="A5:I5"/>
    <mergeCell ref="A6:I6"/>
    <mergeCell ref="B48:F48"/>
    <mergeCell ref="H48:L48"/>
    <mergeCell ref="B32:F32"/>
    <mergeCell ref="A33:A34"/>
    <mergeCell ref="B33:F34"/>
    <mergeCell ref="A39:A40"/>
    <mergeCell ref="B39:F40"/>
    <mergeCell ref="G39:G40"/>
    <mergeCell ref="E19:G19"/>
    <mergeCell ref="H19:L19"/>
    <mergeCell ref="A36:A38"/>
    <mergeCell ref="B36:B38"/>
    <mergeCell ref="C36:F36"/>
    <mergeCell ref="B50:F50"/>
    <mergeCell ref="H50:L50"/>
    <mergeCell ref="A41:A46"/>
    <mergeCell ref="B41:B46"/>
    <mergeCell ref="C41:F41"/>
    <mergeCell ref="C42:F42"/>
    <mergeCell ref="C43:F43"/>
    <mergeCell ref="C44:F44"/>
    <mergeCell ref="C45:F45"/>
    <mergeCell ref="C46:F46"/>
    <mergeCell ref="B69:E69"/>
    <mergeCell ref="B70:E70"/>
    <mergeCell ref="H47:L47"/>
    <mergeCell ref="B49:F49"/>
    <mergeCell ref="H49:L49"/>
    <mergeCell ref="A52:G52"/>
    <mergeCell ref="B53:F53"/>
    <mergeCell ref="B62:F62"/>
    <mergeCell ref="B63:F63"/>
    <mergeCell ref="B64:F64"/>
    <mergeCell ref="B65:F65"/>
    <mergeCell ref="B68:E68"/>
    <mergeCell ref="A67:G67"/>
    <mergeCell ref="B47:F47"/>
    <mergeCell ref="B54:F54"/>
    <mergeCell ref="A56:G56"/>
    <mergeCell ref="A57:A59"/>
    <mergeCell ref="B57:G59"/>
    <mergeCell ref="B60:E60"/>
    <mergeCell ref="F60:G60"/>
    <mergeCell ref="B61:F61"/>
    <mergeCell ref="A8:A12"/>
    <mergeCell ref="B18:D18"/>
    <mergeCell ref="E18:G18"/>
    <mergeCell ref="B25:F25"/>
    <mergeCell ref="B16:D16"/>
    <mergeCell ref="E16:G16"/>
    <mergeCell ref="B20:D20"/>
    <mergeCell ref="E20:G20"/>
    <mergeCell ref="A22:G22"/>
    <mergeCell ref="B23:F23"/>
    <mergeCell ref="A75:B75"/>
    <mergeCell ref="B71:F71"/>
    <mergeCell ref="B73:F73"/>
    <mergeCell ref="B74:F74"/>
    <mergeCell ref="B72:F72"/>
    <mergeCell ref="C37:F37"/>
    <mergeCell ref="C38:F38"/>
    <mergeCell ref="B35:F35"/>
    <mergeCell ref="H20:L20"/>
    <mergeCell ref="B28:F28"/>
    <mergeCell ref="A30:G30"/>
    <mergeCell ref="B31:F31"/>
    <mergeCell ref="G33:G34"/>
    <mergeCell ref="B27:F27"/>
    <mergeCell ref="B26:F26"/>
    <mergeCell ref="H18:L18"/>
    <mergeCell ref="B19:D19"/>
    <mergeCell ref="A14:G14"/>
    <mergeCell ref="B15:D15"/>
    <mergeCell ref="E15:G15"/>
    <mergeCell ref="H15:L15"/>
    <mergeCell ref="H16:L16"/>
    <mergeCell ref="B17:D17"/>
    <mergeCell ref="E17:G17"/>
    <mergeCell ref="H17:L17"/>
  </mergeCells>
  <conditionalFormatting sqref="G35">
    <cfRule type="cellIs" dxfId="0" priority="2" operator="equal">
      <formula>"INFORMAR PERCENTUAL"</formula>
    </cfRule>
  </conditionalFormatting>
  <dataValidations count="2">
    <dataValidation type="list" allowBlank="1" showInputMessage="1" showErrorMessage="1" sqref="F60" xr:uid="{00000000-0002-0000-0200-000000000000}">
      <formula1>"LUCRO REAL,LUCRO PRESUMIDO,SIMPLES NACIONAL,OUTRO"</formula1>
      <formula2>0</formula2>
    </dataValidation>
    <dataValidation type="list" allowBlank="1" showInputMessage="1" showErrorMessage="1" sqref="G33 G39 G25" xr:uid="{B744203B-4AF5-497F-AE47-1DEDD140A709}">
      <formula1>"SIM,NÃO"</formula1>
    </dataValidation>
  </dataValidations>
  <pageMargins left="0.78749999999999998" right="0.78749999999999998" top="1.0631944444444399" bottom="1.0631944444444399" header="0.78749999999999998" footer="0.78749999999999998"/>
  <pageSetup paperSize="9" orientation="portrait" horizontalDpi="300" verticalDpi="300"/>
  <headerFooter>
    <oddHeader>&amp;C&amp;12&amp;A</oddHeader>
    <oddFooter>&amp;C&amp;12Página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IW60"/>
  <sheetViews>
    <sheetView topLeftCell="A18" zoomScaleNormal="100" workbookViewId="0"/>
  </sheetViews>
  <sheetFormatPr defaultColWidth="9" defaultRowHeight="12.75" x14ac:dyDescent="0.2"/>
  <cols>
    <col min="1" max="1" width="18.83203125" style="10" customWidth="1"/>
    <col min="2" max="2" width="54.83203125" style="10" customWidth="1"/>
    <col min="3" max="3" width="34.83203125" style="10" customWidth="1"/>
    <col min="4" max="4" width="9.33203125" style="10" customWidth="1"/>
    <col min="5" max="5" width="48.5" style="10" customWidth="1"/>
    <col min="6" max="8" width="12.5" style="10" customWidth="1"/>
    <col min="9" max="257" width="9.33203125" style="10" customWidth="1"/>
  </cols>
  <sheetData>
    <row r="1" spans="1:4" ht="16.5" customHeight="1" x14ac:dyDescent="0.2">
      <c r="A1" s="380"/>
      <c r="B1" s="381" t="s">
        <v>26</v>
      </c>
      <c r="C1" s="382"/>
      <c r="D1" s="223"/>
    </row>
    <row r="2" spans="1:4" ht="16.5" customHeight="1" x14ac:dyDescent="0.2">
      <c r="A2" s="383"/>
      <c r="B2" s="384" t="s">
        <v>27</v>
      </c>
      <c r="C2" s="385"/>
      <c r="D2" s="223"/>
    </row>
    <row r="3" spans="1:4" ht="16.5" customHeight="1" x14ac:dyDescent="0.2">
      <c r="A3" s="383"/>
      <c r="B3" s="384" t="str">
        <f>Dados!B3</f>
        <v>Divisão de Engenharia e Arquitetura - DIEAR</v>
      </c>
      <c r="C3" s="385"/>
      <c r="D3" s="223"/>
    </row>
    <row r="4" spans="1:4" ht="30" customHeight="1" x14ac:dyDescent="0.2">
      <c r="A4" s="723"/>
      <c r="B4" s="723"/>
      <c r="C4" s="723"/>
      <c r="D4" s="223"/>
    </row>
    <row r="5" spans="1:4" ht="16.5" customHeight="1" x14ac:dyDescent="0.2">
      <c r="A5" s="724" t="s">
        <v>195</v>
      </c>
      <c r="B5" s="724"/>
      <c r="C5" s="724"/>
      <c r="D5" s="223"/>
    </row>
    <row r="6" spans="1:4" ht="16.5" customHeight="1" x14ac:dyDescent="0.2">
      <c r="A6" s="386" t="s">
        <v>196</v>
      </c>
      <c r="B6" s="387" t="s">
        <v>147</v>
      </c>
      <c r="C6" s="388" t="s">
        <v>197</v>
      </c>
      <c r="D6" s="223"/>
    </row>
    <row r="7" spans="1:4" ht="16.5" customHeight="1" x14ac:dyDescent="0.2">
      <c r="A7" s="389" t="s">
        <v>198</v>
      </c>
      <c r="B7" s="725" t="s">
        <v>199</v>
      </c>
      <c r="C7" s="725"/>
      <c r="D7" s="223"/>
    </row>
    <row r="8" spans="1:4" ht="27" customHeight="1" x14ac:dyDescent="0.2">
      <c r="A8" s="390">
        <v>1</v>
      </c>
      <c r="B8" s="523" t="s">
        <v>530</v>
      </c>
      <c r="C8" s="392">
        <v>0.2</v>
      </c>
      <c r="D8" s="223"/>
    </row>
    <row r="9" spans="1:4" ht="16.5" customHeight="1" x14ac:dyDescent="0.2">
      <c r="A9" s="390">
        <v>2</v>
      </c>
      <c r="B9" s="391" t="s">
        <v>200</v>
      </c>
      <c r="C9" s="392">
        <v>1.4999999999999999E-2</v>
      </c>
      <c r="D9" s="223"/>
    </row>
    <row r="10" spans="1:4" ht="16.5" customHeight="1" x14ac:dyDescent="0.2">
      <c r="A10" s="390">
        <v>3</v>
      </c>
      <c r="B10" s="391" t="s">
        <v>201</v>
      </c>
      <c r="C10" s="392">
        <v>0.01</v>
      </c>
      <c r="D10" s="223"/>
    </row>
    <row r="11" spans="1:4" ht="16.5" customHeight="1" x14ac:dyDescent="0.2">
      <c r="A11" s="390">
        <v>4</v>
      </c>
      <c r="B11" s="391" t="s">
        <v>202</v>
      </c>
      <c r="C11" s="392">
        <v>2E-3</v>
      </c>
      <c r="D11" s="223"/>
    </row>
    <row r="12" spans="1:4" ht="16.5" customHeight="1" x14ac:dyDescent="0.2">
      <c r="A12" s="390">
        <v>5</v>
      </c>
      <c r="B12" s="391" t="s">
        <v>203</v>
      </c>
      <c r="C12" s="392">
        <v>2.5000000000000001E-2</v>
      </c>
      <c r="D12" s="223"/>
    </row>
    <row r="13" spans="1:4" ht="16.5" customHeight="1" x14ac:dyDescent="0.2">
      <c r="A13" s="390">
        <v>6</v>
      </c>
      <c r="B13" s="391" t="s">
        <v>204</v>
      </c>
      <c r="C13" s="392">
        <v>0.08</v>
      </c>
      <c r="D13" s="223"/>
    </row>
    <row r="14" spans="1:4" ht="16.5" customHeight="1" x14ac:dyDescent="0.2">
      <c r="A14" s="390">
        <v>7</v>
      </c>
      <c r="B14" s="391" t="s">
        <v>205</v>
      </c>
      <c r="C14" s="393">
        <f>Dados!$G$26</f>
        <v>0.06</v>
      </c>
      <c r="D14" s="223"/>
    </row>
    <row r="15" spans="1:4" ht="16.5" customHeight="1" x14ac:dyDescent="0.2">
      <c r="A15" s="390">
        <v>8</v>
      </c>
      <c r="B15" s="391" t="s">
        <v>206</v>
      </c>
      <c r="C15" s="392">
        <v>6.0000000000000001E-3</v>
      </c>
      <c r="D15" s="223"/>
    </row>
    <row r="16" spans="1:4" ht="16.5" customHeight="1" x14ac:dyDescent="0.2">
      <c r="A16" s="390">
        <v>9</v>
      </c>
      <c r="B16" s="391" t="s">
        <v>207</v>
      </c>
      <c r="C16" s="394">
        <v>0</v>
      </c>
      <c r="D16" s="223"/>
    </row>
    <row r="17" spans="1:4" ht="16.5" customHeight="1" x14ac:dyDescent="0.2">
      <c r="A17" s="726" t="s">
        <v>208</v>
      </c>
      <c r="B17" s="726"/>
      <c r="C17" s="395">
        <f>SUM(C8:C16)</f>
        <v>0.39800000000000008</v>
      </c>
      <c r="D17" s="223"/>
    </row>
    <row r="18" spans="1:4" ht="16.5" customHeight="1" x14ac:dyDescent="0.2">
      <c r="A18" s="727" t="s">
        <v>209</v>
      </c>
      <c r="B18" s="727"/>
      <c r="C18" s="727"/>
      <c r="D18" s="223"/>
    </row>
    <row r="19" spans="1:4" ht="16.5" customHeight="1" x14ac:dyDescent="0.2">
      <c r="A19" s="389" t="s">
        <v>210</v>
      </c>
      <c r="B19" s="396" t="s">
        <v>211</v>
      </c>
      <c r="C19" s="397"/>
      <c r="D19" s="223"/>
    </row>
    <row r="20" spans="1:4" ht="16.5" customHeight="1" x14ac:dyDescent="0.2">
      <c r="A20" s="398">
        <v>9</v>
      </c>
      <c r="B20" s="391" t="s">
        <v>212</v>
      </c>
      <c r="C20" s="399">
        <f>ROUND((100%/11),4)</f>
        <v>9.0899999999999995E-2</v>
      </c>
      <c r="D20" s="223"/>
    </row>
    <row r="21" spans="1:4" ht="16.5" customHeight="1" x14ac:dyDescent="0.2">
      <c r="A21" s="398">
        <v>10</v>
      </c>
      <c r="B21" s="391" t="s">
        <v>213</v>
      </c>
      <c r="C21" s="399">
        <f>ROUND((C20/3),4)</f>
        <v>3.0300000000000001E-2</v>
      </c>
      <c r="D21" s="223"/>
    </row>
    <row r="22" spans="1:4" ht="16.5" customHeight="1" x14ac:dyDescent="0.2">
      <c r="A22" s="728" t="s">
        <v>214</v>
      </c>
      <c r="B22" s="728"/>
      <c r="C22" s="400">
        <f>SUM(C20:C21)</f>
        <v>0.1212</v>
      </c>
      <c r="D22" s="223"/>
    </row>
    <row r="23" spans="1:4" ht="16.5" customHeight="1" x14ac:dyDescent="0.2">
      <c r="A23" s="729" t="s">
        <v>215</v>
      </c>
      <c r="B23" s="729"/>
      <c r="C23" s="399">
        <f>(C17*C22)</f>
        <v>4.8237600000000012E-2</v>
      </c>
      <c r="D23" s="223"/>
    </row>
    <row r="24" spans="1:4" ht="16.5" customHeight="1" x14ac:dyDescent="0.2">
      <c r="A24" s="728" t="s">
        <v>216</v>
      </c>
      <c r="B24" s="728"/>
      <c r="C24" s="401">
        <f>SUM(C22:C23)</f>
        <v>0.16943760000000002</v>
      </c>
      <c r="D24" s="223"/>
    </row>
    <row r="25" spans="1:4" ht="16.5" customHeight="1" x14ac:dyDescent="0.2">
      <c r="A25" s="389" t="s">
        <v>217</v>
      </c>
      <c r="B25" s="725" t="s">
        <v>218</v>
      </c>
      <c r="C25" s="725"/>
      <c r="D25" s="223"/>
    </row>
    <row r="26" spans="1:4" ht="16.5" customHeight="1" x14ac:dyDescent="0.2">
      <c r="A26" s="398">
        <v>11</v>
      </c>
      <c r="B26" s="402" t="s">
        <v>219</v>
      </c>
      <c r="C26" s="392">
        <f>ROUND((0.0144*0.1*0.4509*6/12),4)</f>
        <v>2.9999999999999997E-4</v>
      </c>
      <c r="D26" s="223"/>
    </row>
    <row r="27" spans="1:4" ht="16.5" customHeight="1" x14ac:dyDescent="0.2">
      <c r="A27" s="729" t="s">
        <v>220</v>
      </c>
      <c r="B27" s="729"/>
      <c r="C27" s="403">
        <f>C17*C26</f>
        <v>1.1940000000000002E-4</v>
      </c>
      <c r="D27" s="223"/>
    </row>
    <row r="28" spans="1:4" ht="16.5" customHeight="1" x14ac:dyDescent="0.2">
      <c r="A28" s="728" t="s">
        <v>221</v>
      </c>
      <c r="B28" s="728"/>
      <c r="C28" s="404">
        <f>SUM(C26:C27)</f>
        <v>4.194E-4</v>
      </c>
      <c r="D28" s="223"/>
    </row>
    <row r="29" spans="1:4" ht="16.5" customHeight="1" x14ac:dyDescent="0.2">
      <c r="A29" s="389" t="s">
        <v>222</v>
      </c>
      <c r="B29" s="725" t="s">
        <v>223</v>
      </c>
      <c r="C29" s="725"/>
      <c r="D29" s="223"/>
    </row>
    <row r="30" spans="1:4" ht="16.5" customHeight="1" x14ac:dyDescent="0.2">
      <c r="A30" s="398">
        <v>12</v>
      </c>
      <c r="B30" s="402" t="s">
        <v>224</v>
      </c>
      <c r="C30" s="392">
        <f>ROUND((100%/12)*5%,4)</f>
        <v>4.1999999999999997E-3</v>
      </c>
      <c r="D30" s="223"/>
    </row>
    <row r="31" spans="1:4" ht="16.5" customHeight="1" x14ac:dyDescent="0.2">
      <c r="A31" s="730" t="s">
        <v>225</v>
      </c>
      <c r="B31" s="730"/>
      <c r="C31" s="399">
        <f>C13*C30</f>
        <v>3.3599999999999998E-4</v>
      </c>
      <c r="D31" s="223"/>
    </row>
    <row r="32" spans="1:4" ht="16.5" customHeight="1" x14ac:dyDescent="0.2">
      <c r="A32" s="398">
        <v>13</v>
      </c>
      <c r="B32" s="391" t="s">
        <v>226</v>
      </c>
      <c r="C32" s="405">
        <f>ROUND((0.08*0.4*0.9*(1+1/11+1/11+(1/3*1/11))),5)</f>
        <v>3.4909999999999997E-2</v>
      </c>
      <c r="D32" s="223"/>
    </row>
    <row r="33" spans="1:8" ht="16.5" customHeight="1" x14ac:dyDescent="0.2">
      <c r="A33" s="398">
        <v>14</v>
      </c>
      <c r="B33" s="402" t="s">
        <v>227</v>
      </c>
      <c r="C33" s="399">
        <v>4.0000000000000002E-4</v>
      </c>
      <c r="D33" s="223"/>
      <c r="E33" s="17"/>
    </row>
    <row r="34" spans="1:8" ht="16.5" customHeight="1" x14ac:dyDescent="0.2">
      <c r="A34" s="730" t="s">
        <v>228</v>
      </c>
      <c r="B34" s="730"/>
      <c r="C34" s="399">
        <f>ROUND((C33*C17),4)</f>
        <v>2.0000000000000001E-4</v>
      </c>
      <c r="D34" s="223"/>
    </row>
    <row r="35" spans="1:8" ht="16.5" customHeight="1" x14ac:dyDescent="0.2">
      <c r="A35" s="398">
        <v>15</v>
      </c>
      <c r="B35" s="402" t="s">
        <v>229</v>
      </c>
      <c r="C35" s="399">
        <f>(0.4*C13/100)</f>
        <v>3.2000000000000003E-4</v>
      </c>
      <c r="D35" s="223"/>
    </row>
    <row r="36" spans="1:8" ht="16.5" customHeight="1" x14ac:dyDescent="0.2">
      <c r="A36" s="731" t="s">
        <v>230</v>
      </c>
      <c r="B36" s="731"/>
      <c r="C36" s="400">
        <f>SUM(C30:C35)</f>
        <v>4.0365999999999992E-2</v>
      </c>
      <c r="D36" s="223"/>
    </row>
    <row r="37" spans="1:8" ht="16.5" customHeight="1" x14ac:dyDescent="0.2">
      <c r="A37" s="389" t="s">
        <v>231</v>
      </c>
      <c r="B37" s="725" t="s">
        <v>232</v>
      </c>
      <c r="C37" s="725"/>
      <c r="D37" s="223"/>
    </row>
    <row r="38" spans="1:8" ht="16.5" customHeight="1" x14ac:dyDescent="0.2">
      <c r="A38" s="398">
        <v>16</v>
      </c>
      <c r="B38" s="402" t="s">
        <v>233</v>
      </c>
      <c r="C38" s="399">
        <v>9.0899999999999995E-2</v>
      </c>
      <c r="D38" s="223"/>
    </row>
    <row r="39" spans="1:8" ht="16.5" customHeight="1" x14ac:dyDescent="0.2">
      <c r="A39" s="398">
        <v>17</v>
      </c>
      <c r="B39" s="402" t="s">
        <v>234</v>
      </c>
      <c r="C39" s="392">
        <f>ROUND((5.96/30/12),4)</f>
        <v>1.66E-2</v>
      </c>
      <c r="D39" s="223"/>
    </row>
    <row r="40" spans="1:8" ht="16.5" customHeight="1" x14ac:dyDescent="0.2">
      <c r="A40" s="398">
        <v>18</v>
      </c>
      <c r="B40" s="402" t="s">
        <v>235</v>
      </c>
      <c r="C40" s="392">
        <f>ROUND((5/30/12)*0.022,4)</f>
        <v>2.9999999999999997E-4</v>
      </c>
      <c r="D40" s="223"/>
    </row>
    <row r="41" spans="1:8" ht="16.5" customHeight="1" x14ac:dyDescent="0.2">
      <c r="A41" s="398">
        <v>19</v>
      </c>
      <c r="B41" s="402" t="s">
        <v>236</v>
      </c>
      <c r="C41" s="392">
        <f>ROUND((1/30/12),4)</f>
        <v>2.8E-3</v>
      </c>
      <c r="D41" s="406"/>
    </row>
    <row r="42" spans="1:8" ht="16.5" customHeight="1" x14ac:dyDescent="0.2">
      <c r="A42" s="398">
        <v>20</v>
      </c>
      <c r="B42" s="402" t="s">
        <v>237</v>
      </c>
      <c r="C42" s="392">
        <f>ROUND((15/30/12*0.0078),4)</f>
        <v>2.9999999999999997E-4</v>
      </c>
      <c r="D42" s="223"/>
    </row>
    <row r="43" spans="1:8" ht="16.5" customHeight="1" x14ac:dyDescent="0.2">
      <c r="A43" s="731" t="s">
        <v>214</v>
      </c>
      <c r="B43" s="731"/>
      <c r="C43" s="401">
        <f>SUM(C38:C42)</f>
        <v>0.11089999999999998</v>
      </c>
      <c r="D43" s="223"/>
    </row>
    <row r="44" spans="1:8" ht="16.5" customHeight="1" x14ac:dyDescent="0.2">
      <c r="A44" s="730" t="s">
        <v>238</v>
      </c>
      <c r="B44" s="730"/>
      <c r="C44" s="399">
        <f>C17*C43</f>
        <v>4.4138200000000002E-2</v>
      </c>
      <c r="D44" s="223"/>
      <c r="E44" s="732" t="s">
        <v>239</v>
      </c>
      <c r="F44" s="732"/>
      <c r="G44" s="732"/>
      <c r="H44" s="732"/>
    </row>
    <row r="45" spans="1:8" ht="16.5" customHeight="1" x14ac:dyDescent="0.2">
      <c r="A45" s="731" t="s">
        <v>240</v>
      </c>
      <c r="B45" s="731"/>
      <c r="C45" s="401">
        <f>SUM(C43:C44)</f>
        <v>0.15503819999999999</v>
      </c>
      <c r="D45" s="223"/>
      <c r="E45" s="732"/>
      <c r="F45" s="732"/>
      <c r="G45" s="732"/>
      <c r="H45" s="732"/>
    </row>
    <row r="46" spans="1:8" ht="16.5" customHeight="1" x14ac:dyDescent="0.2">
      <c r="A46" s="407" t="s">
        <v>241</v>
      </c>
      <c r="B46" s="408" t="s">
        <v>242</v>
      </c>
      <c r="C46" s="401"/>
      <c r="D46" s="223"/>
      <c r="E46" s="733" t="s">
        <v>243</v>
      </c>
      <c r="F46" s="733" t="s">
        <v>244</v>
      </c>
      <c r="G46" s="733"/>
      <c r="H46" s="733"/>
    </row>
    <row r="47" spans="1:8" ht="16.5" customHeight="1" x14ac:dyDescent="0.2">
      <c r="A47" s="398">
        <v>21</v>
      </c>
      <c r="B47" s="402" t="s">
        <v>245</v>
      </c>
      <c r="C47" s="392">
        <v>8.0000000000000004E-4</v>
      </c>
      <c r="D47" s="223"/>
      <c r="E47" s="733"/>
      <c r="F47" s="733" t="s">
        <v>246</v>
      </c>
      <c r="G47" s="733"/>
      <c r="H47" s="733"/>
    </row>
    <row r="48" spans="1:8" ht="16.5" customHeight="1" x14ac:dyDescent="0.2">
      <c r="A48" s="731" t="s">
        <v>247</v>
      </c>
      <c r="B48" s="731"/>
      <c r="C48" s="401">
        <f>SUM(C47)</f>
        <v>8.0000000000000004E-4</v>
      </c>
      <c r="D48" s="223"/>
      <c r="E48" s="19" t="s">
        <v>248</v>
      </c>
      <c r="F48" s="18" t="s">
        <v>249</v>
      </c>
      <c r="G48" s="18" t="s">
        <v>250</v>
      </c>
      <c r="H48" s="20" t="s">
        <v>251</v>
      </c>
    </row>
    <row r="49" spans="1:8" ht="16.5" customHeight="1" x14ac:dyDescent="0.2">
      <c r="A49" s="727" t="s">
        <v>252</v>
      </c>
      <c r="B49" s="727"/>
      <c r="C49" s="727"/>
      <c r="D49" s="223"/>
      <c r="E49" s="19" t="s">
        <v>253</v>
      </c>
      <c r="F49" s="21">
        <v>0.34300000000000003</v>
      </c>
      <c r="G49" s="21">
        <v>0.39800000000000002</v>
      </c>
      <c r="H49" s="22">
        <f>C17</f>
        <v>0.39800000000000008</v>
      </c>
    </row>
    <row r="50" spans="1:8" ht="16.5" customHeight="1" x14ac:dyDescent="0.2">
      <c r="A50" s="730" t="s">
        <v>199</v>
      </c>
      <c r="B50" s="730"/>
      <c r="C50" s="409">
        <f>ROUND(C17,4)</f>
        <v>0.39800000000000002</v>
      </c>
      <c r="D50" s="223"/>
      <c r="E50" s="19" t="s">
        <v>254</v>
      </c>
      <c r="F50" s="21">
        <v>5.0000000000000001E-3</v>
      </c>
      <c r="G50" s="21">
        <v>0.06</v>
      </c>
      <c r="H50" s="22">
        <f>C15</f>
        <v>6.0000000000000001E-3</v>
      </c>
    </row>
    <row r="51" spans="1:8" ht="16.5" customHeight="1" x14ac:dyDescent="0.2">
      <c r="A51" s="730" t="s">
        <v>255</v>
      </c>
      <c r="B51" s="730"/>
      <c r="C51" s="409">
        <f>ROUND(C24,4)</f>
        <v>0.1694</v>
      </c>
      <c r="D51" s="223"/>
      <c r="E51" s="23" t="s">
        <v>256</v>
      </c>
      <c r="F51" s="24">
        <f>C20</f>
        <v>9.0899999999999995E-2</v>
      </c>
      <c r="G51" s="24">
        <f t="shared" ref="G51:H53" si="0">F51</f>
        <v>9.0899999999999995E-2</v>
      </c>
      <c r="H51" s="24">
        <f t="shared" si="0"/>
        <v>9.0899999999999995E-2</v>
      </c>
    </row>
    <row r="52" spans="1:8" ht="16.5" customHeight="1" x14ac:dyDescent="0.2">
      <c r="A52" s="730" t="s">
        <v>218</v>
      </c>
      <c r="B52" s="730"/>
      <c r="C52" s="409">
        <f>ROUND(C28,4)</f>
        <v>4.0000000000000002E-4</v>
      </c>
      <c r="D52" s="223"/>
      <c r="E52" s="23" t="s">
        <v>257</v>
      </c>
      <c r="F52" s="24">
        <f>C38</f>
        <v>9.0899999999999995E-2</v>
      </c>
      <c r="G52" s="24">
        <f t="shared" si="0"/>
        <v>9.0899999999999995E-2</v>
      </c>
      <c r="H52" s="24">
        <f t="shared" si="0"/>
        <v>9.0899999999999995E-2</v>
      </c>
    </row>
    <row r="53" spans="1:8" ht="16.5" customHeight="1" x14ac:dyDescent="0.2">
      <c r="A53" s="730" t="s">
        <v>258</v>
      </c>
      <c r="B53" s="730"/>
      <c r="C53" s="409">
        <f>ROUND(C36,4)</f>
        <v>4.0399999999999998E-2</v>
      </c>
      <c r="D53" s="223"/>
      <c r="E53" s="23" t="s">
        <v>259</v>
      </c>
      <c r="F53" s="24">
        <f>C21</f>
        <v>3.0300000000000001E-2</v>
      </c>
      <c r="G53" s="24">
        <f t="shared" si="0"/>
        <v>3.0300000000000001E-2</v>
      </c>
      <c r="H53" s="24">
        <f t="shared" si="0"/>
        <v>3.0300000000000001E-2</v>
      </c>
    </row>
    <row r="54" spans="1:8" ht="16.5" customHeight="1" x14ac:dyDescent="0.2">
      <c r="A54" s="730" t="s">
        <v>260</v>
      </c>
      <c r="B54" s="730"/>
      <c r="C54" s="409">
        <f>ROUND(C45,4)</f>
        <v>0.155</v>
      </c>
      <c r="D54" s="223"/>
      <c r="E54" s="25" t="s">
        <v>214</v>
      </c>
      <c r="F54" s="26">
        <f>SUM(F51:F53)</f>
        <v>0.21209999999999998</v>
      </c>
      <c r="G54" s="26">
        <f>SUM(G51:G53)</f>
        <v>0.21209999999999998</v>
      </c>
      <c r="H54" s="26">
        <f>SUM(H51:H53)</f>
        <v>0.21209999999999998</v>
      </c>
    </row>
    <row r="55" spans="1:8" ht="16.5" customHeight="1" x14ac:dyDescent="0.2">
      <c r="A55" s="730" t="s">
        <v>245</v>
      </c>
      <c r="B55" s="730"/>
      <c r="C55" s="409">
        <f>ROUND(C48,4)</f>
        <v>8.0000000000000004E-4</v>
      </c>
      <c r="D55" s="223"/>
      <c r="E55" s="23" t="s">
        <v>261</v>
      </c>
      <c r="F55" s="24">
        <f>F49*F54</f>
        <v>7.2750300000000004E-2</v>
      </c>
      <c r="G55" s="24">
        <f>G49*G54</f>
        <v>8.4415799999999999E-2</v>
      </c>
      <c r="H55" s="24">
        <f>H49*H54</f>
        <v>8.4415800000000013E-2</v>
      </c>
    </row>
    <row r="56" spans="1:8" ht="33" customHeight="1" x14ac:dyDescent="0.2">
      <c r="A56" s="734" t="s">
        <v>262</v>
      </c>
      <c r="B56" s="734"/>
      <c r="C56" s="410">
        <f>SUM(C50:C55)</f>
        <v>0.76400000000000001</v>
      </c>
      <c r="D56" s="223"/>
      <c r="E56" s="23" t="s">
        <v>263</v>
      </c>
      <c r="F56" s="24">
        <f>C32</f>
        <v>3.4909999999999997E-2</v>
      </c>
      <c r="G56" s="24">
        <f>F56</f>
        <v>3.4909999999999997E-2</v>
      </c>
      <c r="H56" s="24">
        <f>G56</f>
        <v>3.4909999999999997E-2</v>
      </c>
    </row>
    <row r="57" spans="1:8" x14ac:dyDescent="0.2">
      <c r="A57" s="411" t="s">
        <v>264</v>
      </c>
      <c r="B57" s="412"/>
      <c r="C57" s="413"/>
      <c r="D57" s="223"/>
      <c r="E57" s="27" t="s">
        <v>265</v>
      </c>
      <c r="F57" s="28">
        <f>SUM(F54:F56)</f>
        <v>0.3197603</v>
      </c>
      <c r="G57" s="28">
        <f>SUM(G54:G56)</f>
        <v>0.33142579999999999</v>
      </c>
      <c r="H57" s="29">
        <f>SUM(H54:H56)</f>
        <v>0.33142579999999999</v>
      </c>
    </row>
    <row r="58" spans="1:8" ht="25.5" customHeight="1" x14ac:dyDescent="0.2">
      <c r="A58" s="735" t="s">
        <v>266</v>
      </c>
      <c r="B58" s="735"/>
      <c r="C58" s="735"/>
      <c r="D58" s="223"/>
      <c r="E58" s="23" t="s">
        <v>267</v>
      </c>
      <c r="F58" s="24" t="s">
        <v>268</v>
      </c>
      <c r="G58" s="24" t="s">
        <v>268</v>
      </c>
      <c r="H58" s="24" t="s">
        <v>268</v>
      </c>
    </row>
    <row r="59" spans="1:8" x14ac:dyDescent="0.2">
      <c r="A59" s="735"/>
      <c r="B59" s="735"/>
      <c r="C59" s="735"/>
      <c r="D59" s="223"/>
      <c r="E59" s="25" t="s">
        <v>269</v>
      </c>
      <c r="F59" s="26">
        <f>F57</f>
        <v>0.3197603</v>
      </c>
      <c r="G59" s="26">
        <f>G57</f>
        <v>0.33142579999999999</v>
      </c>
      <c r="H59" s="30">
        <f>H57</f>
        <v>0.33142579999999999</v>
      </c>
    </row>
    <row r="60" spans="1:8" x14ac:dyDescent="0.2">
      <c r="A60" s="223"/>
      <c r="B60" s="223"/>
      <c r="C60" s="223"/>
      <c r="D60" s="223"/>
    </row>
  </sheetData>
  <sheetProtection algorithmName="SHA-512" hashValue="4nEho7VTQvRs//TMxBjUMEyFvvvAr+plQzWqmyBDs3C+2ixP1+Ft/4ch18qL41tfbQW4xY7OXWPlz35xo/tCbQ==" saltValue="+IrtfLr6YUTnIqxVUNX17Q==" spinCount="100000" sheet="1" objects="1" scenarios="1"/>
  <mergeCells count="33">
    <mergeCell ref="A55:B55"/>
    <mergeCell ref="A56:B56"/>
    <mergeCell ref="A58:C59"/>
    <mergeCell ref="A50:B50"/>
    <mergeCell ref="A51:B51"/>
    <mergeCell ref="A52:B52"/>
    <mergeCell ref="A53:B53"/>
    <mergeCell ref="A54:B54"/>
    <mergeCell ref="E46:E47"/>
    <mergeCell ref="F46:H46"/>
    <mergeCell ref="F47:H47"/>
    <mergeCell ref="A48:B48"/>
    <mergeCell ref="A49:C49"/>
    <mergeCell ref="B37:C37"/>
    <mergeCell ref="A43:B43"/>
    <mergeCell ref="A44:B44"/>
    <mergeCell ref="E44:H45"/>
    <mergeCell ref="A45:B45"/>
    <mergeCell ref="A28:B28"/>
    <mergeCell ref="B29:C29"/>
    <mergeCell ref="A31:B31"/>
    <mergeCell ref="A34:B34"/>
    <mergeCell ref="A36:B36"/>
    <mergeCell ref="A22:B22"/>
    <mergeCell ref="A23:B23"/>
    <mergeCell ref="A24:B24"/>
    <mergeCell ref="B25:C25"/>
    <mergeCell ref="A27:B27"/>
    <mergeCell ref="A4:C4"/>
    <mergeCell ref="A5:C5"/>
    <mergeCell ref="B7:C7"/>
    <mergeCell ref="A17:B17"/>
    <mergeCell ref="A18:C18"/>
  </mergeCells>
  <pageMargins left="0.51180555555555596" right="0.51180555555555596" top="0" bottom="0.39374999999999999" header="0.511811023622047" footer="0.511811023622047"/>
  <pageSetup paperSize="9" scale="75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71EE-47A0-429E-ADA2-C833B88B5357}">
  <sheetPr>
    <tabColor rgb="FFFFFF99"/>
  </sheetPr>
  <dimension ref="A1:H33"/>
  <sheetViews>
    <sheetView showGridLines="0" zoomScaleSheetLayoutView="75" workbookViewId="0">
      <selection activeCell="A27" sqref="A27"/>
    </sheetView>
  </sheetViews>
  <sheetFormatPr defaultColWidth="8.83203125" defaultRowHeight="12.75" x14ac:dyDescent="0.2"/>
  <cols>
    <col min="1" max="1" width="8.83203125" style="531" customWidth="1"/>
    <col min="2" max="2" width="86.1640625" style="531" bestFit="1" customWidth="1"/>
    <col min="3" max="3" width="18.5" style="538" customWidth="1"/>
    <col min="4" max="4" width="16" style="539" bestFit="1" customWidth="1"/>
    <col min="5" max="5" width="17.6640625" style="538" customWidth="1"/>
    <col min="6" max="6" width="10.1640625" style="531" customWidth="1"/>
    <col min="7" max="7" width="11.83203125" style="531" customWidth="1"/>
    <col min="8" max="8" width="9.5" style="531" bestFit="1" customWidth="1"/>
    <col min="9" max="1022" width="8.83203125" style="531" customWidth="1"/>
    <col min="1023" max="16384" width="8.83203125" style="531"/>
  </cols>
  <sheetData>
    <row r="1" spans="1:8" x14ac:dyDescent="0.2">
      <c r="A1" s="541"/>
      <c r="B1" s="135" t="s">
        <v>26</v>
      </c>
      <c r="C1" s="542"/>
      <c r="D1" s="543"/>
      <c r="E1" s="542"/>
      <c r="F1" s="544"/>
      <c r="G1" s="544"/>
      <c r="H1" s="532"/>
    </row>
    <row r="2" spans="1:8" x14ac:dyDescent="0.2">
      <c r="A2" s="545"/>
      <c r="B2" s="142" t="s">
        <v>27</v>
      </c>
      <c r="C2" s="533"/>
      <c r="D2" s="534"/>
      <c r="E2" s="533"/>
      <c r="F2" s="532"/>
      <c r="G2" s="532"/>
      <c r="H2" s="532"/>
    </row>
    <row r="3" spans="1:8" x14ac:dyDescent="0.2">
      <c r="A3" s="545"/>
      <c r="B3" s="142" t="str">
        <f>Dados!B3</f>
        <v>Divisão de Engenharia e Arquitetura - DIEAR</v>
      </c>
      <c r="C3" s="533"/>
      <c r="D3" s="534"/>
      <c r="E3" s="533"/>
      <c r="F3" s="532"/>
      <c r="G3" s="532"/>
      <c r="H3" s="532"/>
    </row>
    <row r="4" spans="1:8" ht="23.25" customHeight="1" x14ac:dyDescent="0.2">
      <c r="A4" s="736" t="s">
        <v>619</v>
      </c>
      <c r="B4" s="736"/>
      <c r="C4" s="736"/>
      <c r="D4" s="736"/>
      <c r="E4" s="736"/>
      <c r="F4" s="736"/>
      <c r="G4" s="736"/>
      <c r="H4" s="532"/>
    </row>
    <row r="5" spans="1:8" ht="23.25" customHeight="1" x14ac:dyDescent="0.2">
      <c r="A5" s="606" t="s">
        <v>544</v>
      </c>
      <c r="B5" s="606"/>
      <c r="C5" s="606"/>
      <c r="D5" s="606"/>
      <c r="E5" s="606"/>
      <c r="F5" s="606"/>
      <c r="G5" s="606"/>
      <c r="H5" s="532"/>
    </row>
    <row r="6" spans="1:8" ht="23.25" customHeight="1" x14ac:dyDescent="0.2">
      <c r="A6" s="546"/>
      <c r="B6" s="547"/>
      <c r="C6" s="547"/>
      <c r="D6" s="548" t="s">
        <v>31</v>
      </c>
      <c r="E6" s="547"/>
      <c r="F6" s="547" t="s">
        <v>502</v>
      </c>
      <c r="G6" s="547"/>
      <c r="H6" s="532"/>
    </row>
    <row r="7" spans="1:8" ht="25.5" customHeight="1" x14ac:dyDescent="0.2">
      <c r="A7" s="188" t="s">
        <v>196</v>
      </c>
      <c r="B7" s="188" t="s">
        <v>549</v>
      </c>
      <c r="C7" s="188" t="s">
        <v>494</v>
      </c>
      <c r="D7" s="188" t="s">
        <v>279</v>
      </c>
      <c r="E7" s="549" t="s">
        <v>545</v>
      </c>
      <c r="F7" s="188" t="s">
        <v>492</v>
      </c>
      <c r="G7" s="188" t="s">
        <v>493</v>
      </c>
      <c r="H7" s="532"/>
    </row>
    <row r="8" spans="1:8" ht="24" customHeight="1" x14ac:dyDescent="0.2">
      <c r="A8" s="540">
        <v>1</v>
      </c>
      <c r="B8" s="189" t="s">
        <v>168</v>
      </c>
      <c r="C8" s="414" t="s">
        <v>474</v>
      </c>
      <c r="D8" s="529">
        <f>Cotações!D22</f>
        <v>5538.8119999999999</v>
      </c>
      <c r="E8" s="540">
        <v>60</v>
      </c>
      <c r="F8" s="540">
        <v>5</v>
      </c>
      <c r="G8" s="190">
        <f t="shared" ref="G8:G14" si="0">D8*F8</f>
        <v>27694.059999999998</v>
      </c>
      <c r="H8" s="532"/>
    </row>
    <row r="9" spans="1:8" ht="20.100000000000001" customHeight="1" x14ac:dyDescent="0.2">
      <c r="A9" s="540">
        <v>2</v>
      </c>
      <c r="B9" s="189" t="s">
        <v>174</v>
      </c>
      <c r="C9" s="414" t="s">
        <v>474</v>
      </c>
      <c r="D9" s="529">
        <f>Cotações!D27</f>
        <v>3727.22</v>
      </c>
      <c r="E9" s="540">
        <v>60</v>
      </c>
      <c r="F9" s="540">
        <v>4</v>
      </c>
      <c r="G9" s="190">
        <f t="shared" si="0"/>
        <v>14908.88</v>
      </c>
      <c r="H9" s="532"/>
    </row>
    <row r="10" spans="1:8" ht="20.100000000000001" customHeight="1" x14ac:dyDescent="0.2">
      <c r="A10" s="540">
        <v>3</v>
      </c>
      <c r="B10" s="189" t="s">
        <v>176</v>
      </c>
      <c r="C10" s="414" t="s">
        <v>474</v>
      </c>
      <c r="D10" s="529">
        <f>Cotações!D28</f>
        <v>449</v>
      </c>
      <c r="E10" s="540">
        <v>60</v>
      </c>
      <c r="F10" s="540">
        <v>2</v>
      </c>
      <c r="G10" s="190">
        <f t="shared" si="0"/>
        <v>898</v>
      </c>
      <c r="H10" s="532"/>
    </row>
    <row r="11" spans="1:8" ht="20.100000000000001" customHeight="1" x14ac:dyDescent="0.2">
      <c r="A11" s="540">
        <v>4</v>
      </c>
      <c r="B11" s="189" t="s">
        <v>180</v>
      </c>
      <c r="C11" s="414" t="s">
        <v>474</v>
      </c>
      <c r="D11" s="529">
        <f>Cotações!D30</f>
        <v>279.29333333333335</v>
      </c>
      <c r="E11" s="540">
        <v>60</v>
      </c>
      <c r="F11" s="540">
        <v>1</v>
      </c>
      <c r="G11" s="190">
        <f t="shared" si="0"/>
        <v>279.29333333333335</v>
      </c>
      <c r="H11" s="532"/>
    </row>
    <row r="12" spans="1:8" ht="20.100000000000001" customHeight="1" x14ac:dyDescent="0.2">
      <c r="A12" s="540">
        <v>5</v>
      </c>
      <c r="B12" s="189" t="s">
        <v>184</v>
      </c>
      <c r="C12" s="414" t="s">
        <v>474</v>
      </c>
      <c r="D12" s="529">
        <f>Cotações!D33</f>
        <v>235.29666666666665</v>
      </c>
      <c r="E12" s="540">
        <v>60</v>
      </c>
      <c r="F12" s="540">
        <v>1</v>
      </c>
      <c r="G12" s="190">
        <f t="shared" si="0"/>
        <v>235.29666666666665</v>
      </c>
      <c r="H12" s="532"/>
    </row>
    <row r="13" spans="1:8" ht="20.100000000000001" customHeight="1" x14ac:dyDescent="0.2">
      <c r="A13" s="540">
        <v>6</v>
      </c>
      <c r="B13" s="189" t="s">
        <v>188</v>
      </c>
      <c r="C13" s="414" t="s">
        <v>474</v>
      </c>
      <c r="D13" s="529">
        <f>Cotações!D36</f>
        <v>360.71249999999998</v>
      </c>
      <c r="E13" s="540">
        <v>60</v>
      </c>
      <c r="F13" s="540">
        <v>1</v>
      </c>
      <c r="G13" s="190">
        <f t="shared" si="0"/>
        <v>360.71249999999998</v>
      </c>
      <c r="H13" s="532"/>
    </row>
    <row r="14" spans="1:8" ht="20.100000000000001" customHeight="1" x14ac:dyDescent="0.2">
      <c r="A14" s="540">
        <v>7</v>
      </c>
      <c r="B14" s="189" t="s">
        <v>191</v>
      </c>
      <c r="C14" s="414" t="s">
        <v>474</v>
      </c>
      <c r="D14" s="529">
        <f>Cotações!D40</f>
        <v>373.08333333333331</v>
      </c>
      <c r="E14" s="540">
        <v>60</v>
      </c>
      <c r="F14" s="540">
        <v>2</v>
      </c>
      <c r="G14" s="190">
        <f t="shared" si="0"/>
        <v>746.16666666666663</v>
      </c>
      <c r="H14" s="532"/>
    </row>
    <row r="15" spans="1:8" ht="20.100000000000001" customHeight="1" x14ac:dyDescent="0.2">
      <c r="A15" s="540">
        <v>8</v>
      </c>
      <c r="B15" s="189" t="s">
        <v>579</v>
      </c>
      <c r="C15" s="414" t="s">
        <v>474</v>
      </c>
      <c r="D15" s="529">
        <f>Cotações!D46</f>
        <v>223.23333333333335</v>
      </c>
      <c r="E15" s="540">
        <v>60</v>
      </c>
      <c r="F15" s="540">
        <v>1</v>
      </c>
      <c r="G15" s="190">
        <f>D15*F15</f>
        <v>223.23333333333335</v>
      </c>
      <c r="H15" s="532"/>
    </row>
    <row r="16" spans="1:8" ht="20.100000000000001" customHeight="1" x14ac:dyDescent="0.2">
      <c r="A16" s="540">
        <v>9</v>
      </c>
      <c r="B16" s="189" t="s">
        <v>646</v>
      </c>
      <c r="C16" s="414" t="s">
        <v>474</v>
      </c>
      <c r="D16" s="529">
        <f>[5]Cotações!D43</f>
        <v>2054.33</v>
      </c>
      <c r="E16" s="540">
        <v>60</v>
      </c>
      <c r="F16" s="540">
        <v>3</v>
      </c>
      <c r="G16" s="190">
        <f>D16*F16</f>
        <v>6162.99</v>
      </c>
      <c r="H16" s="532"/>
    </row>
    <row r="17" spans="1:8" x14ac:dyDescent="0.2">
      <c r="A17" s="737" t="s">
        <v>543</v>
      </c>
      <c r="B17" s="738"/>
      <c r="C17" s="738"/>
      <c r="D17" s="738"/>
      <c r="E17" s="738"/>
      <c r="F17" s="739"/>
      <c r="G17" s="530">
        <f>SUM(G8:G16)</f>
        <v>51508.632499999992</v>
      </c>
      <c r="H17" s="554" t="s">
        <v>636</v>
      </c>
    </row>
    <row r="18" spans="1:8" ht="15" x14ac:dyDescent="0.25">
      <c r="A18" s="737" t="s">
        <v>532</v>
      </c>
      <c r="B18" s="738"/>
      <c r="C18" s="738"/>
      <c r="D18" s="738" t="s">
        <v>532</v>
      </c>
      <c r="E18" s="738"/>
      <c r="F18" s="739"/>
      <c r="G18" s="530">
        <f>G17*H18</f>
        <v>10301.726499999999</v>
      </c>
      <c r="H18" s="555">
        <v>0.2</v>
      </c>
    </row>
    <row r="19" spans="1:8" x14ac:dyDescent="0.2">
      <c r="A19" s="737" t="s">
        <v>637</v>
      </c>
      <c r="B19" s="738"/>
      <c r="C19" s="738"/>
      <c r="D19" s="738" t="s">
        <v>532</v>
      </c>
      <c r="E19" s="738"/>
      <c r="F19" s="739"/>
      <c r="G19" s="530">
        <f>ROUND((G17-G18)/60,2)</f>
        <v>686.78</v>
      </c>
      <c r="H19" s="554" t="s">
        <v>638</v>
      </c>
    </row>
    <row r="20" spans="1:8" x14ac:dyDescent="0.2">
      <c r="A20" s="737" t="s">
        <v>648</v>
      </c>
      <c r="B20" s="738"/>
      <c r="C20" s="738"/>
      <c r="D20" s="738"/>
      <c r="E20" s="738"/>
      <c r="F20" s="739"/>
      <c r="G20" s="530">
        <f>G17*5%/12</f>
        <v>214.61930208333331</v>
      </c>
      <c r="H20" s="554" t="s">
        <v>639</v>
      </c>
    </row>
    <row r="21" spans="1:8" ht="15" x14ac:dyDescent="0.25">
      <c r="A21" s="737" t="s">
        <v>533</v>
      </c>
      <c r="B21" s="738"/>
      <c r="C21" s="738"/>
      <c r="D21" s="738"/>
      <c r="E21" s="738"/>
      <c r="F21" s="739"/>
      <c r="G21" s="530">
        <f>G19+G20</f>
        <v>901.39930208333328</v>
      </c>
      <c r="H21" s="556"/>
    </row>
    <row r="22" spans="1:8" ht="15" x14ac:dyDescent="0.25">
      <c r="A22" s="737" t="s">
        <v>534</v>
      </c>
      <c r="B22" s="738"/>
      <c r="C22" s="738"/>
      <c r="D22" s="738"/>
      <c r="E22" s="738"/>
      <c r="F22" s="739"/>
      <c r="G22" s="550">
        <f>SUM(Dados!D8:D12)</f>
        <v>9</v>
      </c>
      <c r="H22" s="557"/>
    </row>
    <row r="23" spans="1:8" ht="15" x14ac:dyDescent="0.25">
      <c r="A23" s="737" t="s">
        <v>535</v>
      </c>
      <c r="B23" s="738"/>
      <c r="C23" s="738"/>
      <c r="D23" s="738"/>
      <c r="E23" s="738"/>
      <c r="F23" s="739"/>
      <c r="G23" s="530">
        <f>G21/G22</f>
        <v>100.15547800925926</v>
      </c>
      <c r="H23" s="557"/>
    </row>
    <row r="24" spans="1:8" x14ac:dyDescent="0.2">
      <c r="A24" s="532"/>
      <c r="B24" s="532"/>
      <c r="C24" s="532"/>
      <c r="D24" s="532"/>
      <c r="E24" s="532"/>
      <c r="F24" s="532"/>
      <c r="G24" s="532"/>
      <c r="H24" s="532"/>
    </row>
    <row r="25" spans="1:8" ht="25.5" customHeight="1" x14ac:dyDescent="0.2">
      <c r="A25" s="188" t="s">
        <v>196</v>
      </c>
      <c r="B25" s="188" t="s">
        <v>546</v>
      </c>
      <c r="C25" s="188" t="s">
        <v>494</v>
      </c>
      <c r="D25" s="188" t="s">
        <v>279</v>
      </c>
      <c r="E25" s="549" t="s">
        <v>573</v>
      </c>
      <c r="F25" s="188" t="s">
        <v>492</v>
      </c>
      <c r="G25" s="188" t="s">
        <v>493</v>
      </c>
      <c r="H25" s="532"/>
    </row>
    <row r="26" spans="1:8" ht="20.100000000000001" customHeight="1" x14ac:dyDescent="0.2">
      <c r="A26" s="540">
        <v>10</v>
      </c>
      <c r="B26" s="189" t="s">
        <v>178</v>
      </c>
      <c r="C26" s="414" t="s">
        <v>474</v>
      </c>
      <c r="D26" s="529">
        <f>Cotações!D29</f>
        <v>17</v>
      </c>
      <c r="E26" s="540" t="s">
        <v>647</v>
      </c>
      <c r="F26" s="540">
        <v>6</v>
      </c>
      <c r="G26" s="190">
        <f>D26*F26/IF(E26="anual",12,IF(E26="Semestral",6,IF(E26="quadrimestral",4,IF(E26="Trimestral",3,IF(E26="Bimestral",2,IF(E26="Mensal",1,"Verificar"))))))</f>
        <v>8.5</v>
      </c>
      <c r="H26" s="532"/>
    </row>
    <row r="27" spans="1:8" x14ac:dyDescent="0.2">
      <c r="A27" s="540">
        <v>11</v>
      </c>
      <c r="B27" s="189" t="s">
        <v>139</v>
      </c>
      <c r="C27" s="414" t="s">
        <v>447</v>
      </c>
      <c r="D27" s="529">
        <f>Cotações!D43</f>
        <v>199.95</v>
      </c>
      <c r="E27" s="540" t="s">
        <v>551</v>
      </c>
      <c r="F27" s="540">
        <v>2</v>
      </c>
      <c r="G27" s="190">
        <f t="shared" ref="G27" si="1">D27*F27/IF(E27="anual",12,IF(E27="Semestral",6,IF(E27="quadrimestral",4,IF(E27="Trimestral",3,IF(E27="Bimestral",2,IF(E27="Mensal",1,"Verificar"))))))</f>
        <v>399.9</v>
      </c>
      <c r="H27" s="532"/>
    </row>
    <row r="28" spans="1:8" x14ac:dyDescent="0.2">
      <c r="A28" s="540">
        <v>12</v>
      </c>
      <c r="B28" s="189" t="s">
        <v>578</v>
      </c>
      <c r="C28" s="414" t="s">
        <v>447</v>
      </c>
      <c r="D28" s="529">
        <v>70.326666666666668</v>
      </c>
      <c r="E28" s="540" t="s">
        <v>551</v>
      </c>
      <c r="F28" s="540">
        <v>3</v>
      </c>
      <c r="G28" s="190">
        <f t="shared" ref="G28" si="2">D28*F28/IF(E28="anual",12,IF(E28="Semestral",6,IF(E28="quadrimestral",4,IF(E28="Trimestral",3,IF(E28="Bimestral",2,IF(E28="Mensal",1,"Verificar"))))))</f>
        <v>210.98000000000002</v>
      </c>
      <c r="H28" s="532"/>
    </row>
    <row r="29" spans="1:8" x14ac:dyDescent="0.2">
      <c r="A29" s="740" t="s">
        <v>542</v>
      </c>
      <c r="B29" s="740"/>
      <c r="C29" s="740"/>
      <c r="D29" s="740"/>
      <c r="E29" s="740"/>
      <c r="F29" s="740"/>
      <c r="G29" s="530">
        <f>SUM(G26:G28)</f>
        <v>619.38</v>
      </c>
      <c r="H29" s="532"/>
    </row>
    <row r="30" spans="1:8" x14ac:dyDescent="0.2">
      <c r="A30" s="740" t="s">
        <v>534</v>
      </c>
      <c r="B30" s="740"/>
      <c r="C30" s="740"/>
      <c r="D30" s="740"/>
      <c r="E30" s="740"/>
      <c r="F30" s="740"/>
      <c r="G30" s="550">
        <f>SUM(Dados!D8:D12)</f>
        <v>9</v>
      </c>
      <c r="H30" s="532"/>
    </row>
    <row r="31" spans="1:8" x14ac:dyDescent="0.2">
      <c r="A31" s="740" t="s">
        <v>577</v>
      </c>
      <c r="B31" s="740"/>
      <c r="C31" s="740"/>
      <c r="D31" s="740"/>
      <c r="E31" s="740"/>
      <c r="F31" s="740"/>
      <c r="G31" s="530">
        <f>G29/G30</f>
        <v>68.819999999999993</v>
      </c>
      <c r="H31" s="532"/>
    </row>
    <row r="32" spans="1:8" x14ac:dyDescent="0.2">
      <c r="A32" s="532"/>
      <c r="B32" s="532"/>
      <c r="C32" s="533"/>
      <c r="D32" s="534"/>
      <c r="E32" s="533"/>
      <c r="F32" s="532"/>
      <c r="G32" s="532"/>
      <c r="H32" s="532"/>
    </row>
    <row r="33" spans="1:8" x14ac:dyDescent="0.2">
      <c r="A33" s="532"/>
      <c r="B33" s="532"/>
      <c r="C33" s="533"/>
      <c r="D33" s="534"/>
      <c r="E33" s="533"/>
      <c r="F33" s="532"/>
      <c r="G33" s="532"/>
      <c r="H33" s="532"/>
    </row>
  </sheetData>
  <mergeCells count="12">
    <mergeCell ref="A30:F30"/>
    <mergeCell ref="A31:F31"/>
    <mergeCell ref="A20:F20"/>
    <mergeCell ref="A21:F21"/>
    <mergeCell ref="A22:F22"/>
    <mergeCell ref="A29:F29"/>
    <mergeCell ref="A23:F23"/>
    <mergeCell ref="A4:G4"/>
    <mergeCell ref="A5:G5"/>
    <mergeCell ref="A17:F17"/>
    <mergeCell ref="A18:F18"/>
    <mergeCell ref="A19:F19"/>
  </mergeCells>
  <pageMargins left="0.51180555555555496" right="0.51180555555555496" top="0.78749999999999998" bottom="0.78749999999999998" header="0.51180555555555496" footer="0.51180555555555496"/>
  <pageSetup paperSize="9" scale="52" firstPageNumber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B11F-CF2D-4796-980E-7F21BFF2C407}">
  <sheetPr>
    <tabColor rgb="FFFFFF99"/>
  </sheetPr>
  <dimension ref="A1:H24"/>
  <sheetViews>
    <sheetView showGridLines="0" topLeftCell="A4" zoomScaleSheetLayoutView="75" workbookViewId="0">
      <selection activeCell="F13" sqref="F13"/>
    </sheetView>
  </sheetViews>
  <sheetFormatPr defaultColWidth="8.83203125" defaultRowHeight="12.75" x14ac:dyDescent="0.2"/>
  <cols>
    <col min="1" max="1" width="8.83203125" style="531" customWidth="1"/>
    <col min="2" max="2" width="86.1640625" style="531" bestFit="1" customWidth="1"/>
    <col min="3" max="3" width="18.5" style="538" customWidth="1"/>
    <col min="4" max="4" width="16" style="539" bestFit="1" customWidth="1"/>
    <col min="5" max="5" width="14.6640625" style="531" bestFit="1" customWidth="1"/>
    <col min="6" max="6" width="10.1640625" style="531" customWidth="1"/>
    <col min="7" max="7" width="11.83203125" style="531" customWidth="1"/>
    <col min="8" max="8" width="9.5" style="531" bestFit="1" customWidth="1"/>
    <col min="9" max="1022" width="8.83203125" style="531" customWidth="1"/>
    <col min="1023" max="16384" width="8.83203125" style="531"/>
  </cols>
  <sheetData>
    <row r="1" spans="1:7" x14ac:dyDescent="0.2">
      <c r="A1" s="541"/>
      <c r="B1" s="135" t="s">
        <v>26</v>
      </c>
      <c r="C1" s="542"/>
      <c r="D1" s="543"/>
      <c r="E1" s="544"/>
      <c r="F1" s="544"/>
      <c r="G1" s="544"/>
    </row>
    <row r="2" spans="1:7" x14ac:dyDescent="0.2">
      <c r="A2" s="545"/>
      <c r="B2" s="142" t="s">
        <v>27</v>
      </c>
      <c r="C2" s="533"/>
      <c r="D2" s="534"/>
      <c r="E2" s="532"/>
      <c r="F2" s="532"/>
      <c r="G2" s="532"/>
    </row>
    <row r="3" spans="1:7" x14ac:dyDescent="0.2">
      <c r="A3" s="545"/>
      <c r="B3" s="142" t="str">
        <f>Dados!B3</f>
        <v>Divisão de Engenharia e Arquitetura - DIEAR</v>
      </c>
      <c r="C3" s="533"/>
      <c r="D3" s="534"/>
      <c r="E3" s="532"/>
      <c r="F3" s="532"/>
      <c r="G3" s="532"/>
    </row>
    <row r="4" spans="1:7" ht="21.75" customHeight="1" x14ac:dyDescent="0.2">
      <c r="A4" s="736" t="s">
        <v>618</v>
      </c>
      <c r="B4" s="736"/>
      <c r="C4" s="736"/>
      <c r="D4" s="736"/>
      <c r="E4" s="736"/>
      <c r="F4" s="736"/>
      <c r="G4" s="736"/>
    </row>
    <row r="5" spans="1:7" ht="23.25" customHeight="1" x14ac:dyDescent="0.2">
      <c r="A5" s="606" t="s">
        <v>615</v>
      </c>
      <c r="B5" s="606"/>
      <c r="C5" s="606"/>
      <c r="D5" s="606"/>
      <c r="E5" s="606"/>
      <c r="F5" s="606"/>
      <c r="G5" s="606"/>
    </row>
    <row r="6" spans="1:7" ht="23.25" customHeight="1" x14ac:dyDescent="0.2">
      <c r="A6" s="546"/>
      <c r="B6" s="547"/>
      <c r="C6" s="547"/>
      <c r="D6" s="548" t="s">
        <v>31</v>
      </c>
      <c r="E6" s="547"/>
      <c r="F6" s="547" t="s">
        <v>502</v>
      </c>
      <c r="G6" s="547"/>
    </row>
    <row r="7" spans="1:7" ht="25.5" customHeight="1" x14ac:dyDescent="0.2">
      <c r="A7" s="188" t="s">
        <v>196</v>
      </c>
      <c r="B7" s="188" t="s">
        <v>491</v>
      </c>
      <c r="C7" s="188" t="s">
        <v>494</v>
      </c>
      <c r="D7" s="188" t="s">
        <v>279</v>
      </c>
      <c r="E7" s="188" t="s">
        <v>495</v>
      </c>
      <c r="F7" s="188" t="s">
        <v>492</v>
      </c>
      <c r="G7" s="188" t="s">
        <v>493</v>
      </c>
    </row>
    <row r="8" spans="1:7" ht="24.75" customHeight="1" x14ac:dyDescent="0.2">
      <c r="A8" s="540">
        <v>1</v>
      </c>
      <c r="B8" s="189" t="s">
        <v>135</v>
      </c>
      <c r="C8" s="118" t="s">
        <v>473</v>
      </c>
      <c r="D8" s="529">
        <f>Cotações!D5</f>
        <v>15141.956</v>
      </c>
      <c r="E8" s="118">
        <v>12</v>
      </c>
      <c r="F8" s="540">
        <v>1</v>
      </c>
      <c r="G8" s="190">
        <f>D8/E8*F8</f>
        <v>1261.8296666666668</v>
      </c>
    </row>
    <row r="9" spans="1:7" ht="20.100000000000001" customHeight="1" x14ac:dyDescent="0.2">
      <c r="A9" s="540">
        <v>2</v>
      </c>
      <c r="B9" s="189" t="s">
        <v>136</v>
      </c>
      <c r="C9" s="118" t="s">
        <v>473</v>
      </c>
      <c r="D9" s="529">
        <f>Cotações!D10</f>
        <v>1988.4175</v>
      </c>
      <c r="E9" s="118">
        <v>12</v>
      </c>
      <c r="F9" s="540">
        <v>2</v>
      </c>
      <c r="G9" s="190">
        <f t="shared" ref="G9:G11" si="0">D9/E9*F9</f>
        <v>331.40291666666667</v>
      </c>
    </row>
    <row r="10" spans="1:7" ht="20.100000000000001" customHeight="1" x14ac:dyDescent="0.2">
      <c r="A10" s="540">
        <v>3</v>
      </c>
      <c r="B10" s="189" t="s">
        <v>137</v>
      </c>
      <c r="C10" s="118" t="s">
        <v>473</v>
      </c>
      <c r="D10" s="529">
        <v>2186</v>
      </c>
      <c r="E10" s="118">
        <v>12</v>
      </c>
      <c r="F10" s="540">
        <v>2</v>
      </c>
      <c r="G10" s="190">
        <f t="shared" si="0"/>
        <v>364.33333333333331</v>
      </c>
    </row>
    <row r="11" spans="1:7" ht="20.100000000000001" customHeight="1" x14ac:dyDescent="0.2">
      <c r="A11" s="540">
        <v>4</v>
      </c>
      <c r="B11" s="189" t="s">
        <v>138</v>
      </c>
      <c r="C11" s="118" t="s">
        <v>473</v>
      </c>
      <c r="D11" s="529">
        <f>Cotações!D19</f>
        <v>3772.4</v>
      </c>
      <c r="E11" s="118">
        <v>12</v>
      </c>
      <c r="F11" s="540">
        <v>1</v>
      </c>
      <c r="G11" s="190">
        <f t="shared" si="0"/>
        <v>314.36666666666667</v>
      </c>
    </row>
    <row r="12" spans="1:7" x14ac:dyDescent="0.2">
      <c r="A12" s="741" t="s">
        <v>497</v>
      </c>
      <c r="B12" s="741"/>
      <c r="C12" s="741"/>
      <c r="D12" s="741"/>
      <c r="E12" s="741"/>
      <c r="F12" s="741"/>
      <c r="G12" s="530">
        <f>SUM(G8:G11)</f>
        <v>2271.9325833333332</v>
      </c>
    </row>
    <row r="13" spans="1:7" x14ac:dyDescent="0.2">
      <c r="A13" s="532"/>
      <c r="B13" s="532"/>
      <c r="C13" s="533"/>
      <c r="D13" s="742" t="s">
        <v>296</v>
      </c>
      <c r="E13" s="743"/>
      <c r="F13" s="192">
        <f>Dados!G53</f>
        <v>0.03</v>
      </c>
      <c r="G13" s="193">
        <f>G12*F13</f>
        <v>68.157977500000001</v>
      </c>
    </row>
    <row r="14" spans="1:7" x14ac:dyDescent="0.2">
      <c r="A14" s="532"/>
      <c r="B14" s="532"/>
      <c r="C14" s="533"/>
      <c r="D14" s="742" t="s">
        <v>297</v>
      </c>
      <c r="E14" s="743"/>
      <c r="F14" s="191"/>
      <c r="G14" s="119">
        <f>G12+G13</f>
        <v>2340.0905608333333</v>
      </c>
    </row>
    <row r="15" spans="1:7" x14ac:dyDescent="0.2">
      <c r="A15" s="532"/>
      <c r="B15" s="532"/>
      <c r="C15" s="533"/>
      <c r="D15" s="742" t="s">
        <v>125</v>
      </c>
      <c r="E15" s="743"/>
      <c r="F15" s="192">
        <f>Dados!G54</f>
        <v>6.7900000000000002E-2</v>
      </c>
      <c r="G15" s="193">
        <f>G14*F15</f>
        <v>158.89214908058332</v>
      </c>
    </row>
    <row r="16" spans="1:7" x14ac:dyDescent="0.2">
      <c r="A16" s="532"/>
      <c r="B16" s="532"/>
      <c r="C16" s="533"/>
      <c r="D16" s="609" t="s">
        <v>430</v>
      </c>
      <c r="E16" s="609"/>
      <c r="F16" s="194"/>
      <c r="G16" s="195">
        <f>G13+G15</f>
        <v>227.05012658058331</v>
      </c>
    </row>
    <row r="17" spans="1:8" x14ac:dyDescent="0.2">
      <c r="A17" s="532"/>
      <c r="B17" s="532"/>
      <c r="C17" s="533"/>
      <c r="D17" s="609" t="s">
        <v>498</v>
      </c>
      <c r="E17" s="609"/>
      <c r="F17" s="194"/>
      <c r="G17" s="195">
        <f>G12+G16</f>
        <v>2498.9827099139166</v>
      </c>
    </row>
    <row r="18" spans="1:8" x14ac:dyDescent="0.2">
      <c r="A18" s="532"/>
      <c r="B18" s="532"/>
      <c r="C18" s="533"/>
      <c r="D18" s="534"/>
      <c r="E18" s="532"/>
      <c r="F18" s="533"/>
      <c r="G18" s="532"/>
    </row>
    <row r="19" spans="1:8" x14ac:dyDescent="0.2">
      <c r="A19" s="532"/>
      <c r="B19" s="532"/>
      <c r="C19" s="533"/>
      <c r="D19" s="608" t="str">
        <f>Dados!B61</f>
        <v>COFINS</v>
      </c>
      <c r="E19" s="608"/>
      <c r="F19" s="196">
        <f>Dados!G61</f>
        <v>7.5999999999999998E-2</v>
      </c>
      <c r="G19" s="535">
        <f>$G$24*F19</f>
        <v>221.48452</v>
      </c>
    </row>
    <row r="20" spans="1:8" x14ac:dyDescent="0.2">
      <c r="A20" s="532"/>
      <c r="B20" s="532"/>
      <c r="C20" s="533"/>
      <c r="D20" s="608" t="str">
        <f>Dados!B62</f>
        <v>PIS/PASEP</v>
      </c>
      <c r="E20" s="608"/>
      <c r="F20" s="196">
        <f>Dados!G62</f>
        <v>1.6500000000000001E-2</v>
      </c>
      <c r="G20" s="535">
        <f>$G$24*F20</f>
        <v>48.085455000000003</v>
      </c>
    </row>
    <row r="21" spans="1:8" x14ac:dyDescent="0.2">
      <c r="A21" s="532"/>
      <c r="B21" s="532"/>
      <c r="C21" s="533"/>
      <c r="D21" s="608" t="str">
        <f>Dados!B63</f>
        <v>ISSQN</v>
      </c>
      <c r="E21" s="608"/>
      <c r="F21" s="196">
        <f>Dados!G63</f>
        <v>0.05</v>
      </c>
      <c r="G21" s="535">
        <f>$G$24*F21</f>
        <v>145.71350000000001</v>
      </c>
    </row>
    <row r="22" spans="1:8" x14ac:dyDescent="0.2">
      <c r="A22" s="532"/>
      <c r="B22" s="532"/>
      <c r="C22" s="533"/>
      <c r="D22" s="608" t="s">
        <v>499</v>
      </c>
      <c r="E22" s="608"/>
      <c r="F22" s="196">
        <v>0</v>
      </c>
      <c r="G22" s="535">
        <f>$G$24*F22</f>
        <v>0</v>
      </c>
    </row>
    <row r="23" spans="1:8" x14ac:dyDescent="0.2">
      <c r="A23" s="532"/>
      <c r="B23" s="532"/>
      <c r="C23" s="533"/>
      <c r="D23" s="609" t="s">
        <v>432</v>
      </c>
      <c r="E23" s="609"/>
      <c r="F23" s="198">
        <f>SUM(F19:F22)</f>
        <v>0.14250000000000002</v>
      </c>
      <c r="G23" s="195">
        <f>SUM(G19:G22)</f>
        <v>415.28347500000001</v>
      </c>
    </row>
    <row r="24" spans="1:8" x14ac:dyDescent="0.2">
      <c r="A24" s="532"/>
      <c r="B24" s="532"/>
      <c r="C24" s="533"/>
      <c r="D24" s="609" t="s">
        <v>501</v>
      </c>
      <c r="E24" s="609"/>
      <c r="F24" s="536">
        <f>Dados!G65</f>
        <v>0.14250000000000002</v>
      </c>
      <c r="G24" s="195">
        <f>ROUND(G17/(1-$F$24),2)</f>
        <v>2914.27</v>
      </c>
      <c r="H24" s="537"/>
    </row>
  </sheetData>
  <sheetProtection algorithmName="SHA-512" hashValue="3TsVfdxxdfBpbEvN9pNAESZZmTNPe9RMK17LnVdPYuNW7hs0hHXzEVGwEieaJOkcU34DnaDRCrrijInLQhAlrQ==" saltValue="l7e11l9KGUTe1iRoZ/mwjw==" spinCount="100000" sheet="1"/>
  <mergeCells count="14">
    <mergeCell ref="D21:E21"/>
    <mergeCell ref="D22:E22"/>
    <mergeCell ref="D24:E24"/>
    <mergeCell ref="D23:E23"/>
    <mergeCell ref="A12:F12"/>
    <mergeCell ref="D13:E13"/>
    <mergeCell ref="D14:E14"/>
    <mergeCell ref="D15:E15"/>
    <mergeCell ref="D16:E16"/>
    <mergeCell ref="A4:G4"/>
    <mergeCell ref="A5:G5"/>
    <mergeCell ref="D17:E17"/>
    <mergeCell ref="D19:E19"/>
    <mergeCell ref="D20:E20"/>
  </mergeCells>
  <pageMargins left="0.51180555555555496" right="0.51180555555555496" top="0.78749999999999998" bottom="0.78749999999999998" header="0.51180555555555496" footer="0.51180555555555496"/>
  <pageSetup paperSize="9" scale="52" firstPageNumber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"/>
  <sheetViews>
    <sheetView topLeftCell="A12" zoomScale="90" zoomScaleNormal="90" workbookViewId="0"/>
  </sheetViews>
  <sheetFormatPr defaultColWidth="12.83203125" defaultRowHeight="12.75" x14ac:dyDescent="0.2"/>
  <cols>
    <col min="1" max="1" width="38.6640625" style="16" customWidth="1"/>
    <col min="2" max="2" width="64.6640625" style="16" customWidth="1"/>
    <col min="3" max="3" width="19.1640625" customWidth="1"/>
    <col min="4" max="4" width="24.1640625" customWidth="1"/>
  </cols>
  <sheetData>
    <row r="1" spans="1:4" x14ac:dyDescent="0.2">
      <c r="A1" s="438"/>
      <c r="B1" s="439" t="s">
        <v>26</v>
      </c>
      <c r="C1" s="440"/>
    </row>
    <row r="2" spans="1:4" x14ac:dyDescent="0.2">
      <c r="A2" s="442"/>
      <c r="B2" s="443" t="s">
        <v>27</v>
      </c>
      <c r="C2" s="301"/>
    </row>
    <row r="3" spans="1:4" x14ac:dyDescent="0.2">
      <c r="A3" s="445"/>
      <c r="B3" s="443" t="str">
        <f>Dados!B3</f>
        <v>Divisão de Engenharia e Arquitetura - DIEAR</v>
      </c>
      <c r="C3" s="301"/>
    </row>
    <row r="4" spans="1:4" ht="26.25" thickBot="1" x14ac:dyDescent="0.25">
      <c r="A4" s="415" t="s">
        <v>147</v>
      </c>
      <c r="B4" s="415" t="s">
        <v>148</v>
      </c>
      <c r="C4" s="415" t="s">
        <v>149</v>
      </c>
      <c r="D4" s="415" t="s">
        <v>496</v>
      </c>
    </row>
    <row r="5" spans="1:4" x14ac:dyDescent="0.2">
      <c r="A5" s="744" t="s">
        <v>150</v>
      </c>
      <c r="B5" s="416" t="s">
        <v>151</v>
      </c>
      <c r="C5" s="417">
        <v>14462</v>
      </c>
      <c r="D5" s="746">
        <f>AVERAGE(C5:C9)</f>
        <v>15141.956</v>
      </c>
    </row>
    <row r="6" spans="1:4" x14ac:dyDescent="0.2">
      <c r="A6" s="729"/>
      <c r="B6" s="418" t="s">
        <v>152</v>
      </c>
      <c r="C6" s="419">
        <v>17990</v>
      </c>
      <c r="D6" s="747"/>
    </row>
    <row r="7" spans="1:4" ht="25.5" x14ac:dyDescent="0.2">
      <c r="A7" s="729"/>
      <c r="B7" s="418" t="s">
        <v>153</v>
      </c>
      <c r="C7" s="419">
        <v>13267.78</v>
      </c>
      <c r="D7" s="747"/>
    </row>
    <row r="8" spans="1:4" ht="25.5" x14ac:dyDescent="0.2">
      <c r="A8" s="729"/>
      <c r="B8" s="418" t="s">
        <v>154</v>
      </c>
      <c r="C8" s="419">
        <v>17421</v>
      </c>
      <c r="D8" s="747"/>
    </row>
    <row r="9" spans="1:4" ht="13.5" thickBot="1" x14ac:dyDescent="0.25">
      <c r="A9" s="745"/>
      <c r="B9" s="420" t="s">
        <v>155</v>
      </c>
      <c r="C9" s="421">
        <v>12569</v>
      </c>
      <c r="D9" s="748"/>
    </row>
    <row r="10" spans="1:4" x14ac:dyDescent="0.2">
      <c r="A10" s="744" t="s">
        <v>156</v>
      </c>
      <c r="B10" s="416" t="s">
        <v>151</v>
      </c>
      <c r="C10" s="417">
        <v>2152</v>
      </c>
      <c r="D10" s="746">
        <f>AVERAGE(C10:C13)</f>
        <v>1988.4175</v>
      </c>
    </row>
    <row r="11" spans="1:4" x14ac:dyDescent="0.2">
      <c r="A11" s="729"/>
      <c r="B11" s="418" t="s">
        <v>152</v>
      </c>
      <c r="C11" s="419">
        <v>1766.67</v>
      </c>
      <c r="D11" s="747"/>
    </row>
    <row r="12" spans="1:4" ht="38.25" x14ac:dyDescent="0.2">
      <c r="A12" s="729"/>
      <c r="B12" s="418" t="s">
        <v>157</v>
      </c>
      <c r="C12" s="419">
        <v>2135</v>
      </c>
      <c r="D12" s="747"/>
    </row>
    <row r="13" spans="1:4" ht="26.25" thickBot="1" x14ac:dyDescent="0.25">
      <c r="A13" s="745"/>
      <c r="B13" s="420" t="s">
        <v>158</v>
      </c>
      <c r="C13" s="421">
        <v>1900</v>
      </c>
      <c r="D13" s="748"/>
    </row>
    <row r="14" spans="1:4" x14ac:dyDescent="0.2">
      <c r="A14" s="744" t="s">
        <v>159</v>
      </c>
      <c r="B14" s="416" t="s">
        <v>151</v>
      </c>
      <c r="C14" s="417">
        <v>2184</v>
      </c>
      <c r="D14" s="746">
        <f>AVERAGE(C14:C18)</f>
        <v>2182.866</v>
      </c>
    </row>
    <row r="15" spans="1:4" ht="25.5" x14ac:dyDescent="0.2">
      <c r="A15" s="729"/>
      <c r="B15" s="418" t="s">
        <v>160</v>
      </c>
      <c r="C15" s="419">
        <v>2080</v>
      </c>
      <c r="D15" s="747"/>
    </row>
    <row r="16" spans="1:4" x14ac:dyDescent="0.2">
      <c r="A16" s="729"/>
      <c r="B16" s="418" t="s">
        <v>161</v>
      </c>
      <c r="C16" s="419">
        <v>2070.33</v>
      </c>
      <c r="D16" s="747"/>
    </row>
    <row r="17" spans="1:4" ht="18" customHeight="1" x14ac:dyDescent="0.2">
      <c r="A17" s="729"/>
      <c r="B17" s="418" t="s">
        <v>162</v>
      </c>
      <c r="C17" s="419">
        <v>2080</v>
      </c>
      <c r="D17" s="747"/>
    </row>
    <row r="18" spans="1:4" ht="13.5" thickBot="1" x14ac:dyDescent="0.25">
      <c r="A18" s="749"/>
      <c r="B18" s="422" t="s">
        <v>163</v>
      </c>
      <c r="C18" s="423">
        <v>2500</v>
      </c>
      <c r="D18" s="751"/>
    </row>
    <row r="19" spans="1:4" x14ac:dyDescent="0.2">
      <c r="A19" s="744" t="s">
        <v>164</v>
      </c>
      <c r="B19" s="416" t="s">
        <v>165</v>
      </c>
      <c r="C19" s="417">
        <v>3661.2</v>
      </c>
      <c r="D19" s="746">
        <f>AVERAGE(C19:C21)</f>
        <v>3772.4</v>
      </c>
    </row>
    <row r="20" spans="1:4" ht="25.5" x14ac:dyDescent="0.2">
      <c r="A20" s="729"/>
      <c r="B20" s="418" t="s">
        <v>166</v>
      </c>
      <c r="C20" s="419">
        <v>3828</v>
      </c>
      <c r="D20" s="747"/>
    </row>
    <row r="21" spans="1:4" ht="13.5" thickBot="1" x14ac:dyDescent="0.25">
      <c r="A21" s="745"/>
      <c r="B21" s="420" t="s">
        <v>167</v>
      </c>
      <c r="C21" s="421">
        <v>3828</v>
      </c>
      <c r="D21" s="748"/>
    </row>
    <row r="22" spans="1:4" x14ac:dyDescent="0.2">
      <c r="A22" s="750" t="s">
        <v>168</v>
      </c>
      <c r="B22" s="416" t="s">
        <v>169</v>
      </c>
      <c r="C22" s="417">
        <v>5799</v>
      </c>
      <c r="D22" s="746">
        <f>AVERAGE(C22:C26)</f>
        <v>5538.8119999999999</v>
      </c>
    </row>
    <row r="23" spans="1:4" x14ac:dyDescent="0.2">
      <c r="A23" s="749"/>
      <c r="B23" s="418" t="s">
        <v>170</v>
      </c>
      <c r="C23" s="419">
        <v>5938</v>
      </c>
      <c r="D23" s="747"/>
    </row>
    <row r="24" spans="1:4" x14ac:dyDescent="0.2">
      <c r="A24" s="749"/>
      <c r="B24" s="418" t="s">
        <v>171</v>
      </c>
      <c r="C24" s="419">
        <v>5849.1</v>
      </c>
      <c r="D24" s="747"/>
    </row>
    <row r="25" spans="1:4" x14ac:dyDescent="0.2">
      <c r="A25" s="749"/>
      <c r="B25" s="418" t="s">
        <v>172</v>
      </c>
      <c r="C25" s="419">
        <v>5177.97</v>
      </c>
      <c r="D25" s="747"/>
    </row>
    <row r="26" spans="1:4" ht="13.5" thickBot="1" x14ac:dyDescent="0.25">
      <c r="A26" s="745"/>
      <c r="B26" s="420" t="s">
        <v>173</v>
      </c>
      <c r="C26" s="421">
        <v>4929.99</v>
      </c>
      <c r="D26" s="748"/>
    </row>
    <row r="27" spans="1:4" ht="39" thickBot="1" x14ac:dyDescent="0.25">
      <c r="A27" s="424" t="s">
        <v>174</v>
      </c>
      <c r="B27" s="425" t="s">
        <v>175</v>
      </c>
      <c r="C27" s="426">
        <v>3727.22</v>
      </c>
      <c r="D27" s="427">
        <f>C27</f>
        <v>3727.22</v>
      </c>
    </row>
    <row r="28" spans="1:4" ht="26.25" thickBot="1" x14ac:dyDescent="0.25">
      <c r="A28" s="424" t="s">
        <v>176</v>
      </c>
      <c r="B28" s="425" t="s">
        <v>177</v>
      </c>
      <c r="C28" s="426">
        <v>449</v>
      </c>
      <c r="D28" s="427">
        <f>C28</f>
        <v>449</v>
      </c>
    </row>
    <row r="29" spans="1:4" ht="13.5" thickBot="1" x14ac:dyDescent="0.25">
      <c r="A29" s="428" t="s">
        <v>178</v>
      </c>
      <c r="B29" s="429" t="s">
        <v>179</v>
      </c>
      <c r="C29" s="430">
        <v>17</v>
      </c>
      <c r="D29" s="431">
        <f>C29</f>
        <v>17</v>
      </c>
    </row>
    <row r="30" spans="1:4" x14ac:dyDescent="0.2">
      <c r="A30" s="744" t="s">
        <v>180</v>
      </c>
      <c r="B30" s="432" t="s">
        <v>181</v>
      </c>
      <c r="C30" s="417">
        <v>349</v>
      </c>
      <c r="D30" s="746">
        <f>AVERAGE(C30:C32)</f>
        <v>279.29333333333335</v>
      </c>
    </row>
    <row r="31" spans="1:4" x14ac:dyDescent="0.2">
      <c r="A31" s="729"/>
      <c r="B31" s="433" t="s">
        <v>182</v>
      </c>
      <c r="C31" s="419">
        <v>228</v>
      </c>
      <c r="D31" s="747"/>
    </row>
    <row r="32" spans="1:4" ht="13.5" thickBot="1" x14ac:dyDescent="0.25">
      <c r="A32" s="745"/>
      <c r="B32" s="434" t="s">
        <v>183</v>
      </c>
      <c r="C32" s="421">
        <v>260.88</v>
      </c>
      <c r="D32" s="748"/>
    </row>
    <row r="33" spans="1:4" x14ac:dyDescent="0.2">
      <c r="A33" s="750" t="s">
        <v>184</v>
      </c>
      <c r="B33" s="432" t="s">
        <v>185</v>
      </c>
      <c r="C33" s="417">
        <v>217.09</v>
      </c>
      <c r="D33" s="746">
        <f>AVERAGE(C33:C35)</f>
        <v>235.29666666666665</v>
      </c>
    </row>
    <row r="34" spans="1:4" x14ac:dyDescent="0.2">
      <c r="A34" s="749"/>
      <c r="B34" s="433" t="s">
        <v>186</v>
      </c>
      <c r="C34" s="419">
        <v>249.9</v>
      </c>
      <c r="D34" s="747"/>
    </row>
    <row r="35" spans="1:4" ht="13.5" thickBot="1" x14ac:dyDescent="0.25">
      <c r="A35" s="745"/>
      <c r="B35" s="434" t="s">
        <v>187</v>
      </c>
      <c r="C35" s="421">
        <v>238.9</v>
      </c>
      <c r="D35" s="748"/>
    </row>
    <row r="36" spans="1:4" x14ac:dyDescent="0.2">
      <c r="A36" s="750" t="s">
        <v>188</v>
      </c>
      <c r="B36" s="432" t="s">
        <v>187</v>
      </c>
      <c r="C36" s="417">
        <v>355.96</v>
      </c>
      <c r="D36" s="746">
        <f>AVERAGE(C36:C39)</f>
        <v>360.71249999999998</v>
      </c>
    </row>
    <row r="37" spans="1:4" x14ac:dyDescent="0.2">
      <c r="A37" s="749"/>
      <c r="B37" s="433" t="s">
        <v>186</v>
      </c>
      <c r="C37" s="419">
        <v>412.1</v>
      </c>
      <c r="D37" s="747"/>
    </row>
    <row r="38" spans="1:4" x14ac:dyDescent="0.2">
      <c r="A38" s="749"/>
      <c r="B38" s="433" t="s">
        <v>189</v>
      </c>
      <c r="C38" s="419">
        <v>331.89</v>
      </c>
      <c r="D38" s="747"/>
    </row>
    <row r="39" spans="1:4" ht="13.5" thickBot="1" x14ac:dyDescent="0.25">
      <c r="A39" s="745"/>
      <c r="B39" s="434" t="s">
        <v>190</v>
      </c>
      <c r="C39" s="421">
        <v>342.9</v>
      </c>
      <c r="D39" s="748"/>
    </row>
    <row r="40" spans="1:4" x14ac:dyDescent="0.2">
      <c r="A40" s="750" t="s">
        <v>191</v>
      </c>
      <c r="B40" s="416" t="s">
        <v>186</v>
      </c>
      <c r="C40" s="417">
        <v>252.45</v>
      </c>
      <c r="D40" s="746">
        <f>AVERAGE(C40:C42)</f>
        <v>373.08333333333331</v>
      </c>
    </row>
    <row r="41" spans="1:4" x14ac:dyDescent="0.2">
      <c r="A41" s="749"/>
      <c r="B41" s="418" t="s">
        <v>189</v>
      </c>
      <c r="C41" s="419">
        <v>319.89999999999998</v>
      </c>
      <c r="D41" s="747"/>
    </row>
    <row r="42" spans="1:4" ht="13.5" thickBot="1" x14ac:dyDescent="0.25">
      <c r="A42" s="745"/>
      <c r="B42" s="420" t="s">
        <v>190</v>
      </c>
      <c r="C42" s="421">
        <v>546.9</v>
      </c>
      <c r="D42" s="748"/>
    </row>
    <row r="43" spans="1:4" x14ac:dyDescent="0.2">
      <c r="A43" s="750" t="s">
        <v>192</v>
      </c>
      <c r="B43" s="435" t="s">
        <v>193</v>
      </c>
      <c r="C43" s="436">
        <v>199.9</v>
      </c>
      <c r="D43" s="746">
        <f>AVERAGE(C43:C44)</f>
        <v>199.95</v>
      </c>
    </row>
    <row r="44" spans="1:4" ht="13.5" thickBot="1" x14ac:dyDescent="0.25">
      <c r="A44" s="753"/>
      <c r="B44" s="437" t="s">
        <v>194</v>
      </c>
      <c r="C44" s="421">
        <v>200</v>
      </c>
      <c r="D44" s="748"/>
    </row>
    <row r="45" spans="1:4" ht="13.5" thickBot="1" x14ac:dyDescent="0.25">
      <c r="A45" s="559" t="s">
        <v>641</v>
      </c>
      <c r="B45" s="416" t="s">
        <v>642</v>
      </c>
      <c r="C45" s="417">
        <v>65.98</v>
      </c>
      <c r="D45" s="560">
        <f>AVERAGE(C45:C45)</f>
        <v>65.98</v>
      </c>
    </row>
    <row r="46" spans="1:4" x14ac:dyDescent="0.2">
      <c r="A46" s="744" t="s">
        <v>579</v>
      </c>
      <c r="B46" s="562" t="s">
        <v>580</v>
      </c>
      <c r="C46" s="417">
        <v>204.9</v>
      </c>
      <c r="D46" s="746">
        <f>AVERAGE(C46:C48)</f>
        <v>223.23333333333335</v>
      </c>
    </row>
    <row r="47" spans="1:4" x14ac:dyDescent="0.2">
      <c r="A47" s="729"/>
      <c r="B47" s="563" t="s">
        <v>581</v>
      </c>
      <c r="C47" s="419">
        <v>249.9</v>
      </c>
      <c r="D47" s="752"/>
    </row>
    <row r="48" spans="1:4" ht="13.5" thickBot="1" x14ac:dyDescent="0.25">
      <c r="A48" s="745"/>
      <c r="B48" s="564" t="s">
        <v>582</v>
      </c>
      <c r="C48" s="421">
        <v>214.9</v>
      </c>
      <c r="D48" s="748"/>
    </row>
  </sheetData>
  <sheetProtection algorithmName="SHA-512" hashValue="vrxtV2IqHb5v7F30P9tbdzeyZpsmg+MdoqcayiuXc77wvsiWX5EKw/KccBrsMmkA8H4yFF3esEzbzqrYLq1LSg==" saltValue="DPPMyTLu06f5sX6T6AAX3A==" spinCount="100000" sheet="1" objects="1" scenarios="1"/>
  <mergeCells count="22">
    <mergeCell ref="A46:A48"/>
    <mergeCell ref="D46:D48"/>
    <mergeCell ref="D33:D35"/>
    <mergeCell ref="A40:A42"/>
    <mergeCell ref="A43:A44"/>
    <mergeCell ref="D30:D32"/>
    <mergeCell ref="D36:D39"/>
    <mergeCell ref="D40:D42"/>
    <mergeCell ref="D43:D44"/>
    <mergeCell ref="A30:A32"/>
    <mergeCell ref="A33:A35"/>
    <mergeCell ref="A36:A39"/>
    <mergeCell ref="A19:A21"/>
    <mergeCell ref="A22:A26"/>
    <mergeCell ref="D14:D18"/>
    <mergeCell ref="D19:D21"/>
    <mergeCell ref="D22:D26"/>
    <mergeCell ref="A5:A9"/>
    <mergeCell ref="A10:A13"/>
    <mergeCell ref="D5:D9"/>
    <mergeCell ref="D10:D13"/>
    <mergeCell ref="A14:A1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&amp;C&amp;12&amp;A</oddHeader>
    <oddFooter>&amp;C&amp;12Página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showGridLines="0" zoomScale="90" zoomScaleNormal="90" workbookViewId="0"/>
  </sheetViews>
  <sheetFormatPr defaultColWidth="9" defaultRowHeight="12.75" x14ac:dyDescent="0.2"/>
  <cols>
    <col min="1" max="1" width="11.33203125" customWidth="1"/>
    <col min="2" max="2" width="28.83203125" customWidth="1"/>
    <col min="3" max="3" width="10.5" customWidth="1"/>
    <col min="4" max="5" width="17.5" customWidth="1"/>
    <col min="6" max="8" width="17.83203125" style="31" customWidth="1"/>
    <col min="9" max="13" width="17.83203125" customWidth="1"/>
  </cols>
  <sheetData>
    <row r="1" spans="1:13" x14ac:dyDescent="0.2">
      <c r="A1" s="438"/>
      <c r="B1" s="439" t="s">
        <v>26</v>
      </c>
      <c r="C1" s="440"/>
      <c r="D1" s="440"/>
      <c r="E1" s="440"/>
      <c r="F1" s="441"/>
      <c r="G1" s="441"/>
      <c r="H1" s="441"/>
      <c r="I1" s="219"/>
      <c r="J1" s="223"/>
      <c r="K1" s="223"/>
      <c r="L1" s="223"/>
      <c r="M1" s="223"/>
    </row>
    <row r="2" spans="1:13" x14ac:dyDescent="0.2">
      <c r="A2" s="442"/>
      <c r="B2" s="443" t="s">
        <v>27</v>
      </c>
      <c r="C2" s="301"/>
      <c r="D2" s="301"/>
      <c r="E2" s="301"/>
      <c r="F2" s="444"/>
      <c r="G2" s="444"/>
      <c r="H2" s="444"/>
      <c r="I2" s="223"/>
      <c r="J2" s="223"/>
      <c r="K2" s="223"/>
      <c r="L2" s="223"/>
      <c r="M2" s="223"/>
    </row>
    <row r="3" spans="1:13" ht="13.5" thickBot="1" x14ac:dyDescent="0.25">
      <c r="A3" s="445"/>
      <c r="B3" s="443" t="str">
        <f>Dados!B3</f>
        <v>Divisão de Engenharia e Arquitetura - DIEAR</v>
      </c>
      <c r="C3" s="301"/>
      <c r="D3" s="301"/>
      <c r="E3" s="301"/>
      <c r="F3" s="444"/>
      <c r="G3" s="444"/>
      <c r="H3" s="444"/>
      <c r="I3" s="223"/>
      <c r="J3" s="223"/>
      <c r="K3" s="223"/>
      <c r="L3" s="223"/>
      <c r="M3" s="223"/>
    </row>
    <row r="4" spans="1:13" ht="32.25" customHeight="1" x14ac:dyDescent="0.2">
      <c r="A4" s="754" t="s">
        <v>270</v>
      </c>
      <c r="B4" s="754"/>
      <c r="C4" s="754"/>
      <c r="D4" s="754"/>
      <c r="E4" s="754"/>
      <c r="F4" s="754"/>
      <c r="G4" s="754"/>
      <c r="H4" s="754"/>
      <c r="I4" s="754"/>
      <c r="J4" s="777"/>
      <c r="K4" s="778"/>
      <c r="L4" s="778"/>
      <c r="M4" s="778"/>
    </row>
    <row r="5" spans="1:13" ht="32.25" customHeight="1" x14ac:dyDescent="0.2">
      <c r="A5" s="755" t="str">
        <f>Dados!A5</f>
        <v>Sindicato utilizado - SINAENCO / MG. Vigência: 01/05/2024 – 30/04/2025
Sendo a data base da categoria 01º DE MAIO. Com número de registro no MTE MG003838/2024.
Datas-base de bases públicas utilizadas: Data de apresentação da proposta</v>
      </c>
      <c r="B5" s="755"/>
      <c r="C5" s="755"/>
      <c r="D5" s="755"/>
      <c r="E5" s="755"/>
      <c r="F5" s="755"/>
      <c r="G5" s="755"/>
      <c r="H5" s="755"/>
      <c r="I5" s="755"/>
      <c r="J5" s="779"/>
      <c r="K5" s="780"/>
      <c r="L5" s="780"/>
      <c r="M5" s="780"/>
    </row>
    <row r="6" spans="1:13" ht="27.75" customHeight="1" thickBot="1" x14ac:dyDescent="0.25">
      <c r="A6" s="756" t="s">
        <v>616</v>
      </c>
      <c r="B6" s="756"/>
      <c r="C6" s="756"/>
      <c r="D6" s="756"/>
      <c r="E6" s="756"/>
      <c r="F6" s="756"/>
      <c r="G6" s="756"/>
      <c r="H6" s="756"/>
      <c r="I6" s="757"/>
      <c r="J6" s="783" t="s">
        <v>424</v>
      </c>
      <c r="K6" s="782" t="s">
        <v>420</v>
      </c>
      <c r="L6" s="782"/>
      <c r="M6" s="782"/>
    </row>
    <row r="7" spans="1:13" ht="30" customHeight="1" thickBot="1" x14ac:dyDescent="0.25">
      <c r="A7" s="758" t="str">
        <f>Dados!B8&amp;" - "&amp;D10</f>
        <v>Nível Superior Senior - 200</v>
      </c>
      <c r="B7" s="758"/>
      <c r="C7" s="758"/>
      <c r="D7" s="758"/>
      <c r="E7" s="758"/>
      <c r="F7" s="759" t="s">
        <v>271</v>
      </c>
      <c r="G7" s="759" t="s">
        <v>272</v>
      </c>
      <c r="H7" s="760" t="s">
        <v>273</v>
      </c>
      <c r="I7" s="761" t="s">
        <v>274</v>
      </c>
      <c r="J7" s="784"/>
      <c r="K7" s="446" t="s">
        <v>421</v>
      </c>
      <c r="L7" s="446" t="s">
        <v>422</v>
      </c>
      <c r="M7" s="446" t="s">
        <v>423</v>
      </c>
    </row>
    <row r="8" spans="1:13" ht="18" customHeight="1" thickBot="1" x14ac:dyDescent="0.25">
      <c r="A8" s="762" t="s">
        <v>275</v>
      </c>
      <c r="B8" s="762"/>
      <c r="C8" s="762"/>
      <c r="D8" s="762"/>
      <c r="E8" s="447" t="s">
        <v>69</v>
      </c>
      <c r="F8" s="759"/>
      <c r="G8" s="759"/>
      <c r="H8" s="760"/>
      <c r="I8" s="761"/>
      <c r="J8" s="784"/>
      <c r="K8" s="448">
        <f>Dados!G71</f>
        <v>0.25</v>
      </c>
      <c r="L8" s="448">
        <f>100%+Dados!G73</f>
        <v>1.5</v>
      </c>
      <c r="M8" s="448">
        <f>100%+Dados!G74</f>
        <v>2</v>
      </c>
    </row>
    <row r="9" spans="1:13" ht="24.75" customHeight="1" x14ac:dyDescent="0.2">
      <c r="A9" s="449" t="s">
        <v>64</v>
      </c>
      <c r="B9" s="763" t="s">
        <v>276</v>
      </c>
      <c r="C9" s="763"/>
      <c r="D9" s="450" t="s">
        <v>277</v>
      </c>
      <c r="E9" s="451" t="s">
        <v>278</v>
      </c>
      <c r="F9" s="764" t="s">
        <v>279</v>
      </c>
      <c r="G9" s="764"/>
      <c r="H9" s="764"/>
      <c r="I9" s="765"/>
      <c r="J9" s="116" t="s">
        <v>459</v>
      </c>
      <c r="K9" s="117">
        <v>25</v>
      </c>
      <c r="L9" s="117" t="s">
        <v>460</v>
      </c>
      <c r="M9" s="117">
        <v>5</v>
      </c>
    </row>
    <row r="10" spans="1:13" ht="27" customHeight="1" x14ac:dyDescent="0.2">
      <c r="A10" s="766">
        <v>1</v>
      </c>
      <c r="B10" s="767" t="str">
        <f>A7</f>
        <v>Nível Superior Senior - 200</v>
      </c>
      <c r="C10" s="767"/>
      <c r="D10" s="452">
        <f>Dados!C8</f>
        <v>200</v>
      </c>
      <c r="E10" s="453">
        <f>Dados!$E8</f>
        <v>16697.830000000002</v>
      </c>
      <c r="F10" s="454">
        <f>Dados!F8</f>
        <v>16697.830000000002</v>
      </c>
      <c r="G10" s="455"/>
      <c r="H10" s="456"/>
      <c r="I10" s="457"/>
      <c r="J10" s="458" t="s">
        <v>425</v>
      </c>
      <c r="K10" s="458">
        <f>ROUND($F$10/$D$10*K8,2)</f>
        <v>20.87</v>
      </c>
      <c r="L10" s="458">
        <f t="shared" ref="L10:M10" si="0">ROUND($F$10/$D$10*L8,2)</f>
        <v>125.23</v>
      </c>
      <c r="M10" s="458">
        <f t="shared" si="0"/>
        <v>166.98</v>
      </c>
    </row>
    <row r="11" spans="1:13" ht="24" customHeight="1" x14ac:dyDescent="0.2">
      <c r="A11" s="766"/>
      <c r="B11" s="768"/>
      <c r="C11" s="768"/>
      <c r="D11" s="459"/>
      <c r="E11" s="460"/>
      <c r="F11" s="454">
        <f>ROUND(((E11/220*D10)*C11)*D11,2)</f>
        <v>0</v>
      </c>
      <c r="G11" s="455"/>
      <c r="H11" s="456"/>
      <c r="I11" s="457"/>
      <c r="J11" s="457" t="s">
        <v>426</v>
      </c>
      <c r="K11" s="457">
        <f>ROUND($M$9/$K$9*K10,2)</f>
        <v>4.17</v>
      </c>
      <c r="L11" s="457">
        <f>ROUND($M$9/$K$9*L10,2)</f>
        <v>25.05</v>
      </c>
      <c r="M11" s="457">
        <f>ROUND($M$9/$K$9*M10,2)</f>
        <v>33.4</v>
      </c>
    </row>
    <row r="12" spans="1:13" ht="19.5" customHeight="1" x14ac:dyDescent="0.2">
      <c r="A12" s="766"/>
      <c r="B12" s="769" t="s">
        <v>280</v>
      </c>
      <c r="C12" s="769"/>
      <c r="D12" s="769"/>
      <c r="E12" s="769"/>
      <c r="F12" s="461">
        <f>F10+F11</f>
        <v>16697.830000000002</v>
      </c>
      <c r="G12" s="462"/>
      <c r="H12" s="463"/>
      <c r="I12" s="464"/>
      <c r="J12" s="464" t="s">
        <v>427</v>
      </c>
      <c r="K12" s="464">
        <f>SUM(K10:K11)</f>
        <v>25.04</v>
      </c>
      <c r="L12" s="464">
        <f t="shared" ref="L12:M12" si="1">SUM(L10:L11)</f>
        <v>150.28</v>
      </c>
      <c r="M12" s="464">
        <f t="shared" si="1"/>
        <v>200.38</v>
      </c>
    </row>
    <row r="13" spans="1:13" ht="19.5" customHeight="1" x14ac:dyDescent="0.2">
      <c r="A13" s="766"/>
      <c r="B13" s="770" t="s">
        <v>281</v>
      </c>
      <c r="C13" s="770"/>
      <c r="D13" s="770"/>
      <c r="E13" s="465">
        <f>Dados!G23</f>
        <v>0.76400000000000001</v>
      </c>
      <c r="F13" s="454">
        <f>(ROUND((E13*F12),2))</f>
        <v>12757.14</v>
      </c>
      <c r="G13" s="455"/>
      <c r="H13" s="456"/>
      <c r="I13" s="457"/>
      <c r="J13" s="457" t="s">
        <v>428</v>
      </c>
      <c r="K13" s="457">
        <f>K12*$E$13</f>
        <v>19.130559999999999</v>
      </c>
      <c r="L13" s="457">
        <f t="shared" ref="L13:M13" si="2">L12*$E$13</f>
        <v>114.81392</v>
      </c>
      <c r="M13" s="457">
        <f t="shared" si="2"/>
        <v>153.09031999999999</v>
      </c>
    </row>
    <row r="14" spans="1:13" ht="24.75" customHeight="1" x14ac:dyDescent="0.2">
      <c r="A14" s="772" t="s">
        <v>282</v>
      </c>
      <c r="B14" s="772"/>
      <c r="C14" s="772"/>
      <c r="D14" s="772"/>
      <c r="E14" s="772"/>
      <c r="F14" s="466">
        <f>ROUND(SUM(F12:F13),2)</f>
        <v>29454.97</v>
      </c>
      <c r="G14" s="467"/>
      <c r="H14" s="468"/>
      <c r="I14" s="469"/>
      <c r="J14" s="469" t="s">
        <v>429</v>
      </c>
      <c r="K14" s="469">
        <f>K12+K13</f>
        <v>44.170559999999995</v>
      </c>
      <c r="L14" s="469">
        <f t="shared" ref="L14:M14" si="3">L12+L13</f>
        <v>265.09392000000003</v>
      </c>
      <c r="M14" s="469">
        <f t="shared" si="3"/>
        <v>353.47032000000002</v>
      </c>
    </row>
    <row r="15" spans="1:13" ht="19.5" customHeight="1" x14ac:dyDescent="0.2">
      <c r="A15" s="773" t="s">
        <v>283</v>
      </c>
      <c r="B15" s="773"/>
      <c r="C15" s="773"/>
      <c r="D15" s="773"/>
      <c r="E15" s="773"/>
      <c r="F15" s="773"/>
      <c r="G15" s="773"/>
      <c r="H15" s="773"/>
      <c r="I15" s="773"/>
      <c r="J15" s="470"/>
      <c r="K15" s="223"/>
      <c r="L15" s="223"/>
      <c r="M15" s="223"/>
    </row>
    <row r="16" spans="1:13" ht="19.5" customHeight="1" x14ac:dyDescent="0.2">
      <c r="A16" s="774" t="s">
        <v>284</v>
      </c>
      <c r="B16" s="774"/>
      <c r="C16" s="117" t="s">
        <v>285</v>
      </c>
      <c r="D16" s="775" t="s">
        <v>286</v>
      </c>
      <c r="E16" s="775"/>
      <c r="F16" s="775"/>
      <c r="G16" s="775"/>
      <c r="H16" s="775"/>
      <c r="I16" s="775"/>
      <c r="J16" s="471"/>
      <c r="K16" s="223"/>
      <c r="L16" s="223"/>
      <c r="M16" s="223"/>
    </row>
    <row r="17" spans="1:13" ht="19.5" customHeight="1" x14ac:dyDescent="0.2">
      <c r="A17" s="771" t="s">
        <v>287</v>
      </c>
      <c r="B17" s="771"/>
      <c r="C17" s="472">
        <v>1</v>
      </c>
      <c r="D17" s="456">
        <f>Dados!G31</f>
        <v>20</v>
      </c>
      <c r="E17" s="473"/>
      <c r="F17" s="454">
        <f>ROUND((C17*D17),2)</f>
        <v>20</v>
      </c>
      <c r="G17" s="455"/>
      <c r="H17" s="456"/>
      <c r="I17" s="457"/>
      <c r="J17" s="457"/>
      <c r="K17" s="457"/>
      <c r="L17" s="457"/>
      <c r="M17" s="457"/>
    </row>
    <row r="18" spans="1:13" ht="25.5" customHeight="1" x14ac:dyDescent="0.2">
      <c r="A18" s="776" t="s">
        <v>288</v>
      </c>
      <c r="B18" s="776"/>
      <c r="C18" s="472">
        <f>1</f>
        <v>1</v>
      </c>
      <c r="D18" s="456">
        <f>Dados!G32</f>
        <v>380.02</v>
      </c>
      <c r="E18" s="474">
        <f>IF(Dados!G33="SIM",IF(E10&gt;=10312,20%,30%),Dados!G35)</f>
        <v>0.2</v>
      </c>
      <c r="F18" s="454">
        <f>IFERROR(C18*D18*E18,C18*D18)</f>
        <v>76.004000000000005</v>
      </c>
      <c r="G18" s="455"/>
      <c r="H18" s="456"/>
      <c r="I18" s="457"/>
      <c r="J18" s="457"/>
      <c r="K18" s="457"/>
      <c r="L18" s="457"/>
      <c r="M18" s="457"/>
    </row>
    <row r="19" spans="1:13" ht="25.5" customHeight="1" x14ac:dyDescent="0.2">
      <c r="A19" s="730" t="s">
        <v>289</v>
      </c>
      <c r="B19" s="730"/>
      <c r="C19" s="456">
        <f>Dados!$G$37</f>
        <v>22</v>
      </c>
      <c r="D19" s="456">
        <f>Dados!$G$36</f>
        <v>38.26</v>
      </c>
      <c r="E19" s="474">
        <f>Dados!$G$38</f>
        <v>0.2</v>
      </c>
      <c r="F19" s="454">
        <f>IF(Dados!G39="SIM",IF(E10&gt;10312,0,C19*D19*(100%-E19)),Dados!G35)</f>
        <v>0</v>
      </c>
      <c r="G19" s="455">
        <f>F19</f>
        <v>0</v>
      </c>
      <c r="H19" s="456"/>
      <c r="I19" s="457"/>
      <c r="J19" s="457"/>
      <c r="K19" s="457"/>
      <c r="L19" s="457"/>
      <c r="M19" s="457"/>
    </row>
    <row r="20" spans="1:13" ht="19.5" customHeight="1" x14ac:dyDescent="0.2">
      <c r="A20" s="771" t="s">
        <v>290</v>
      </c>
      <c r="B20" s="771"/>
      <c r="C20" s="456">
        <f>Dados!$G$45</f>
        <v>22</v>
      </c>
      <c r="D20" s="456">
        <f>Dados!$G$44</f>
        <v>7.1</v>
      </c>
      <c r="E20" s="475">
        <f>Dados!$G$42</f>
        <v>4.5</v>
      </c>
      <c r="F20" s="454">
        <f>IF(ROUND((($C$20*$D$20*Dados!$G$43)+($C$20*$E$20*Dados!$G$41) -(F10*Dados!$G$46)),2)&lt;0,0,ROUND((($C$20*$D$20*Dados!$G$43)+($C$20*$E$20*Dados!$G$41) -(F10*Dados!$G$46)),2))</f>
        <v>0</v>
      </c>
      <c r="G20" s="455"/>
      <c r="H20" s="456"/>
      <c r="I20" s="457">
        <f>F20</f>
        <v>0</v>
      </c>
      <c r="J20" s="457"/>
      <c r="K20" s="457"/>
      <c r="L20" s="457"/>
      <c r="M20" s="457"/>
    </row>
    <row r="21" spans="1:13" ht="19.5" customHeight="1" x14ac:dyDescent="0.2">
      <c r="A21" s="771" t="str">
        <f>Dados!B47</f>
        <v>Equipamentos</v>
      </c>
      <c r="B21" s="771"/>
      <c r="C21" s="456">
        <v>1</v>
      </c>
      <c r="D21" s="456">
        <f>Dados!$G$47</f>
        <v>100.15547800925926</v>
      </c>
      <c r="E21" s="453"/>
      <c r="F21" s="454">
        <f>ROUND((C21*D21),2)</f>
        <v>100.16</v>
      </c>
      <c r="G21" s="455"/>
      <c r="H21" s="456"/>
      <c r="I21" s="457"/>
      <c r="J21" s="457"/>
      <c r="K21" s="457"/>
      <c r="L21" s="457"/>
      <c r="M21" s="457"/>
    </row>
    <row r="22" spans="1:13" ht="19.5" customHeight="1" x14ac:dyDescent="0.2">
      <c r="A22" s="771" t="str">
        <f>Dados!B48</f>
        <v>Ferramentas</v>
      </c>
      <c r="B22" s="771"/>
      <c r="C22" s="456">
        <v>1</v>
      </c>
      <c r="D22" s="456">
        <f>IF('Ocorrências Mensais - FAT'!D7="PLANILHA PARA LICITAÇÃO (PRECIFICAÇÃO)",Dados!$G$48,'Ocorrências Mensais - FAT'!F32/SUM(Dados!D8:D12))</f>
        <v>68.819999999999993</v>
      </c>
      <c r="E22" s="453"/>
      <c r="F22" s="454">
        <f>ROUND((C22*D22),2)</f>
        <v>68.819999999999993</v>
      </c>
      <c r="G22" s="455"/>
      <c r="H22" s="456"/>
      <c r="I22" s="457"/>
      <c r="J22" s="457"/>
      <c r="K22" s="457"/>
      <c r="L22" s="457"/>
      <c r="M22" s="457"/>
    </row>
    <row r="23" spans="1:13" ht="19.5" customHeight="1" x14ac:dyDescent="0.2">
      <c r="A23" s="771" t="str">
        <f>Dados!B49</f>
        <v>Outros (inserir somente com a justificativa legal)</v>
      </c>
      <c r="B23" s="771"/>
      <c r="C23" s="456">
        <v>1</v>
      </c>
      <c r="D23" s="456">
        <f>Dados!$G$49</f>
        <v>0</v>
      </c>
      <c r="E23" s="453"/>
      <c r="F23" s="454">
        <f>ROUND((C23*D23),2)</f>
        <v>0</v>
      </c>
      <c r="G23" s="455"/>
      <c r="H23" s="456"/>
      <c r="I23" s="457"/>
      <c r="J23" s="457"/>
      <c r="K23" s="457"/>
      <c r="L23" s="457"/>
      <c r="M23" s="457"/>
    </row>
    <row r="24" spans="1:13" ht="19.5" customHeight="1" x14ac:dyDescent="0.2">
      <c r="A24" s="771" t="str">
        <f>Dados!B49</f>
        <v>Outros (inserir somente com a justificativa legal)</v>
      </c>
      <c r="B24" s="771"/>
      <c r="C24" s="456">
        <v>1</v>
      </c>
      <c r="D24" s="456">
        <f>Dados!$G$50</f>
        <v>0</v>
      </c>
      <c r="E24" s="453"/>
      <c r="F24" s="454">
        <f>ROUND((C24*D24),2)</f>
        <v>0</v>
      </c>
      <c r="G24" s="455"/>
      <c r="H24" s="456"/>
      <c r="I24" s="457"/>
      <c r="J24" s="457"/>
      <c r="K24" s="457"/>
      <c r="L24" s="457"/>
      <c r="M24" s="457"/>
    </row>
    <row r="25" spans="1:13" ht="24.75" customHeight="1" x14ac:dyDescent="0.2">
      <c r="A25" s="772" t="s">
        <v>291</v>
      </c>
      <c r="B25" s="772"/>
      <c r="C25" s="772"/>
      <c r="D25" s="772"/>
      <c r="E25" s="772"/>
      <c r="F25" s="466">
        <f>SUM(F17:F24)</f>
        <v>264.98399999999998</v>
      </c>
      <c r="G25" s="466">
        <f>SUM(G17:G24)</f>
        <v>0</v>
      </c>
      <c r="H25" s="468">
        <f>SUM($H$17:$H$24)</f>
        <v>0</v>
      </c>
      <c r="I25" s="469">
        <f>SUM($I$17:$I$24)</f>
        <v>0</v>
      </c>
      <c r="J25" s="469" t="s">
        <v>430</v>
      </c>
      <c r="K25" s="469">
        <f>SUM(K17:K24)</f>
        <v>0</v>
      </c>
      <c r="L25" s="469">
        <f>SUM(L17:L24)</f>
        <v>0</v>
      </c>
      <c r="M25" s="469">
        <f>SUM(M17:M24)</f>
        <v>0</v>
      </c>
    </row>
    <row r="26" spans="1:13" ht="24.75" customHeight="1" x14ac:dyDescent="0.2">
      <c r="A26" s="772" t="s">
        <v>292</v>
      </c>
      <c r="B26" s="772"/>
      <c r="C26" s="772"/>
      <c r="D26" s="772"/>
      <c r="E26" s="772"/>
      <c r="F26" s="466">
        <f>F14+F25</f>
        <v>29719.954000000002</v>
      </c>
      <c r="G26" s="466">
        <f>$G$14+$G$25</f>
        <v>0</v>
      </c>
      <c r="H26" s="468">
        <f>$H$14+$H$25</f>
        <v>0</v>
      </c>
      <c r="I26" s="469">
        <f>$I$14+$I$25</f>
        <v>0</v>
      </c>
      <c r="J26" s="469" t="s">
        <v>431</v>
      </c>
      <c r="K26" s="469">
        <f>K14+K25</f>
        <v>44.170559999999995</v>
      </c>
      <c r="L26" s="469">
        <f>L14+L25</f>
        <v>265.09392000000003</v>
      </c>
      <c r="M26" s="469">
        <f>M14+M25</f>
        <v>353.47032000000002</v>
      </c>
    </row>
    <row r="27" spans="1:13" ht="19.5" customHeight="1" x14ac:dyDescent="0.2">
      <c r="A27" s="773" t="s">
        <v>293</v>
      </c>
      <c r="B27" s="773"/>
      <c r="C27" s="773"/>
      <c r="D27" s="773"/>
      <c r="E27" s="773"/>
      <c r="F27" s="773"/>
      <c r="G27" s="773"/>
      <c r="H27" s="773">
        <f>SUM($H$17:$H$26)</f>
        <v>0</v>
      </c>
      <c r="I27" s="773">
        <f>SUM($I$17:$I$26)</f>
        <v>0</v>
      </c>
      <c r="J27" s="470"/>
      <c r="K27" s="223"/>
      <c r="L27" s="223"/>
      <c r="M27" s="223"/>
    </row>
    <row r="28" spans="1:13" ht="19.5" customHeight="1" x14ac:dyDescent="0.2">
      <c r="A28" s="788" t="s">
        <v>294</v>
      </c>
      <c r="B28" s="788"/>
      <c r="C28" s="788"/>
      <c r="D28" s="789" t="s">
        <v>295</v>
      </c>
      <c r="E28" s="789"/>
      <c r="F28" s="790" t="s">
        <v>279</v>
      </c>
      <c r="G28" s="790"/>
      <c r="H28" s="790"/>
      <c r="I28" s="790"/>
      <c r="J28" s="476"/>
      <c r="K28" s="223"/>
      <c r="L28" s="223"/>
      <c r="M28" s="223"/>
    </row>
    <row r="29" spans="1:13" ht="19.5" customHeight="1" x14ac:dyDescent="0.2">
      <c r="A29" s="477" t="s">
        <v>296</v>
      </c>
      <c r="B29" s="478"/>
      <c r="C29" s="478"/>
      <c r="D29" s="479">
        <f>Dados!$G$53</f>
        <v>0.03</v>
      </c>
      <c r="E29" s="480"/>
      <c r="F29" s="454">
        <f>ROUND((F26*D29),2)</f>
        <v>891.6</v>
      </c>
      <c r="G29" s="455">
        <f>ROUND(($G$26*$D$29),2)</f>
        <v>0</v>
      </c>
      <c r="H29" s="456">
        <f>ROUND((H26*D29),2)</f>
        <v>0</v>
      </c>
      <c r="I29" s="457">
        <f>ROUND((I26*D29),2)</f>
        <v>0</v>
      </c>
      <c r="J29" s="457" t="s">
        <v>437</v>
      </c>
      <c r="K29" s="457">
        <f>ROUND((K26*$D$29),2)</f>
        <v>1.33</v>
      </c>
      <c r="L29" s="457">
        <f t="shared" ref="L29:M29" si="4">ROUND((L26*$D$29),2)</f>
        <v>7.95</v>
      </c>
      <c r="M29" s="457">
        <f t="shared" si="4"/>
        <v>10.6</v>
      </c>
    </row>
    <row r="30" spans="1:13" ht="19.5" customHeight="1" x14ac:dyDescent="0.2">
      <c r="A30" s="785" t="s">
        <v>297</v>
      </c>
      <c r="B30" s="785"/>
      <c r="C30" s="785"/>
      <c r="D30" s="479"/>
      <c r="E30" s="480"/>
      <c r="F30" s="454">
        <f>F26+F29</f>
        <v>30611.554</v>
      </c>
      <c r="G30" s="455">
        <f>$G$29+$G$26</f>
        <v>0</v>
      </c>
      <c r="H30" s="456">
        <f>H26+H29</f>
        <v>0</v>
      </c>
      <c r="I30" s="457">
        <f>I26+I29</f>
        <v>0</v>
      </c>
      <c r="J30" s="457" t="s">
        <v>436</v>
      </c>
      <c r="K30" s="457">
        <f t="shared" ref="K30" si="5">K26+K29</f>
        <v>45.500559999999993</v>
      </c>
      <c r="L30" s="457">
        <f t="shared" ref="L30" si="6">L26+L29</f>
        <v>273.04392000000001</v>
      </c>
      <c r="M30" s="457">
        <f t="shared" ref="M30" si="7">M26+M29</f>
        <v>364.07032000000004</v>
      </c>
    </row>
    <row r="31" spans="1:13" ht="19.5" customHeight="1" x14ac:dyDescent="0.2">
      <c r="A31" s="477" t="s">
        <v>125</v>
      </c>
      <c r="B31" s="478"/>
      <c r="C31" s="478"/>
      <c r="D31" s="479">
        <f>Dados!$G$54</f>
        <v>6.7900000000000002E-2</v>
      </c>
      <c r="E31" s="480">
        <f>F26+F29</f>
        <v>30611.554</v>
      </c>
      <c r="F31" s="454">
        <f>ROUND((E31*D31),2)</f>
        <v>2078.52</v>
      </c>
      <c r="G31" s="455">
        <f>ROUND(($G$30*$D$31),2)</f>
        <v>0</v>
      </c>
      <c r="H31" s="456">
        <f>ROUND((H30*D31),2)</f>
        <v>0</v>
      </c>
      <c r="I31" s="457">
        <f>ROUND((I30*D31),2)</f>
        <v>0</v>
      </c>
      <c r="J31" s="457" t="s">
        <v>125</v>
      </c>
      <c r="K31" s="457">
        <f>ROUND((K30*$D$31),2)</f>
        <v>3.09</v>
      </c>
      <c r="L31" s="457">
        <f t="shared" ref="L31:M31" si="8">ROUND((L30*$D$31),2)</f>
        <v>18.54</v>
      </c>
      <c r="M31" s="457">
        <f t="shared" si="8"/>
        <v>24.72</v>
      </c>
    </row>
    <row r="32" spans="1:13" ht="24.75" customHeight="1" x14ac:dyDescent="0.2">
      <c r="A32" s="481" t="s">
        <v>298</v>
      </c>
      <c r="B32" s="482"/>
      <c r="C32" s="482"/>
      <c r="D32" s="483">
        <f>SUM(D29:D31)</f>
        <v>9.7900000000000001E-2</v>
      </c>
      <c r="E32" s="484"/>
      <c r="F32" s="466">
        <f>F29+F31</f>
        <v>2970.12</v>
      </c>
      <c r="G32" s="467">
        <f>$G$29+$G$31</f>
        <v>0</v>
      </c>
      <c r="H32" s="468">
        <f>H29+H31</f>
        <v>0</v>
      </c>
      <c r="I32" s="469">
        <f>I29+I31</f>
        <v>0</v>
      </c>
      <c r="J32" s="469" t="s">
        <v>432</v>
      </c>
      <c r="K32" s="469">
        <f t="shared" ref="K32:M32" si="9">K29+K31</f>
        <v>4.42</v>
      </c>
      <c r="L32" s="469">
        <f t="shared" si="9"/>
        <v>26.49</v>
      </c>
      <c r="M32" s="469">
        <f t="shared" si="9"/>
        <v>35.32</v>
      </c>
    </row>
    <row r="33" spans="1:13" ht="24.75" customHeight="1" x14ac:dyDescent="0.2">
      <c r="A33" s="772" t="s">
        <v>299</v>
      </c>
      <c r="B33" s="772"/>
      <c r="C33" s="772"/>
      <c r="D33" s="772"/>
      <c r="E33" s="772"/>
      <c r="F33" s="466">
        <f>F14+F25+F32</f>
        <v>32690.074000000001</v>
      </c>
      <c r="G33" s="467">
        <f>$G$14+$G$25+$G$32</f>
        <v>0</v>
      </c>
      <c r="H33" s="468">
        <f>H14+H25+H32</f>
        <v>0</v>
      </c>
      <c r="I33" s="469">
        <f>I14+I25+I32</f>
        <v>0</v>
      </c>
      <c r="J33" s="469" t="s">
        <v>433</v>
      </c>
      <c r="K33" s="469">
        <f>K14+K25+K32</f>
        <v>48.590559999999996</v>
      </c>
      <c r="L33" s="469">
        <f>L14+L25+L32</f>
        <v>291.58392000000003</v>
      </c>
      <c r="M33" s="469">
        <f>M14+M25+M32</f>
        <v>388.79032000000001</v>
      </c>
    </row>
    <row r="34" spans="1:13" ht="19.5" customHeight="1" x14ac:dyDescent="0.2">
      <c r="A34" s="773" t="s">
        <v>300</v>
      </c>
      <c r="B34" s="773"/>
      <c r="C34" s="773"/>
      <c r="D34" s="773"/>
      <c r="E34" s="773"/>
      <c r="F34" s="773"/>
      <c r="G34" s="773"/>
      <c r="H34" s="773"/>
      <c r="I34" s="773"/>
      <c r="J34" s="470"/>
      <c r="K34" s="223"/>
      <c r="L34" s="223"/>
      <c r="M34" s="223"/>
    </row>
    <row r="35" spans="1:13" ht="19.5" customHeight="1" x14ac:dyDescent="0.2">
      <c r="A35" s="477" t="s">
        <v>130</v>
      </c>
      <c r="B35" s="478"/>
      <c r="C35" s="485"/>
      <c r="D35" s="479">
        <f>Dados!$G$61</f>
        <v>7.5999999999999998E-2</v>
      </c>
      <c r="E35" s="453"/>
      <c r="F35" s="454">
        <f>ROUND((F40*D35),2)</f>
        <v>2897.31</v>
      </c>
      <c r="G35" s="455">
        <f>ROUND(($G$40*$D$35),2)</f>
        <v>0</v>
      </c>
      <c r="H35" s="456">
        <f>ROUND((H40*D35),2)</f>
        <v>0</v>
      </c>
      <c r="I35" s="457">
        <f>ROUND((I40*D35),2)</f>
        <v>0</v>
      </c>
      <c r="J35" s="477" t="s">
        <v>130</v>
      </c>
      <c r="K35" s="457">
        <f>ROUND((K40*$D$35),2)</f>
        <v>4.3099999999999996</v>
      </c>
      <c r="L35" s="457">
        <f t="shared" ref="L35:M35" si="10">ROUND((L40*$D$35),2)</f>
        <v>25.84</v>
      </c>
      <c r="M35" s="457">
        <f t="shared" si="10"/>
        <v>34.46</v>
      </c>
    </row>
    <row r="36" spans="1:13" ht="19.5" customHeight="1" x14ac:dyDescent="0.2">
      <c r="A36" s="477" t="s">
        <v>131</v>
      </c>
      <c r="B36" s="478"/>
      <c r="C36" s="485"/>
      <c r="D36" s="479">
        <f>Dados!$G$62</f>
        <v>1.6500000000000001E-2</v>
      </c>
      <c r="E36" s="453"/>
      <c r="F36" s="454">
        <f>ROUND((F40*D36),2)</f>
        <v>629.02</v>
      </c>
      <c r="G36" s="455">
        <f>ROUND(($G$40*$D$36),2)</f>
        <v>0</v>
      </c>
      <c r="H36" s="456">
        <f>ROUND((H40*D36),2)</f>
        <v>0</v>
      </c>
      <c r="I36" s="457">
        <f>ROUND((I40*D36),2)</f>
        <v>0</v>
      </c>
      <c r="J36" s="477" t="s">
        <v>131</v>
      </c>
      <c r="K36" s="457">
        <f>ROUND((K40*$D$36),2)</f>
        <v>0.94</v>
      </c>
      <c r="L36" s="457">
        <f t="shared" ref="L36:M36" si="11">ROUND((L40*$D$36),2)</f>
        <v>5.61</v>
      </c>
      <c r="M36" s="457">
        <f t="shared" si="11"/>
        <v>7.48</v>
      </c>
    </row>
    <row r="37" spans="1:13" ht="19.5" customHeight="1" x14ac:dyDescent="0.2">
      <c r="A37" s="477" t="s">
        <v>132</v>
      </c>
      <c r="B37" s="478"/>
      <c r="C37" s="485"/>
      <c r="D37" s="479">
        <f>Dados!$G$63</f>
        <v>0.05</v>
      </c>
      <c r="E37" s="453"/>
      <c r="F37" s="454">
        <f>ROUND((F40*D37),2)</f>
        <v>1906.13</v>
      </c>
      <c r="G37" s="455">
        <f>ROUND(($G$40*$D$37),2)</f>
        <v>0</v>
      </c>
      <c r="H37" s="456">
        <f>ROUND((H40*D37),2)</f>
        <v>0</v>
      </c>
      <c r="I37" s="457">
        <f>ROUND((I40*D37),2)</f>
        <v>0</v>
      </c>
      <c r="J37" s="477" t="s">
        <v>132</v>
      </c>
      <c r="K37" s="457">
        <f>ROUND((K40*$D$37),2)</f>
        <v>2.83</v>
      </c>
      <c r="L37" s="457">
        <f t="shared" ref="L37:M37" si="12">ROUND((L40*$D$37),2)</f>
        <v>17</v>
      </c>
      <c r="M37" s="457">
        <f t="shared" si="12"/>
        <v>22.67</v>
      </c>
    </row>
    <row r="38" spans="1:13" ht="19.5" customHeight="1" x14ac:dyDescent="0.2">
      <c r="A38" s="477" t="str">
        <f>Dados!B64</f>
        <v>Outros (inserir somente com a justificativa legal) - Exemplo - CPRB</v>
      </c>
      <c r="B38" s="478"/>
      <c r="C38" s="485"/>
      <c r="D38" s="479">
        <f>Dados!G64</f>
        <v>0</v>
      </c>
      <c r="E38" s="453"/>
      <c r="F38" s="454">
        <f>ROUND((F40*D38),2)</f>
        <v>0</v>
      </c>
      <c r="G38" s="454">
        <f>ROUND((G40*E38),2)</f>
        <v>0</v>
      </c>
      <c r="H38" s="456"/>
      <c r="I38" s="457"/>
      <c r="J38" s="477" t="s">
        <v>438</v>
      </c>
      <c r="K38" s="457"/>
      <c r="L38" s="457"/>
      <c r="M38" s="457"/>
    </row>
    <row r="39" spans="1:13" ht="30" customHeight="1" thickBot="1" x14ac:dyDescent="0.25">
      <c r="A39" s="481" t="s">
        <v>301</v>
      </c>
      <c r="B39" s="482"/>
      <c r="C39" s="486"/>
      <c r="D39" s="483">
        <f>SUM(D35:D38)</f>
        <v>0.14250000000000002</v>
      </c>
      <c r="E39" s="487"/>
      <c r="F39" s="466">
        <f>SUM(F35:F38)</f>
        <v>5432.46</v>
      </c>
      <c r="G39" s="466">
        <f>SUM(G35:G38)</f>
        <v>0</v>
      </c>
      <c r="H39" s="466">
        <f>SUM(H35:H38)</f>
        <v>0</v>
      </c>
      <c r="I39" s="488">
        <f>SUM(I35:I38)</f>
        <v>0</v>
      </c>
      <c r="J39" s="469" t="s">
        <v>434</v>
      </c>
      <c r="K39" s="488">
        <f t="shared" ref="K39" si="13">SUM(K35:K38)</f>
        <v>8.08</v>
      </c>
      <c r="L39" s="488">
        <f t="shared" ref="L39" si="14">SUM(L35:L38)</f>
        <v>48.45</v>
      </c>
      <c r="M39" s="488">
        <f t="shared" ref="M39" si="15">SUM(M35:M38)</f>
        <v>64.61</v>
      </c>
    </row>
    <row r="40" spans="1:13" ht="34.5" hidden="1" customHeight="1" thickBot="1" x14ac:dyDescent="0.25">
      <c r="A40" s="786" t="str">
        <f>A7</f>
        <v>Nível Superior Senior - 200</v>
      </c>
      <c r="B40" s="786"/>
      <c r="C40" s="786"/>
      <c r="D40" s="786"/>
      <c r="E40" s="786"/>
      <c r="F40" s="489">
        <f>ROUND(F33/(1-D39),2)</f>
        <v>38122.54</v>
      </c>
      <c r="G40" s="490">
        <f>ROUND($G$33/(1-$D$39),2)</f>
        <v>0</v>
      </c>
      <c r="H40" s="491">
        <f>ROUND(H33/(1-D39),2)</f>
        <v>0</v>
      </c>
      <c r="I40" s="492">
        <f>ROUND(I33/(1-D39),2)</f>
        <v>0</v>
      </c>
      <c r="J40" s="492" t="s">
        <v>435</v>
      </c>
      <c r="K40" s="492">
        <f>ROUND(K33/(1-$D$39),2)</f>
        <v>56.67</v>
      </c>
      <c r="L40" s="492">
        <f t="shared" ref="L40:M40" si="16">ROUND(L33/(1-$D$39),2)</f>
        <v>340.04</v>
      </c>
      <c r="M40" s="492">
        <f t="shared" si="16"/>
        <v>453.4</v>
      </c>
    </row>
    <row r="41" spans="1:13" ht="30" customHeight="1" thickBot="1" x14ac:dyDescent="0.25">
      <c r="A41" s="787" t="str">
        <f>A7</f>
        <v>Nível Superior Senior - 200</v>
      </c>
      <c r="B41" s="787"/>
      <c r="C41" s="787"/>
      <c r="D41" s="787"/>
      <c r="E41" s="787"/>
      <c r="F41" s="493">
        <f>F40</f>
        <v>38122.54</v>
      </c>
      <c r="G41" s="494">
        <f>$G$40</f>
        <v>0</v>
      </c>
      <c r="H41" s="495">
        <f>H40</f>
        <v>0</v>
      </c>
      <c r="I41" s="496">
        <f>I40</f>
        <v>0</v>
      </c>
      <c r="J41" s="492" t="s">
        <v>435</v>
      </c>
      <c r="K41" s="496">
        <f t="shared" ref="K41:M41" si="17">K40</f>
        <v>56.67</v>
      </c>
      <c r="L41" s="496">
        <f t="shared" si="17"/>
        <v>340.04</v>
      </c>
      <c r="M41" s="496">
        <f t="shared" si="17"/>
        <v>453.4</v>
      </c>
    </row>
    <row r="42" spans="1:13" ht="29.25" customHeight="1" thickBot="1" x14ac:dyDescent="0.25">
      <c r="A42" s="781" t="s">
        <v>302</v>
      </c>
      <c r="B42" s="781"/>
      <c r="C42" s="781"/>
      <c r="D42" s="781"/>
      <c r="E42" s="781"/>
      <c r="F42" s="497">
        <f>($F$41/$F$12)/100</f>
        <v>2.2830834904894827E-2</v>
      </c>
      <c r="G42" s="494"/>
      <c r="H42" s="494"/>
      <c r="I42" s="498"/>
      <c r="J42" s="498"/>
      <c r="K42" s="498"/>
      <c r="L42" s="498"/>
      <c r="M42" s="498"/>
    </row>
  </sheetData>
  <sheetProtection algorithmName="SHA-512" hashValue="l45i+PJkJnhbhBbUaVKLfqwWXMPE8CKZ3B7js1xLeUWNWFXVVejE0YeTz9UfkmK4GEHds8S1wjZbPMwQFt8DSw==" saltValue="LOlgeGtUom7o3xzHZFgcdw==" spinCount="100000" sheet="1" objects="1" scenarios="1"/>
  <mergeCells count="43">
    <mergeCell ref="J4:M5"/>
    <mergeCell ref="A42:E42"/>
    <mergeCell ref="K6:M6"/>
    <mergeCell ref="J6:J8"/>
    <mergeCell ref="A30:C30"/>
    <mergeCell ref="A33:E33"/>
    <mergeCell ref="A34:I34"/>
    <mergeCell ref="A40:E40"/>
    <mergeCell ref="A41:E41"/>
    <mergeCell ref="A24:B24"/>
    <mergeCell ref="A25:E25"/>
    <mergeCell ref="A26:E26"/>
    <mergeCell ref="A27:I27"/>
    <mergeCell ref="A28:C28"/>
    <mergeCell ref="D28:E28"/>
    <mergeCell ref="F28:I28"/>
    <mergeCell ref="A22:B22"/>
    <mergeCell ref="A23:B23"/>
    <mergeCell ref="A14:E14"/>
    <mergeCell ref="A15:I15"/>
    <mergeCell ref="A16:B16"/>
    <mergeCell ref="D16:I16"/>
    <mergeCell ref="A17:B17"/>
    <mergeCell ref="A18:B18"/>
    <mergeCell ref="A19:B19"/>
    <mergeCell ref="A20:B20"/>
    <mergeCell ref="A21:B21"/>
    <mergeCell ref="B9:C9"/>
    <mergeCell ref="F9:I9"/>
    <mergeCell ref="A10:A13"/>
    <mergeCell ref="B10:C10"/>
    <mergeCell ref="B11:C11"/>
    <mergeCell ref="B12:E12"/>
    <mergeCell ref="B13:D13"/>
    <mergeCell ref="A4:I4"/>
    <mergeCell ref="A5:I5"/>
    <mergeCell ref="A6:I6"/>
    <mergeCell ref="A7:E7"/>
    <mergeCell ref="F7:F8"/>
    <mergeCell ref="G7:G8"/>
    <mergeCell ref="H7:H8"/>
    <mergeCell ref="I7:I8"/>
    <mergeCell ref="A8:D8"/>
  </mergeCells>
  <pageMargins left="0.39374999999999999" right="0" top="0.39374999999999999" bottom="0" header="0.511811023622047" footer="0.511811023622047"/>
  <pageSetup paperSize="9" scale="75" orientation="portrait" horizontalDpi="300" verticalDpi="300"/>
  <rowBreaks count="1" manualBreakCount="1">
    <brk id="4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4</vt:i4>
      </vt:variant>
    </vt:vector>
  </HeadingPairs>
  <TitlesOfParts>
    <vt:vector size="21" baseType="lpstr">
      <vt:lpstr>Ocorrências Mensais - FAT</vt:lpstr>
      <vt:lpstr>Resumo</vt:lpstr>
      <vt:lpstr>INSTRUÇÕES</vt:lpstr>
      <vt:lpstr>Dados</vt:lpstr>
      <vt:lpstr>Encargos</vt:lpstr>
      <vt:lpstr>Equipamentos</vt:lpstr>
      <vt:lpstr>Licenças</vt:lpstr>
      <vt:lpstr>Cotações</vt:lpstr>
      <vt:lpstr>NS SENIOR 200</vt:lpstr>
      <vt:lpstr>NS PLENO 200</vt:lpstr>
      <vt:lpstr>NS JUNIOR 200</vt:lpstr>
      <vt:lpstr>NM TECNICO SR 200</vt:lpstr>
      <vt:lpstr>NM TECNICO PL 200</vt:lpstr>
      <vt:lpstr>Custo Estimativo Substituto</vt:lpstr>
      <vt:lpstr>ART</vt:lpstr>
      <vt:lpstr>V.T e V.A - Extra</vt:lpstr>
      <vt:lpstr>IPCA</vt:lpstr>
      <vt:lpstr>ART!Area_de_impressao</vt:lpstr>
      <vt:lpstr>Dados!Area_de_impressao</vt:lpstr>
      <vt:lpstr>Resumo!Area_de_impressao</vt:lpstr>
      <vt:lpstr>'V.T e V.A - Extra'!Area_de_impressao</vt:lpstr>
    </vt:vector>
  </TitlesOfParts>
  <Company>JFMG_x005f_x0000__x005f_x0000__x005f_x0000_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MG6403</dc:creator>
  <dc:description/>
  <cp:lastModifiedBy>Rafael Augusto Prado Alves</cp:lastModifiedBy>
  <cp:revision>99</cp:revision>
  <cp:lastPrinted>2025-03-17T15:00:07Z</cp:lastPrinted>
  <dcterms:created xsi:type="dcterms:W3CDTF">2001-07-31T19:00:38Z</dcterms:created>
  <dcterms:modified xsi:type="dcterms:W3CDTF">2025-05-27T20:32:17Z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