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Dropbox\DIRETORIA - ATENTA\COMERCIAL\Licitações\MANHUAÇU\"/>
    </mc:Choice>
  </mc:AlternateContent>
  <xr:revisionPtr revIDLastSave="0" documentId="13_ncr:1_{03E5ACC1-8BE1-4AA2-BEB1-394C9D0ED6AA}" xr6:coauthVersionLast="47" xr6:coauthVersionMax="47" xr10:uidLastSave="{00000000-0000-0000-0000-000000000000}"/>
  <bookViews>
    <workbookView xWindow="-108" yWindow="-108" windowWidth="23256" windowHeight="12456" tabRatio="500" firstSheet="2" activeTab="7" xr2:uid="{00000000-000D-0000-FFFF-FFFF00000000}"/>
  </bookViews>
  <sheets>
    <sheet name="Ocorrências Mensais - FAT" sheetId="1" state="hidden" r:id="rId1"/>
    <sheet name="INSTRUÇÕES" sheetId="2" r:id="rId2"/>
    <sheet name="Dados" sheetId="3" r:id="rId3"/>
    <sheet name="Encargos" sheetId="4" r:id="rId4"/>
    <sheet name="Insumos" sheetId="6" r:id="rId5"/>
    <sheet name="Equipamentos" sheetId="5" r:id="rId6"/>
    <sheet name="Uniformes" sheetId="7" r:id="rId7"/>
    <sheet name="Resumo" sheetId="8" r:id="rId8"/>
    <sheet name="Servente Insalubre" sheetId="9" r:id="rId9"/>
    <sheet name="Servente acúmulo Copeira" sheetId="10" r:id="rId10"/>
    <sheet name="Assistente Adm. acúmulo Zelador" sheetId="11" r:id="rId11"/>
    <sheet name="Custo Estimado Substituto" sheetId="12" r:id="rId12"/>
    <sheet name="IPCA" sheetId="13" state="hidden" r:id="rId13"/>
  </sheets>
  <definedNames>
    <definedName name="_xlnm.Print_Area" localSheetId="10">'Assistente Adm. acúmulo Zelador'!$A$1:$J$46</definedName>
    <definedName name="_xlnm.Print_Area" localSheetId="2">Dados!$A$1:$R$54</definedName>
    <definedName name="_xlnm.Print_Area" localSheetId="3">Encargos!$A$1:$H$59</definedName>
    <definedName name="_xlnm.Print_Area" localSheetId="4">Insumos!$A$1:$K$75</definedName>
    <definedName name="_xlnm.Print_Area" localSheetId="9">'Servente acúmulo Copeira'!$A$1:$J$46</definedName>
    <definedName name="_xlnm.Print_Area" localSheetId="8">'Servente Insalubre'!$A$1:$J$46</definedName>
    <definedName name="_xlnm.Print_Area" localSheetId="6">Uniformes!$A$1:$H$28</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TERRIT">NA()</definedName>
    <definedName name="Tipo_de_Joranda_de_Trabalho">NA()</definedName>
    <definedName name="TP_SERV">NA()</definedName>
    <definedName name="TP_SERVPERC">NA()</definedName>
    <definedName name="VRSELEC">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9" i="5" l="1"/>
  <c r="G14" i="5"/>
  <c r="K74" i="6"/>
  <c r="K47" i="6"/>
  <c r="C43" i="4"/>
  <c r="C42" i="4"/>
  <c r="C41" i="4"/>
  <c r="C39" i="4"/>
  <c r="C33" i="4"/>
  <c r="H56" i="4" s="1"/>
  <c r="C27" i="4"/>
  <c r="C21" i="4"/>
  <c r="E8" i="12"/>
  <c r="AG22" i="13"/>
  <c r="AH22" i="13" s="1"/>
  <c r="AE22" i="13"/>
  <c r="Z22" i="13"/>
  <c r="AA22" i="13" s="1"/>
  <c r="X22" i="13"/>
  <c r="S22" i="13"/>
  <c r="T22" i="13" s="1"/>
  <c r="Q22" i="13"/>
  <c r="L22" i="13"/>
  <c r="M22" i="13" s="1"/>
  <c r="N22" i="13" s="1"/>
  <c r="N23" i="13" s="1"/>
  <c r="J22" i="13"/>
  <c r="I22" i="13"/>
  <c r="P22" i="13" s="1"/>
  <c r="W22" i="13" s="1"/>
  <c r="AD22" i="13" s="1"/>
  <c r="F22" i="13"/>
  <c r="AH21" i="13"/>
  <c r="AE21" i="13"/>
  <c r="AA21" i="13"/>
  <c r="X21" i="13"/>
  <c r="T21" i="13"/>
  <c r="Q21" i="13"/>
  <c r="M21" i="13"/>
  <c r="J21" i="13"/>
  <c r="I21" i="13"/>
  <c r="P21" i="13" s="1"/>
  <c r="W21" i="13" s="1"/>
  <c r="AD21" i="13" s="1"/>
  <c r="F21" i="13"/>
  <c r="AH20" i="13"/>
  <c r="AE20" i="13"/>
  <c r="AA20" i="13"/>
  <c r="X20" i="13"/>
  <c r="T20" i="13"/>
  <c r="Q20" i="13"/>
  <c r="M20" i="13"/>
  <c r="J20" i="13"/>
  <c r="I20" i="13"/>
  <c r="P20" i="13" s="1"/>
  <c r="W20" i="13" s="1"/>
  <c r="AD20" i="13" s="1"/>
  <c r="F20" i="13"/>
  <c r="AH19" i="13"/>
  <c r="AE19" i="13"/>
  <c r="AA19" i="13"/>
  <c r="X19" i="13"/>
  <c r="T19" i="13"/>
  <c r="Q19" i="13"/>
  <c r="M19" i="13"/>
  <c r="J19" i="13"/>
  <c r="I19" i="13"/>
  <c r="P19" i="13" s="1"/>
  <c r="W19" i="13" s="1"/>
  <c r="AD19" i="13" s="1"/>
  <c r="F19" i="13"/>
  <c r="AH18" i="13"/>
  <c r="AE18" i="13"/>
  <c r="AA18" i="13"/>
  <c r="X18" i="13"/>
  <c r="T18" i="13"/>
  <c r="Q18" i="13"/>
  <c r="M18" i="13"/>
  <c r="J18" i="13"/>
  <c r="I18" i="13"/>
  <c r="P18" i="13" s="1"/>
  <c r="W18" i="13" s="1"/>
  <c r="AD18" i="13" s="1"/>
  <c r="F18" i="13"/>
  <c r="AH17" i="13"/>
  <c r="AE17" i="13"/>
  <c r="AA17" i="13"/>
  <c r="X17" i="13"/>
  <c r="T17" i="13"/>
  <c r="Q17" i="13"/>
  <c r="M17" i="13"/>
  <c r="J17" i="13"/>
  <c r="I17" i="13"/>
  <c r="P17" i="13" s="1"/>
  <c r="W17" i="13" s="1"/>
  <c r="AD17" i="13" s="1"/>
  <c r="F17" i="13"/>
  <c r="AH16" i="13"/>
  <c r="AE16" i="13"/>
  <c r="AA16" i="13"/>
  <c r="X16" i="13"/>
  <c r="T16" i="13"/>
  <c r="Q16" i="13"/>
  <c r="M16" i="13"/>
  <c r="J16" i="13"/>
  <c r="I16" i="13"/>
  <c r="P16" i="13" s="1"/>
  <c r="W16" i="13" s="1"/>
  <c r="AD16" i="13" s="1"/>
  <c r="F16" i="13"/>
  <c r="AH15" i="13"/>
  <c r="AE15" i="13"/>
  <c r="AA15" i="13"/>
  <c r="X15" i="13"/>
  <c r="T15" i="13"/>
  <c r="Q15" i="13"/>
  <c r="M15" i="13"/>
  <c r="J15" i="13"/>
  <c r="I15" i="13"/>
  <c r="P15" i="13" s="1"/>
  <c r="W15" i="13" s="1"/>
  <c r="AD15" i="13" s="1"/>
  <c r="F15" i="13"/>
  <c r="AH14" i="13"/>
  <c r="AE14" i="13"/>
  <c r="AA14" i="13"/>
  <c r="X14" i="13"/>
  <c r="T14" i="13"/>
  <c r="Q14" i="13"/>
  <c r="M14" i="13"/>
  <c r="J14" i="13"/>
  <c r="I14" i="13"/>
  <c r="P14" i="13" s="1"/>
  <c r="W14" i="13" s="1"/>
  <c r="AD14" i="13" s="1"/>
  <c r="F14" i="13"/>
  <c r="AH13" i="13"/>
  <c r="AE13" i="13"/>
  <c r="AA13" i="13"/>
  <c r="X13" i="13"/>
  <c r="T13" i="13"/>
  <c r="Q13" i="13"/>
  <c r="M13" i="13"/>
  <c r="J13" i="13"/>
  <c r="I13" i="13"/>
  <c r="P13" i="13" s="1"/>
  <c r="W13" i="13" s="1"/>
  <c r="AD13" i="13" s="1"/>
  <c r="F13" i="13"/>
  <c r="AH12" i="13"/>
  <c r="AE12" i="13"/>
  <c r="AA12" i="13"/>
  <c r="X12" i="13"/>
  <c r="T12" i="13"/>
  <c r="Q12" i="13"/>
  <c r="M12" i="13"/>
  <c r="J12" i="13"/>
  <c r="I12" i="13"/>
  <c r="P12" i="13" s="1"/>
  <c r="W12" i="13" s="1"/>
  <c r="AD12" i="13" s="1"/>
  <c r="F12" i="13"/>
  <c r="AH11" i="13"/>
  <c r="AE11" i="13"/>
  <c r="AA11" i="13"/>
  <c r="X11" i="13"/>
  <c r="T11" i="13"/>
  <c r="Q11" i="13"/>
  <c r="M11" i="13"/>
  <c r="J11" i="13"/>
  <c r="I11" i="13"/>
  <c r="P11" i="13" s="1"/>
  <c r="W11" i="13" s="1"/>
  <c r="AD11" i="13" s="1"/>
  <c r="F11" i="13"/>
  <c r="AG10" i="13"/>
  <c r="AH10" i="13" s="1"/>
  <c r="AI10" i="13" s="1"/>
  <c r="AI11" i="13" s="1"/>
  <c r="AI12" i="13" s="1"/>
  <c r="AI13" i="13" s="1"/>
  <c r="AI14" i="13" s="1"/>
  <c r="AI15" i="13" s="1"/>
  <c r="AI16" i="13" s="1"/>
  <c r="AI17" i="13" s="1"/>
  <c r="AI18" i="13" s="1"/>
  <c r="AI19" i="13" s="1"/>
  <c r="AI20" i="13" s="1"/>
  <c r="AI21" i="13" s="1"/>
  <c r="AE10" i="13"/>
  <c r="Z10" i="13"/>
  <c r="AA10" i="13" s="1"/>
  <c r="AB10" i="13" s="1"/>
  <c r="AB11" i="13" s="1"/>
  <c r="X10" i="13"/>
  <c r="S10" i="13"/>
  <c r="T10" i="13" s="1"/>
  <c r="U10" i="13" s="1"/>
  <c r="U11" i="13" s="1"/>
  <c r="U12" i="13" s="1"/>
  <c r="U13" i="13" s="1"/>
  <c r="U14" i="13" s="1"/>
  <c r="U15" i="13" s="1"/>
  <c r="U16" i="13" s="1"/>
  <c r="U17" i="13" s="1"/>
  <c r="U18" i="13" s="1"/>
  <c r="U19" i="13" s="1"/>
  <c r="U20" i="13" s="1"/>
  <c r="U21" i="13" s="1"/>
  <c r="U22" i="13" s="1"/>
  <c r="U23" i="13" s="1"/>
  <c r="Q10" i="13"/>
  <c r="L10" i="13"/>
  <c r="M10" i="13" s="1"/>
  <c r="N10" i="13" s="1"/>
  <c r="N11" i="13" s="1"/>
  <c r="N12" i="13" s="1"/>
  <c r="N13" i="13" s="1"/>
  <c r="N14" i="13" s="1"/>
  <c r="N15" i="13" s="1"/>
  <c r="N16" i="13" s="1"/>
  <c r="N17" i="13" s="1"/>
  <c r="N18" i="13" s="1"/>
  <c r="N19" i="13" s="1"/>
  <c r="N20" i="13" s="1"/>
  <c r="N21" i="13" s="1"/>
  <c r="J10" i="13"/>
  <c r="I10" i="13"/>
  <c r="P10" i="13" s="1"/>
  <c r="W10" i="13" s="1"/>
  <c r="AD10" i="13" s="1"/>
  <c r="F10" i="13"/>
  <c r="G10" i="13" s="1"/>
  <c r="G11" i="13" s="1"/>
  <c r="G12" i="13" s="1"/>
  <c r="G13" i="13" s="1"/>
  <c r="G14" i="13" s="1"/>
  <c r="G15" i="13" s="1"/>
  <c r="G16" i="13" s="1"/>
  <c r="G17" i="13" s="1"/>
  <c r="G18" i="13" s="1"/>
  <c r="G19" i="13" s="1"/>
  <c r="G20" i="13" s="1"/>
  <c r="G21" i="13" s="1"/>
  <c r="G22" i="13" s="1"/>
  <c r="G23" i="13" s="1"/>
  <c r="E24" i="12"/>
  <c r="B24" i="12"/>
  <c r="E23" i="12"/>
  <c r="E21" i="12"/>
  <c r="E20" i="12" s="1"/>
  <c r="E19" i="12"/>
  <c r="E18" i="12"/>
  <c r="H5" i="12"/>
  <c r="G5" i="12"/>
  <c r="F5" i="12"/>
  <c r="B3" i="12"/>
  <c r="B2" i="12"/>
  <c r="B1" i="12"/>
  <c r="D42" i="11"/>
  <c r="D41" i="11"/>
  <c r="D40" i="11"/>
  <c r="D39" i="11"/>
  <c r="D35" i="11"/>
  <c r="D33" i="11"/>
  <c r="J29" i="11"/>
  <c r="F25" i="11"/>
  <c r="F24" i="11"/>
  <c r="E23" i="11"/>
  <c r="D23" i="11"/>
  <c r="E22" i="11"/>
  <c r="D22" i="11"/>
  <c r="C22" i="11"/>
  <c r="F21" i="11"/>
  <c r="G21" i="11" s="1"/>
  <c r="F20" i="11"/>
  <c r="G20" i="11" s="1"/>
  <c r="H16" i="11"/>
  <c r="I14" i="11"/>
  <c r="I16" i="11" s="1"/>
  <c r="H14" i="11"/>
  <c r="D13" i="11"/>
  <c r="C13" i="11"/>
  <c r="E12" i="11"/>
  <c r="F12" i="11" s="1"/>
  <c r="E11" i="11"/>
  <c r="D11" i="11"/>
  <c r="A7" i="11"/>
  <c r="B3" i="11"/>
  <c r="B2" i="11"/>
  <c r="B1" i="11"/>
  <c r="D42" i="10"/>
  <c r="D41" i="10"/>
  <c r="D40" i="10"/>
  <c r="D39" i="10"/>
  <c r="D43" i="10" s="1"/>
  <c r="D35" i="10"/>
  <c r="D33" i="10"/>
  <c r="J29" i="10"/>
  <c r="F25" i="10"/>
  <c r="F24" i="10"/>
  <c r="E23" i="10"/>
  <c r="D23" i="10"/>
  <c r="E22" i="10"/>
  <c r="D22" i="10"/>
  <c r="C22" i="10"/>
  <c r="F21" i="10"/>
  <c r="G21" i="10" s="1"/>
  <c r="F20" i="10"/>
  <c r="G20" i="10" s="1"/>
  <c r="I14" i="10"/>
  <c r="I16" i="10" s="1"/>
  <c r="H14" i="10"/>
  <c r="H16" i="10" s="1"/>
  <c r="D13" i="10"/>
  <c r="C13" i="10"/>
  <c r="E12" i="10"/>
  <c r="F12" i="10" s="1"/>
  <c r="E11" i="10"/>
  <c r="D11" i="10"/>
  <c r="A7" i="10"/>
  <c r="B3" i="10"/>
  <c r="B2" i="10"/>
  <c r="B1" i="10"/>
  <c r="D42" i="9"/>
  <c r="D41" i="9"/>
  <c r="D40" i="9"/>
  <c r="D39" i="9"/>
  <c r="D43" i="9" s="1"/>
  <c r="D35" i="9"/>
  <c r="D33" i="9"/>
  <c r="J29" i="9"/>
  <c r="F25" i="9"/>
  <c r="F24" i="9"/>
  <c r="E23" i="9"/>
  <c r="D23" i="9"/>
  <c r="E22" i="9"/>
  <c r="D22" i="9"/>
  <c r="C22" i="9"/>
  <c r="F21" i="9"/>
  <c r="G21" i="9" s="1"/>
  <c r="F20" i="9"/>
  <c r="G20" i="9" s="1"/>
  <c r="I14" i="9"/>
  <c r="I16" i="9" s="1"/>
  <c r="H14" i="9"/>
  <c r="H16" i="9" s="1"/>
  <c r="D13" i="9"/>
  <c r="C13" i="9"/>
  <c r="E12" i="9"/>
  <c r="D12" i="9"/>
  <c r="E11" i="9"/>
  <c r="F11" i="9" s="1"/>
  <c r="G11" i="9" s="1"/>
  <c r="D11" i="9"/>
  <c r="A7" i="9"/>
  <c r="B3" i="9"/>
  <c r="B2" i="9"/>
  <c r="B1" i="9"/>
  <c r="Q14" i="8"/>
  <c r="N14" i="8"/>
  <c r="D14" i="8"/>
  <c r="C14" i="8"/>
  <c r="B14" i="8"/>
  <c r="U13" i="8"/>
  <c r="U15" i="8" s="1"/>
  <c r="Q13" i="8"/>
  <c r="N13" i="8"/>
  <c r="D13" i="8"/>
  <c r="C13" i="8"/>
  <c r="B13" i="8"/>
  <c r="Q12" i="8"/>
  <c r="N12" i="8"/>
  <c r="D12" i="8"/>
  <c r="C12" i="8"/>
  <c r="B12" i="8"/>
  <c r="B3" i="8"/>
  <c r="A5" i="8" s="1"/>
  <c r="B2" i="8"/>
  <c r="B1" i="8"/>
  <c r="K26" i="7"/>
  <c r="L26" i="7" s="1"/>
  <c r="M26" i="7" s="1"/>
  <c r="N26" i="7" s="1"/>
  <c r="O26" i="7" s="1"/>
  <c r="A26" i="7"/>
  <c r="K24" i="7"/>
  <c r="L24" i="7" s="1"/>
  <c r="M24" i="7" s="1"/>
  <c r="N24" i="7" s="1"/>
  <c r="O24" i="7" s="1"/>
  <c r="F24" i="7"/>
  <c r="H24" i="7" s="1"/>
  <c r="K23" i="7"/>
  <c r="L23" i="7" s="1"/>
  <c r="M23" i="7" s="1"/>
  <c r="N23" i="7" s="1"/>
  <c r="O23" i="7" s="1"/>
  <c r="K18" i="7"/>
  <c r="L18" i="7" s="1"/>
  <c r="M18" i="7" s="1"/>
  <c r="N18" i="7" s="1"/>
  <c r="O18" i="7" s="1"/>
  <c r="A18" i="7"/>
  <c r="F18" i="7" s="1"/>
  <c r="H18" i="7" s="1"/>
  <c r="K17" i="7"/>
  <c r="L17" i="7" s="1"/>
  <c r="M17" i="7" s="1"/>
  <c r="N17" i="7" s="1"/>
  <c r="O17" i="7" s="1"/>
  <c r="F17" i="7"/>
  <c r="H17" i="7" s="1"/>
  <c r="K12" i="7"/>
  <c r="L12" i="7" s="1"/>
  <c r="M12" i="7" s="1"/>
  <c r="N12" i="7" s="1"/>
  <c r="O12" i="7" s="1"/>
  <c r="A12" i="7"/>
  <c r="F12" i="7" s="1"/>
  <c r="H12" i="7" s="1"/>
  <c r="K11" i="7"/>
  <c r="L11" i="7" s="1"/>
  <c r="M11" i="7" s="1"/>
  <c r="N11" i="7" s="1"/>
  <c r="O11" i="7" s="1"/>
  <c r="F11" i="7"/>
  <c r="H11" i="7" s="1"/>
  <c r="K10" i="7"/>
  <c r="L10" i="7" s="1"/>
  <c r="M10" i="7" s="1"/>
  <c r="N10" i="7" s="1"/>
  <c r="O10" i="7" s="1"/>
  <c r="F10" i="7"/>
  <c r="H10" i="7" s="1"/>
  <c r="K9" i="7"/>
  <c r="L9" i="7" s="1"/>
  <c r="M9" i="7" s="1"/>
  <c r="N9" i="7" s="1"/>
  <c r="O9" i="7" s="1"/>
  <c r="F9" i="7"/>
  <c r="H9" i="7" s="1"/>
  <c r="B3" i="7"/>
  <c r="B2" i="7"/>
  <c r="B1" i="7"/>
  <c r="N72" i="6"/>
  <c r="O72" i="6" s="1"/>
  <c r="P72" i="6" s="1"/>
  <c r="Q72" i="6" s="1"/>
  <c r="R72" i="6" s="1"/>
  <c r="N56" i="6"/>
  <c r="O56" i="6" s="1"/>
  <c r="P56" i="6" s="1"/>
  <c r="Q56" i="6" s="1"/>
  <c r="R56" i="6" s="1"/>
  <c r="N55" i="6"/>
  <c r="O55" i="6" s="1"/>
  <c r="P55" i="6" s="1"/>
  <c r="Q55" i="6" s="1"/>
  <c r="R55" i="6" s="1"/>
  <c r="N54" i="6"/>
  <c r="O54" i="6" s="1"/>
  <c r="P54" i="6" s="1"/>
  <c r="Q54" i="6" s="1"/>
  <c r="R54" i="6" s="1"/>
  <c r="N53" i="6"/>
  <c r="O53" i="6" s="1"/>
  <c r="P53" i="6" s="1"/>
  <c r="Q53" i="6" s="1"/>
  <c r="R53" i="6" s="1"/>
  <c r="N52" i="6"/>
  <c r="O52" i="6" s="1"/>
  <c r="P52" i="6" s="1"/>
  <c r="Q52" i="6" s="1"/>
  <c r="R52" i="6" s="1"/>
  <c r="N45" i="6"/>
  <c r="O45" i="6" s="1"/>
  <c r="P45" i="6" s="1"/>
  <c r="Q45" i="6" s="1"/>
  <c r="R45" i="6" s="1"/>
  <c r="N44" i="6"/>
  <c r="O44" i="6" s="1"/>
  <c r="P44" i="6" s="1"/>
  <c r="Q44" i="6" s="1"/>
  <c r="R44" i="6" s="1"/>
  <c r="N43" i="6"/>
  <c r="O43" i="6" s="1"/>
  <c r="P43" i="6" s="1"/>
  <c r="Q43" i="6" s="1"/>
  <c r="R43" i="6" s="1"/>
  <c r="N42" i="6"/>
  <c r="O42" i="6" s="1"/>
  <c r="P42" i="6" s="1"/>
  <c r="Q42" i="6" s="1"/>
  <c r="R42" i="6" s="1"/>
  <c r="N41" i="6"/>
  <c r="O41" i="6" s="1"/>
  <c r="P41" i="6" s="1"/>
  <c r="Q41" i="6" s="1"/>
  <c r="R41" i="6" s="1"/>
  <c r="N40" i="6"/>
  <c r="O40" i="6" s="1"/>
  <c r="P40" i="6" s="1"/>
  <c r="Q40" i="6" s="1"/>
  <c r="R40" i="6" s="1"/>
  <c r="N39" i="6"/>
  <c r="O39" i="6" s="1"/>
  <c r="P39" i="6" s="1"/>
  <c r="Q39" i="6" s="1"/>
  <c r="R39" i="6" s="1"/>
  <c r="N38" i="6"/>
  <c r="O38" i="6" s="1"/>
  <c r="P38" i="6" s="1"/>
  <c r="Q38" i="6" s="1"/>
  <c r="R38" i="6" s="1"/>
  <c r="N32" i="6"/>
  <c r="O32" i="6" s="1"/>
  <c r="P32" i="6" s="1"/>
  <c r="Q32" i="6" s="1"/>
  <c r="R32" i="6" s="1"/>
  <c r="N31" i="6"/>
  <c r="O31" i="6" s="1"/>
  <c r="P31" i="6" s="1"/>
  <c r="Q31" i="6" s="1"/>
  <c r="R31" i="6" s="1"/>
  <c r="N30" i="6"/>
  <c r="O30" i="6" s="1"/>
  <c r="P30" i="6" s="1"/>
  <c r="Q30" i="6" s="1"/>
  <c r="R30" i="6" s="1"/>
  <c r="N29" i="6"/>
  <c r="O29" i="6" s="1"/>
  <c r="P29" i="6" s="1"/>
  <c r="Q29" i="6" s="1"/>
  <c r="R29" i="6" s="1"/>
  <c r="N28" i="6"/>
  <c r="O28" i="6" s="1"/>
  <c r="P28" i="6" s="1"/>
  <c r="Q28" i="6" s="1"/>
  <c r="R28" i="6" s="1"/>
  <c r="N27" i="6"/>
  <c r="O27" i="6" s="1"/>
  <c r="P27" i="6" s="1"/>
  <c r="Q27" i="6" s="1"/>
  <c r="R27" i="6" s="1"/>
  <c r="N26" i="6"/>
  <c r="O26" i="6" s="1"/>
  <c r="P26" i="6" s="1"/>
  <c r="Q26" i="6" s="1"/>
  <c r="R26" i="6" s="1"/>
  <c r="N25" i="6"/>
  <c r="O25" i="6" s="1"/>
  <c r="P25" i="6" s="1"/>
  <c r="Q25" i="6" s="1"/>
  <c r="R25" i="6" s="1"/>
  <c r="N24" i="6"/>
  <c r="O24" i="6" s="1"/>
  <c r="P24" i="6" s="1"/>
  <c r="Q24" i="6" s="1"/>
  <c r="R24" i="6" s="1"/>
  <c r="N23" i="6"/>
  <c r="O23" i="6" s="1"/>
  <c r="P23" i="6" s="1"/>
  <c r="Q23" i="6" s="1"/>
  <c r="R23" i="6" s="1"/>
  <c r="N22" i="6"/>
  <c r="O22" i="6" s="1"/>
  <c r="P22" i="6" s="1"/>
  <c r="Q22" i="6" s="1"/>
  <c r="R22" i="6" s="1"/>
  <c r="N21" i="6"/>
  <c r="O21" i="6" s="1"/>
  <c r="P21" i="6" s="1"/>
  <c r="Q21" i="6" s="1"/>
  <c r="R21" i="6" s="1"/>
  <c r="N20" i="6"/>
  <c r="O20" i="6" s="1"/>
  <c r="P20" i="6" s="1"/>
  <c r="Q20" i="6" s="1"/>
  <c r="R20" i="6" s="1"/>
  <c r="N19" i="6"/>
  <c r="O19" i="6" s="1"/>
  <c r="P19" i="6" s="1"/>
  <c r="Q19" i="6" s="1"/>
  <c r="R19" i="6" s="1"/>
  <c r="N18" i="6"/>
  <c r="O18" i="6" s="1"/>
  <c r="P18" i="6" s="1"/>
  <c r="Q18" i="6" s="1"/>
  <c r="R18" i="6" s="1"/>
  <c r="N17" i="6"/>
  <c r="O17" i="6" s="1"/>
  <c r="P17" i="6" s="1"/>
  <c r="Q17" i="6" s="1"/>
  <c r="R17" i="6" s="1"/>
  <c r="N16" i="6"/>
  <c r="O16" i="6" s="1"/>
  <c r="P16" i="6" s="1"/>
  <c r="Q16" i="6" s="1"/>
  <c r="R16" i="6" s="1"/>
  <c r="N15" i="6"/>
  <c r="O15" i="6" s="1"/>
  <c r="P15" i="6" s="1"/>
  <c r="Q15" i="6" s="1"/>
  <c r="R15" i="6" s="1"/>
  <c r="N14" i="6"/>
  <c r="O14" i="6" s="1"/>
  <c r="P14" i="6" s="1"/>
  <c r="Q14" i="6" s="1"/>
  <c r="R14" i="6" s="1"/>
  <c r="N13" i="6"/>
  <c r="O13" i="6" s="1"/>
  <c r="P13" i="6" s="1"/>
  <c r="Q13" i="6" s="1"/>
  <c r="R13" i="6" s="1"/>
  <c r="N12" i="6"/>
  <c r="O12" i="6" s="1"/>
  <c r="P12" i="6" s="1"/>
  <c r="Q12" i="6" s="1"/>
  <c r="R12" i="6" s="1"/>
  <c r="N11" i="6"/>
  <c r="O11" i="6" s="1"/>
  <c r="P11" i="6" s="1"/>
  <c r="Q11" i="6" s="1"/>
  <c r="R11" i="6" s="1"/>
  <c r="N10" i="6"/>
  <c r="O10" i="6" s="1"/>
  <c r="P10" i="6" s="1"/>
  <c r="Q10" i="6" s="1"/>
  <c r="R10" i="6" s="1"/>
  <c r="N9" i="6"/>
  <c r="O9" i="6" s="1"/>
  <c r="P9" i="6" s="1"/>
  <c r="Q9" i="6" s="1"/>
  <c r="R9" i="6" s="1"/>
  <c r="B3" i="6"/>
  <c r="B2" i="6"/>
  <c r="B1" i="6"/>
  <c r="E17" i="5"/>
  <c r="F17" i="5" s="1"/>
  <c r="G17" i="5" s="1"/>
  <c r="G18" i="5" s="1"/>
  <c r="G20" i="5" s="1"/>
  <c r="Q9" i="3" s="1"/>
  <c r="E12" i="5"/>
  <c r="F12" i="5" s="1"/>
  <c r="G12" i="5" s="1"/>
  <c r="E11" i="5"/>
  <c r="F11" i="5" s="1"/>
  <c r="G11" i="5" s="1"/>
  <c r="E10" i="5"/>
  <c r="F10" i="5" s="1"/>
  <c r="G10" i="5" s="1"/>
  <c r="E9" i="5"/>
  <c r="F9" i="5" s="1"/>
  <c r="G9" i="5" s="1"/>
  <c r="B3" i="5"/>
  <c r="B2" i="5"/>
  <c r="B1" i="5"/>
  <c r="C48" i="4"/>
  <c r="C49" i="4" s="1"/>
  <c r="C56" i="4" s="1"/>
  <c r="C36" i="4"/>
  <c r="C31" i="4"/>
  <c r="C32" i="4" s="1"/>
  <c r="B3" i="4"/>
  <c r="B2" i="4"/>
  <c r="B1" i="4"/>
  <c r="G54" i="3"/>
  <c r="G64" i="1" s="1"/>
  <c r="B46" i="3"/>
  <c r="G36" i="3"/>
  <c r="G21" i="3"/>
  <c r="C16" i="4" s="1"/>
  <c r="C18" i="4" s="1"/>
  <c r="F9" i="3"/>
  <c r="F8" i="3"/>
  <c r="H7" i="3"/>
  <c r="F7" i="3"/>
  <c r="Q6" i="3"/>
  <c r="P6" i="3"/>
  <c r="O6" i="3"/>
  <c r="A4" i="3"/>
  <c r="B3" i="3"/>
  <c r="B2" i="3"/>
  <c r="B1" i="3"/>
  <c r="G92" i="1"/>
  <c r="G91" i="1"/>
  <c r="N89" i="1"/>
  <c r="O89" i="1" s="1"/>
  <c r="M89" i="1"/>
  <c r="F89" i="1"/>
  <c r="E89" i="1"/>
  <c r="B89" i="1"/>
  <c r="N88" i="1"/>
  <c r="O88" i="1" s="1"/>
  <c r="M88" i="1"/>
  <c r="F88" i="1"/>
  <c r="E88" i="1"/>
  <c r="B88" i="1"/>
  <c r="N87" i="1"/>
  <c r="O87" i="1" s="1"/>
  <c r="M87" i="1"/>
  <c r="F87" i="1"/>
  <c r="E87" i="1"/>
  <c r="B87" i="1"/>
  <c r="N86" i="1"/>
  <c r="O86" i="1" s="1"/>
  <c r="M86" i="1"/>
  <c r="F86" i="1"/>
  <c r="E86" i="1"/>
  <c r="B86" i="1"/>
  <c r="N85" i="1"/>
  <c r="O85" i="1" s="1"/>
  <c r="M85" i="1"/>
  <c r="F85" i="1"/>
  <c r="E85" i="1"/>
  <c r="B85" i="1"/>
  <c r="N84" i="1"/>
  <c r="O84" i="1" s="1"/>
  <c r="M84" i="1"/>
  <c r="F84" i="1"/>
  <c r="E84" i="1"/>
  <c r="B84" i="1"/>
  <c r="N83" i="1"/>
  <c r="O83" i="1" s="1"/>
  <c r="M83" i="1"/>
  <c r="F83" i="1"/>
  <c r="E83" i="1"/>
  <c r="B83" i="1"/>
  <c r="N82" i="1"/>
  <c r="O82" i="1" s="1"/>
  <c r="M82" i="1"/>
  <c r="F82" i="1"/>
  <c r="E82" i="1"/>
  <c r="B82" i="1"/>
  <c r="N81" i="1"/>
  <c r="O81" i="1" s="1"/>
  <c r="M81" i="1"/>
  <c r="F81" i="1"/>
  <c r="E81" i="1"/>
  <c r="B81" i="1"/>
  <c r="N80" i="1"/>
  <c r="O80" i="1" s="1"/>
  <c r="M80" i="1"/>
  <c r="F80" i="1"/>
  <c r="E80" i="1"/>
  <c r="B80" i="1"/>
  <c r="N79" i="1"/>
  <c r="O79" i="1" s="1"/>
  <c r="M79" i="1"/>
  <c r="F79" i="1"/>
  <c r="E79" i="1"/>
  <c r="B79" i="1"/>
  <c r="N78" i="1"/>
  <c r="O78" i="1" s="1"/>
  <c r="M78" i="1"/>
  <c r="F78" i="1"/>
  <c r="E78" i="1"/>
  <c r="B78" i="1"/>
  <c r="N77" i="1"/>
  <c r="O77" i="1" s="1"/>
  <c r="M77" i="1"/>
  <c r="F77" i="1"/>
  <c r="E77" i="1"/>
  <c r="B77" i="1"/>
  <c r="N76" i="1"/>
  <c r="O76" i="1" s="1"/>
  <c r="M76" i="1"/>
  <c r="F76" i="1"/>
  <c r="E76" i="1"/>
  <c r="B76" i="1"/>
  <c r="N75" i="1"/>
  <c r="O75" i="1" s="1"/>
  <c r="M75" i="1"/>
  <c r="F75" i="1"/>
  <c r="E75" i="1"/>
  <c r="B75" i="1"/>
  <c r="N74" i="1"/>
  <c r="O74" i="1" s="1"/>
  <c r="M74" i="1"/>
  <c r="F74" i="1"/>
  <c r="E74" i="1"/>
  <c r="B74" i="1"/>
  <c r="N73" i="1"/>
  <c r="O73" i="1" s="1"/>
  <c r="M73" i="1"/>
  <c r="F73" i="1"/>
  <c r="E73" i="1"/>
  <c r="B73" i="1"/>
  <c r="N72" i="1"/>
  <c r="O72" i="1" s="1"/>
  <c r="M72" i="1"/>
  <c r="F72" i="1"/>
  <c r="E72" i="1"/>
  <c r="B72" i="1"/>
  <c r="N71" i="1"/>
  <c r="O71" i="1" s="1"/>
  <c r="M71" i="1"/>
  <c r="F71" i="1"/>
  <c r="E71" i="1"/>
  <c r="B71" i="1"/>
  <c r="N70" i="1"/>
  <c r="O70" i="1" s="1"/>
  <c r="M70" i="1"/>
  <c r="F70" i="1"/>
  <c r="E70" i="1"/>
  <c r="B70" i="1"/>
  <c r="N69" i="1"/>
  <c r="O69" i="1" s="1"/>
  <c r="M69" i="1"/>
  <c r="F69" i="1"/>
  <c r="E69" i="1"/>
  <c r="B69" i="1"/>
  <c r="G63" i="1"/>
  <c r="G62" i="1"/>
  <c r="N60" i="1"/>
  <c r="O60" i="1" s="1"/>
  <c r="M60" i="1"/>
  <c r="F60" i="1"/>
  <c r="E60" i="1"/>
  <c r="B60" i="1"/>
  <c r="N59" i="1"/>
  <c r="O59" i="1" s="1"/>
  <c r="M59" i="1"/>
  <c r="F59" i="1"/>
  <c r="E59" i="1"/>
  <c r="B59" i="1"/>
  <c r="N58" i="1"/>
  <c r="O58" i="1" s="1"/>
  <c r="M58" i="1"/>
  <c r="F58" i="1"/>
  <c r="E58" i="1"/>
  <c r="B58" i="1"/>
  <c r="N57" i="1"/>
  <c r="O57" i="1" s="1"/>
  <c r="M57" i="1"/>
  <c r="F57" i="1"/>
  <c r="E57" i="1"/>
  <c r="B57" i="1"/>
  <c r="N56" i="1"/>
  <c r="O56" i="1" s="1"/>
  <c r="M56" i="1"/>
  <c r="F56" i="1"/>
  <c r="E56" i="1"/>
  <c r="B56" i="1"/>
  <c r="N55" i="1"/>
  <c r="O55" i="1" s="1"/>
  <c r="M55" i="1"/>
  <c r="F55" i="1"/>
  <c r="E55" i="1"/>
  <c r="B55" i="1"/>
  <c r="N54" i="1"/>
  <c r="O54" i="1" s="1"/>
  <c r="M54" i="1"/>
  <c r="F54" i="1"/>
  <c r="E54" i="1"/>
  <c r="B54" i="1"/>
  <c r="N53" i="1"/>
  <c r="O53" i="1" s="1"/>
  <c r="M53" i="1"/>
  <c r="F53" i="1"/>
  <c r="E53" i="1"/>
  <c r="B53" i="1"/>
  <c r="N52" i="1"/>
  <c r="O52" i="1" s="1"/>
  <c r="M52" i="1"/>
  <c r="F52" i="1"/>
  <c r="E52" i="1"/>
  <c r="B52" i="1"/>
  <c r="N51" i="1"/>
  <c r="O51" i="1" s="1"/>
  <c r="M51" i="1"/>
  <c r="F51" i="1"/>
  <c r="E51" i="1"/>
  <c r="B51" i="1"/>
  <c r="N50" i="1"/>
  <c r="O50" i="1" s="1"/>
  <c r="M50" i="1"/>
  <c r="F50" i="1"/>
  <c r="E50" i="1"/>
  <c r="B50" i="1"/>
  <c r="N49" i="1"/>
  <c r="O49" i="1" s="1"/>
  <c r="M49" i="1"/>
  <c r="F49" i="1"/>
  <c r="E49" i="1"/>
  <c r="B49" i="1"/>
  <c r="N48" i="1"/>
  <c r="O48" i="1" s="1"/>
  <c r="M48" i="1"/>
  <c r="F48" i="1"/>
  <c r="E48" i="1"/>
  <c r="B48" i="1"/>
  <c r="N47" i="1"/>
  <c r="O47" i="1" s="1"/>
  <c r="M47" i="1"/>
  <c r="F47" i="1"/>
  <c r="E47" i="1"/>
  <c r="B47" i="1"/>
  <c r="N46" i="1"/>
  <c r="O46" i="1" s="1"/>
  <c r="M46" i="1"/>
  <c r="F46" i="1"/>
  <c r="E46" i="1"/>
  <c r="B46" i="1"/>
  <c r="N45" i="1"/>
  <c r="O45" i="1" s="1"/>
  <c r="M45" i="1"/>
  <c r="F45" i="1"/>
  <c r="E45" i="1"/>
  <c r="B45" i="1"/>
  <c r="N44" i="1"/>
  <c r="O44" i="1" s="1"/>
  <c r="M44" i="1"/>
  <c r="F44" i="1"/>
  <c r="E44" i="1"/>
  <c r="B44" i="1"/>
  <c r="N43" i="1"/>
  <c r="O43" i="1" s="1"/>
  <c r="M43" i="1"/>
  <c r="F43" i="1"/>
  <c r="E43" i="1"/>
  <c r="B43" i="1"/>
  <c r="N42" i="1"/>
  <c r="O42" i="1" s="1"/>
  <c r="M42" i="1"/>
  <c r="F42" i="1"/>
  <c r="E42" i="1"/>
  <c r="B42" i="1"/>
  <c r="N41" i="1"/>
  <c r="O41" i="1" s="1"/>
  <c r="M41" i="1"/>
  <c r="F41" i="1"/>
  <c r="E41" i="1"/>
  <c r="B41" i="1"/>
  <c r="N40" i="1"/>
  <c r="O40" i="1" s="1"/>
  <c r="M40" i="1"/>
  <c r="F40" i="1"/>
  <c r="E40" i="1"/>
  <c r="B40" i="1"/>
  <c r="N39" i="1"/>
  <c r="O39" i="1" s="1"/>
  <c r="M39" i="1"/>
  <c r="F39" i="1"/>
  <c r="E39" i="1"/>
  <c r="B39" i="1"/>
  <c r="N38" i="1"/>
  <c r="O38" i="1" s="1"/>
  <c r="M38" i="1"/>
  <c r="F38" i="1"/>
  <c r="E38" i="1"/>
  <c r="B38" i="1"/>
  <c r="N37" i="1"/>
  <c r="O37" i="1" s="1"/>
  <c r="M37" i="1"/>
  <c r="F37" i="1"/>
  <c r="E37" i="1"/>
  <c r="B37" i="1"/>
  <c r="N36" i="1"/>
  <c r="O36" i="1" s="1"/>
  <c r="M36" i="1"/>
  <c r="F36" i="1"/>
  <c r="E36" i="1"/>
  <c r="B36" i="1"/>
  <c r="N35" i="1"/>
  <c r="O35" i="1" s="1"/>
  <c r="M35" i="1"/>
  <c r="F35" i="1"/>
  <c r="E35" i="1"/>
  <c r="B35" i="1"/>
  <c r="N34" i="1"/>
  <c r="O34" i="1" s="1"/>
  <c r="M34" i="1"/>
  <c r="F34" i="1"/>
  <c r="E34" i="1"/>
  <c r="B34" i="1"/>
  <c r="N33" i="1"/>
  <c r="O33" i="1" s="1"/>
  <c r="M33" i="1"/>
  <c r="F33" i="1"/>
  <c r="E33" i="1"/>
  <c r="B33" i="1"/>
  <c r="N32" i="1"/>
  <c r="O32" i="1" s="1"/>
  <c r="M32" i="1"/>
  <c r="F32" i="1"/>
  <c r="E32" i="1"/>
  <c r="B32" i="1"/>
  <c r="N31" i="1"/>
  <c r="O31" i="1" s="1"/>
  <c r="M31" i="1"/>
  <c r="F31" i="1"/>
  <c r="E31" i="1"/>
  <c r="B31" i="1"/>
  <c r="N30" i="1"/>
  <c r="O30" i="1" s="1"/>
  <c r="M30" i="1"/>
  <c r="F30" i="1"/>
  <c r="E30" i="1"/>
  <c r="B30" i="1"/>
  <c r="N29" i="1"/>
  <c r="O29" i="1" s="1"/>
  <c r="M29" i="1"/>
  <c r="F29" i="1"/>
  <c r="E29" i="1"/>
  <c r="B29" i="1"/>
  <c r="N28" i="1"/>
  <c r="O28" i="1" s="1"/>
  <c r="M28" i="1"/>
  <c r="F28" i="1"/>
  <c r="E28" i="1"/>
  <c r="B28" i="1"/>
  <c r="N27" i="1"/>
  <c r="O27" i="1" s="1"/>
  <c r="M27" i="1"/>
  <c r="F27" i="1"/>
  <c r="E27" i="1"/>
  <c r="B27" i="1"/>
  <c r="N26" i="1"/>
  <c r="O26" i="1" s="1"/>
  <c r="M26" i="1"/>
  <c r="F26" i="1"/>
  <c r="E26" i="1"/>
  <c r="B26" i="1"/>
  <c r="N25" i="1"/>
  <c r="O25" i="1" s="1"/>
  <c r="M25" i="1"/>
  <c r="F25" i="1"/>
  <c r="E25" i="1"/>
  <c r="B25" i="1"/>
  <c r="N24" i="1"/>
  <c r="O24" i="1" s="1"/>
  <c r="M24" i="1"/>
  <c r="F24" i="1"/>
  <c r="E24" i="1"/>
  <c r="B24" i="1"/>
  <c r="F17" i="1"/>
  <c r="P12" i="1"/>
  <c r="K12" i="1"/>
  <c r="K14" i="8" s="1"/>
  <c r="F12" i="1"/>
  <c r="H14" i="8" s="1"/>
  <c r="C12" i="1"/>
  <c r="B12" i="1"/>
  <c r="A12" i="1"/>
  <c r="K11" i="1"/>
  <c r="K13" i="8" s="1"/>
  <c r="F11" i="1"/>
  <c r="H13" i="8" s="1"/>
  <c r="C11" i="1"/>
  <c r="B11" i="1"/>
  <c r="A11" i="1"/>
  <c r="P10" i="1"/>
  <c r="K10" i="1"/>
  <c r="K12" i="8" s="1"/>
  <c r="F10" i="1"/>
  <c r="H12" i="8" s="1"/>
  <c r="C10" i="1"/>
  <c r="B10" i="1"/>
  <c r="A10" i="1"/>
  <c r="F4" i="1"/>
  <c r="E4" i="1"/>
  <c r="B3" i="1"/>
  <c r="B2" i="1"/>
  <c r="B1" i="1"/>
  <c r="D36" i="11" l="1"/>
  <c r="D36" i="10"/>
  <c r="D36" i="9"/>
  <c r="G93" i="1"/>
  <c r="B11" i="11"/>
  <c r="A45" i="11"/>
  <c r="F28" i="11"/>
  <c r="G28" i="11" s="1"/>
  <c r="G13" i="5"/>
  <c r="G15" i="5" s="1"/>
  <c r="F11" i="10"/>
  <c r="G11" i="10" s="1"/>
  <c r="H13" i="7"/>
  <c r="H14" i="7" s="1"/>
  <c r="N7" i="3" s="1"/>
  <c r="F19" i="9" s="1"/>
  <c r="F26" i="7"/>
  <c r="H26" i="7" s="1"/>
  <c r="F25" i="7"/>
  <c r="H25" i="7" s="1"/>
  <c r="F23" i="7"/>
  <c r="H23" i="7" s="1"/>
  <c r="C22" i="4"/>
  <c r="F51" i="4"/>
  <c r="F12" i="9"/>
  <c r="M7" i="3"/>
  <c r="F7" i="12" s="1"/>
  <c r="F8" i="12" s="1"/>
  <c r="AB12" i="13"/>
  <c r="AB13" i="13" s="1"/>
  <c r="AB14" i="13" s="1"/>
  <c r="AB15" i="13" s="1"/>
  <c r="AB16" i="13" s="1"/>
  <c r="AB17" i="13" s="1"/>
  <c r="AB18" i="13" s="1"/>
  <c r="AB19" i="13" s="1"/>
  <c r="AB20" i="13" s="1"/>
  <c r="AB21" i="13" s="1"/>
  <c r="AB22" i="13" s="1"/>
  <c r="AB23" i="13" s="1"/>
  <c r="F11" i="11"/>
  <c r="H19" i="7"/>
  <c r="H20" i="7" s="1"/>
  <c r="L69" i="1"/>
  <c r="G69" i="1" s="1"/>
  <c r="L60" i="1"/>
  <c r="G60" i="1" s="1"/>
  <c r="J12" i="10"/>
  <c r="J14" i="10" s="1"/>
  <c r="G12" i="10"/>
  <c r="L57" i="1"/>
  <c r="G57" i="1" s="1"/>
  <c r="H57" i="1" s="1"/>
  <c r="L46" i="1"/>
  <c r="G46" i="1" s="1"/>
  <c r="I46" i="1" s="1"/>
  <c r="L54" i="1"/>
  <c r="G54" i="1" s="1"/>
  <c r="L88" i="1"/>
  <c r="G88" i="1" s="1"/>
  <c r="L48" i="1"/>
  <c r="G48" i="1" s="1"/>
  <c r="L84" i="1"/>
  <c r="G84" i="1" s="1"/>
  <c r="L42" i="1"/>
  <c r="G42" i="1" s="1"/>
  <c r="J27" i="6" s="1"/>
  <c r="K27" i="6" s="1"/>
  <c r="L58" i="1"/>
  <c r="G58" i="1" s="1"/>
  <c r="H58" i="1" s="1"/>
  <c r="L52" i="1"/>
  <c r="L49" i="1"/>
  <c r="L24" i="1"/>
  <c r="L32" i="1"/>
  <c r="L40" i="1"/>
  <c r="L45" i="1"/>
  <c r="L31" i="1"/>
  <c r="L39" i="1"/>
  <c r="G39" i="1" s="1"/>
  <c r="J24" i="6" s="1"/>
  <c r="K24" i="6" s="1"/>
  <c r="L50" i="1"/>
  <c r="L73" i="1"/>
  <c r="G73" i="1" s="1"/>
  <c r="J56" i="6" s="1"/>
  <c r="K56" i="6" s="1"/>
  <c r="L80" i="1"/>
  <c r="L72" i="1"/>
  <c r="L25" i="1"/>
  <c r="L44" i="1"/>
  <c r="L36" i="1"/>
  <c r="L33" i="1"/>
  <c r="G33" i="1" s="1"/>
  <c r="L30" i="1"/>
  <c r="L38" i="1"/>
  <c r="L43" i="1"/>
  <c r="L53" i="1"/>
  <c r="L56" i="1"/>
  <c r="L27" i="1"/>
  <c r="L35" i="1"/>
  <c r="L86" i="1"/>
  <c r="G86" i="1" s="1"/>
  <c r="J69" i="6" s="1"/>
  <c r="K69" i="6" s="1"/>
  <c r="L85" i="1"/>
  <c r="L28" i="1"/>
  <c r="L41" i="1"/>
  <c r="L29" i="1"/>
  <c r="L37" i="1"/>
  <c r="L77" i="1"/>
  <c r="L81" i="1"/>
  <c r="L26" i="1"/>
  <c r="G26" i="1" s="1"/>
  <c r="J11" i="6" s="1"/>
  <c r="K11" i="6" s="1"/>
  <c r="L34" i="1"/>
  <c r="L76" i="1"/>
  <c r="N15" i="8"/>
  <c r="L70" i="1"/>
  <c r="L89" i="1"/>
  <c r="L78" i="1"/>
  <c r="J31" i="6"/>
  <c r="K31" i="6" s="1"/>
  <c r="J42" i="6"/>
  <c r="K42" i="6" s="1"/>
  <c r="L51" i="1"/>
  <c r="G51" i="1" s="1"/>
  <c r="L59" i="1"/>
  <c r="G59" i="1" s="1"/>
  <c r="L71" i="1"/>
  <c r="G71" i="1" s="1"/>
  <c r="L74" i="1"/>
  <c r="G74" i="1" s="1"/>
  <c r="L87" i="1"/>
  <c r="G87" i="1" s="1"/>
  <c r="H51" i="4"/>
  <c r="G51" i="4"/>
  <c r="H15" i="8"/>
  <c r="K15" i="8"/>
  <c r="L47" i="1"/>
  <c r="G47" i="1" s="1"/>
  <c r="L83" i="1"/>
  <c r="G83" i="1" s="1"/>
  <c r="L55" i="1"/>
  <c r="G55" i="1" s="1"/>
  <c r="L79" i="1"/>
  <c r="G79" i="1" s="1"/>
  <c r="L82" i="1"/>
  <c r="G82" i="1" s="1"/>
  <c r="L75" i="1"/>
  <c r="G75" i="1" s="1"/>
  <c r="H49" i="4"/>
  <c r="C28" i="4"/>
  <c r="C29" i="4" s="1"/>
  <c r="C53" i="4" s="1"/>
  <c r="C35" i="4"/>
  <c r="C37" i="4" s="1"/>
  <c r="C54" i="4" s="1"/>
  <c r="C51" i="4"/>
  <c r="H50" i="4"/>
  <c r="K8" i="3"/>
  <c r="K9" i="3"/>
  <c r="C23" i="11"/>
  <c r="F23" i="11" s="1"/>
  <c r="C23" i="10"/>
  <c r="F23" i="10" s="1"/>
  <c r="C23" i="9"/>
  <c r="F23" i="9" s="1"/>
  <c r="D15" i="8"/>
  <c r="A44" i="9"/>
  <c r="B11" i="9"/>
  <c r="A45" i="9"/>
  <c r="D43" i="11"/>
  <c r="C44" i="4"/>
  <c r="AI22" i="13"/>
  <c r="AI23" i="13" s="1"/>
  <c r="A44" i="10"/>
  <c r="B11" i="10"/>
  <c r="A45" i="10"/>
  <c r="J12" i="11"/>
  <c r="J14" i="11" s="1"/>
  <c r="G12" i="11"/>
  <c r="A6" i="9"/>
  <c r="A6" i="11"/>
  <c r="A6" i="10"/>
  <c r="E9" i="12"/>
  <c r="F52" i="4"/>
  <c r="A6" i="8"/>
  <c r="Q15" i="8"/>
  <c r="F22" i="9"/>
  <c r="A44" i="11"/>
  <c r="F22" i="10" l="1"/>
  <c r="G14" i="12" s="1"/>
  <c r="Q8" i="3"/>
  <c r="Q7" i="3"/>
  <c r="H27" i="7"/>
  <c r="H28" i="7" s="1"/>
  <c r="N9" i="3" s="1"/>
  <c r="F19" i="11" s="1"/>
  <c r="N8" i="3"/>
  <c r="F19" i="10" s="1"/>
  <c r="G19" i="10" s="1"/>
  <c r="I88" i="1"/>
  <c r="J71" i="6"/>
  <c r="K71" i="6" s="1"/>
  <c r="H88" i="1"/>
  <c r="J18" i="6"/>
  <c r="K18" i="6" s="1"/>
  <c r="H33" i="1"/>
  <c r="G12" i="9"/>
  <c r="J12" i="9"/>
  <c r="J14" i="9" s="1"/>
  <c r="F9" i="12"/>
  <c r="F10" i="12" s="1"/>
  <c r="F11" i="12" s="1"/>
  <c r="F29" i="12" s="1"/>
  <c r="E10" i="12"/>
  <c r="F53" i="4"/>
  <c r="C23" i="4"/>
  <c r="G11" i="11"/>
  <c r="F22" i="11"/>
  <c r="F29" i="11" s="1"/>
  <c r="J52" i="6"/>
  <c r="K52" i="6" s="1"/>
  <c r="H69" i="1"/>
  <c r="I69" i="1"/>
  <c r="H60" i="1"/>
  <c r="J45" i="6"/>
  <c r="K45" i="6" s="1"/>
  <c r="I60" i="1"/>
  <c r="H54" i="1"/>
  <c r="I54" i="1"/>
  <c r="J33" i="6"/>
  <c r="K33" i="6" s="1"/>
  <c r="H48" i="1"/>
  <c r="I84" i="1"/>
  <c r="J67" i="6"/>
  <c r="K67" i="6" s="1"/>
  <c r="H84" i="1"/>
  <c r="I58" i="1"/>
  <c r="J43" i="6"/>
  <c r="K43" i="6" s="1"/>
  <c r="H26" i="1"/>
  <c r="I48" i="1"/>
  <c r="I33" i="1"/>
  <c r="I26" i="1"/>
  <c r="H86" i="1"/>
  <c r="I39" i="1"/>
  <c r="I86" i="1"/>
  <c r="H39" i="1"/>
  <c r="I57" i="1"/>
  <c r="G89" i="1"/>
  <c r="H89" i="1" s="1"/>
  <c r="G85" i="1"/>
  <c r="G50" i="1"/>
  <c r="H46" i="1"/>
  <c r="G70" i="1"/>
  <c r="H70" i="1" s="1"/>
  <c r="G52" i="1"/>
  <c r="H52" i="1" s="1"/>
  <c r="G81" i="1"/>
  <c r="J64" i="6" s="1"/>
  <c r="K64" i="6" s="1"/>
  <c r="G35" i="1"/>
  <c r="H35" i="1" s="1"/>
  <c r="G36" i="1"/>
  <c r="H36" i="1" s="1"/>
  <c r="G31" i="1"/>
  <c r="J16" i="6" s="1"/>
  <c r="K16" i="6" s="1"/>
  <c r="G76" i="1"/>
  <c r="I76" i="1" s="1"/>
  <c r="G27" i="1"/>
  <c r="I27" i="1" s="1"/>
  <c r="G44" i="1"/>
  <c r="H44" i="1" s="1"/>
  <c r="G45" i="1"/>
  <c r="J30" i="6" s="1"/>
  <c r="K30" i="6" s="1"/>
  <c r="J39" i="6"/>
  <c r="K39" i="6" s="1"/>
  <c r="H42" i="1"/>
  <c r="I73" i="1"/>
  <c r="G37" i="1"/>
  <c r="J22" i="6" s="1"/>
  <c r="K22" i="6" s="1"/>
  <c r="G56" i="1"/>
  <c r="H56" i="1" s="1"/>
  <c r="G25" i="1"/>
  <c r="J10" i="6" s="1"/>
  <c r="K10" i="6" s="1"/>
  <c r="G40" i="1"/>
  <c r="I40" i="1" s="1"/>
  <c r="I42" i="1"/>
  <c r="H73" i="1"/>
  <c r="G29" i="1"/>
  <c r="G53" i="1"/>
  <c r="G72" i="1"/>
  <c r="G32" i="1"/>
  <c r="I32" i="1" s="1"/>
  <c r="G77" i="1"/>
  <c r="G41" i="1"/>
  <c r="G43" i="1"/>
  <c r="I43" i="1" s="1"/>
  <c r="G80" i="1"/>
  <c r="H80" i="1" s="1"/>
  <c r="G24" i="1"/>
  <c r="I24" i="1" s="1"/>
  <c r="G78" i="1"/>
  <c r="J61" i="6" s="1"/>
  <c r="K61" i="6" s="1"/>
  <c r="G28" i="1"/>
  <c r="J13" i="6" s="1"/>
  <c r="K13" i="6" s="1"/>
  <c r="G38" i="1"/>
  <c r="H38" i="1" s="1"/>
  <c r="G34" i="1"/>
  <c r="I34" i="1" s="1"/>
  <c r="G30" i="1"/>
  <c r="G49" i="1"/>
  <c r="J63" i="6"/>
  <c r="K63" i="6" s="1"/>
  <c r="I80" i="1"/>
  <c r="H78" i="1"/>
  <c r="I78" i="1"/>
  <c r="H13" i="12"/>
  <c r="H23" i="11"/>
  <c r="H29" i="11" s="1"/>
  <c r="H30" i="11" s="1"/>
  <c r="G23" i="11"/>
  <c r="G52" i="4"/>
  <c r="H52" i="4"/>
  <c r="I87" i="1"/>
  <c r="J70" i="6"/>
  <c r="K70" i="6" s="1"/>
  <c r="H87" i="1"/>
  <c r="E13" i="10"/>
  <c r="F13" i="10" s="1"/>
  <c r="E13" i="9"/>
  <c r="F13" i="9" s="1"/>
  <c r="L8" i="3"/>
  <c r="M8" i="3" s="1"/>
  <c r="I59" i="1"/>
  <c r="J44" i="6"/>
  <c r="K44" i="6" s="1"/>
  <c r="H59" i="1"/>
  <c r="J36" i="6"/>
  <c r="K36" i="6" s="1"/>
  <c r="I51" i="1"/>
  <c r="H51" i="1"/>
  <c r="F28" i="10"/>
  <c r="G28" i="10" s="1"/>
  <c r="F28" i="9"/>
  <c r="G28" i="9" s="1"/>
  <c r="G19" i="11"/>
  <c r="C45" i="4"/>
  <c r="C46" i="4" s="1"/>
  <c r="C55" i="4" s="1"/>
  <c r="G23" i="10"/>
  <c r="G13" i="12"/>
  <c r="H23" i="10"/>
  <c r="H29" i="10" s="1"/>
  <c r="H30" i="10" s="1"/>
  <c r="J32" i="6"/>
  <c r="K32" i="6" s="1"/>
  <c r="I47" i="1"/>
  <c r="H47" i="1"/>
  <c r="J58" i="6"/>
  <c r="K58" i="6" s="1"/>
  <c r="I75" i="1"/>
  <c r="H75" i="1"/>
  <c r="H82" i="1"/>
  <c r="J65" i="6"/>
  <c r="K65" i="6" s="1"/>
  <c r="I82" i="1"/>
  <c r="G19" i="9"/>
  <c r="I55" i="1"/>
  <c r="H55" i="1"/>
  <c r="J40" i="6"/>
  <c r="K40" i="6" s="1"/>
  <c r="H74" i="1"/>
  <c r="J57" i="6"/>
  <c r="K57" i="6" s="1"/>
  <c r="I74" i="1"/>
  <c r="E13" i="11"/>
  <c r="F13" i="11" s="1"/>
  <c r="L9" i="3"/>
  <c r="M9" i="3" s="1"/>
  <c r="J54" i="6"/>
  <c r="K54" i="6" s="1"/>
  <c r="I71" i="1"/>
  <c r="H71" i="1"/>
  <c r="I22" i="9"/>
  <c r="I29" i="9" s="1"/>
  <c r="I30" i="9" s="1"/>
  <c r="F14" i="12"/>
  <c r="G22" i="9"/>
  <c r="H23" i="9"/>
  <c r="H29" i="9" s="1"/>
  <c r="H30" i="9" s="1"/>
  <c r="G23" i="9"/>
  <c r="F13" i="12"/>
  <c r="J62" i="6"/>
  <c r="K62" i="6" s="1"/>
  <c r="I79" i="1"/>
  <c r="H79" i="1"/>
  <c r="J66" i="6"/>
  <c r="K66" i="6" s="1"/>
  <c r="I83" i="1"/>
  <c r="H83" i="1"/>
  <c r="I22" i="10" l="1"/>
  <c r="I29" i="10" s="1"/>
  <c r="I30" i="10" s="1"/>
  <c r="I33" i="10" s="1"/>
  <c r="I34" i="10" s="1"/>
  <c r="I35" i="10" s="1"/>
  <c r="I36" i="10" s="1"/>
  <c r="I37" i="10" s="1"/>
  <c r="I44" i="10" s="1"/>
  <c r="I45" i="10" s="1"/>
  <c r="G22" i="10"/>
  <c r="J60" i="6"/>
  <c r="K60" i="6" s="1"/>
  <c r="I77" i="1"/>
  <c r="H41" i="1"/>
  <c r="I41" i="1"/>
  <c r="G29" i="10"/>
  <c r="F54" i="4"/>
  <c r="F55" i="4" s="1"/>
  <c r="F57" i="4" s="1"/>
  <c r="F59" i="4" s="1"/>
  <c r="G53" i="4"/>
  <c r="H53" i="4"/>
  <c r="H54" i="4" s="1"/>
  <c r="H55" i="4" s="1"/>
  <c r="H57" i="4" s="1"/>
  <c r="H59" i="4" s="1"/>
  <c r="C24" i="4"/>
  <c r="C25" i="4"/>
  <c r="C52" i="4" s="1"/>
  <c r="C57" i="4" s="1"/>
  <c r="G16" i="12"/>
  <c r="G30" i="12" s="1"/>
  <c r="G22" i="11"/>
  <c r="G29" i="11" s="1"/>
  <c r="I22" i="11"/>
  <c r="I29" i="11" s="1"/>
  <c r="I30" i="11" s="1"/>
  <c r="H14" i="12"/>
  <c r="H16" i="12" s="1"/>
  <c r="H30" i="12" s="1"/>
  <c r="G54" i="4"/>
  <c r="G29" i="9"/>
  <c r="I70" i="1"/>
  <c r="H27" i="1"/>
  <c r="I44" i="1"/>
  <c r="J12" i="6"/>
  <c r="K12" i="6" s="1"/>
  <c r="I25" i="1"/>
  <c r="H81" i="1"/>
  <c r="H25" i="1"/>
  <c r="H37" i="1"/>
  <c r="J14" i="6"/>
  <c r="K14" i="6" s="1"/>
  <c r="I29" i="1"/>
  <c r="H40" i="1"/>
  <c r="H29" i="1"/>
  <c r="I89" i="1"/>
  <c r="J72" i="6"/>
  <c r="K72" i="6" s="1"/>
  <c r="H77" i="1"/>
  <c r="I81" i="1"/>
  <c r="J23" i="6"/>
  <c r="K23" i="6" s="1"/>
  <c r="I38" i="1"/>
  <c r="J17" i="6"/>
  <c r="K17" i="6" s="1"/>
  <c r="H32" i="1"/>
  <c r="J29" i="6"/>
  <c r="K29" i="6" s="1"/>
  <c r="J53" i="6"/>
  <c r="K53" i="6" s="1"/>
  <c r="J9" i="6"/>
  <c r="K9" i="6" s="1"/>
  <c r="H24" i="1"/>
  <c r="J28" i="6"/>
  <c r="K28" i="6" s="1"/>
  <c r="J19" i="6"/>
  <c r="K19" i="6" s="1"/>
  <c r="I56" i="1"/>
  <c r="J21" i="6"/>
  <c r="K21" i="6" s="1"/>
  <c r="I36" i="1"/>
  <c r="H76" i="1"/>
  <c r="I37" i="1"/>
  <c r="J20" i="6"/>
  <c r="K20" i="6" s="1"/>
  <c r="I35" i="1"/>
  <c r="I72" i="1"/>
  <c r="J55" i="6"/>
  <c r="K55" i="6" s="1"/>
  <c r="I50" i="1"/>
  <c r="J35" i="6"/>
  <c r="K35" i="6" s="1"/>
  <c r="I28" i="1"/>
  <c r="H43" i="1"/>
  <c r="J25" i="6"/>
  <c r="K25" i="6" s="1"/>
  <c r="H50" i="1"/>
  <c r="H28" i="1"/>
  <c r="H34" i="1"/>
  <c r="H30" i="1"/>
  <c r="J15" i="6"/>
  <c r="K15" i="6" s="1"/>
  <c r="I53" i="1"/>
  <c r="H53" i="1"/>
  <c r="J59" i="6"/>
  <c r="K59" i="6" s="1"/>
  <c r="I85" i="1"/>
  <c r="H85" i="1"/>
  <c r="I49" i="1"/>
  <c r="H49" i="1"/>
  <c r="J34" i="6"/>
  <c r="K34" i="6" s="1"/>
  <c r="H72" i="1"/>
  <c r="J41" i="6"/>
  <c r="K41" i="6" s="1"/>
  <c r="I30" i="1"/>
  <c r="J26" i="6"/>
  <c r="K26" i="6" s="1"/>
  <c r="J38" i="6"/>
  <c r="K38" i="6" s="1"/>
  <c r="I45" i="1"/>
  <c r="H45" i="1"/>
  <c r="H31" i="1"/>
  <c r="I31" i="1"/>
  <c r="J37" i="6"/>
  <c r="K37" i="6" s="1"/>
  <c r="I52" i="1"/>
  <c r="J68" i="6"/>
  <c r="K68" i="6" s="1"/>
  <c r="H7" i="12"/>
  <c r="G13" i="9"/>
  <c r="G14" i="9" s="1"/>
  <c r="F14" i="9"/>
  <c r="G13" i="11"/>
  <c r="G14" i="11" s="1"/>
  <c r="F14" i="11"/>
  <c r="G13" i="10"/>
  <c r="G14" i="10" s="1"/>
  <c r="F14" i="10"/>
  <c r="H33" i="11"/>
  <c r="F16" i="12"/>
  <c r="F30" i="12" s="1"/>
  <c r="F31" i="12" s="1"/>
  <c r="I33" i="9"/>
  <c r="I34" i="9" s="1"/>
  <c r="I35" i="9" s="1"/>
  <c r="H33" i="10"/>
  <c r="H34" i="10" s="1"/>
  <c r="H35" i="10" s="1"/>
  <c r="G7" i="12"/>
  <c r="M10" i="3"/>
  <c r="H33" i="9"/>
  <c r="H34" i="9" s="1"/>
  <c r="H35" i="9" s="1"/>
  <c r="H90" i="1" l="1"/>
  <c r="H91" i="1" s="1"/>
  <c r="H92" i="1" s="1"/>
  <c r="H94" i="1" s="1"/>
  <c r="H93" i="1" s="1"/>
  <c r="E15" i="11"/>
  <c r="E15" i="10"/>
  <c r="G19" i="3"/>
  <c r="E15" i="9"/>
  <c r="I33" i="11"/>
  <c r="I34" i="11" s="1"/>
  <c r="I35" i="11" s="1"/>
  <c r="I36" i="11" s="1"/>
  <c r="I37" i="11" s="1"/>
  <c r="I44" i="11" s="1"/>
  <c r="I45" i="11" s="1"/>
  <c r="G55" i="4"/>
  <c r="G57" i="4" s="1"/>
  <c r="G59" i="4" s="1"/>
  <c r="K73" i="6"/>
  <c r="K75" i="6" s="1"/>
  <c r="P8" i="3" s="1"/>
  <c r="F27" i="10" s="1"/>
  <c r="K46" i="6"/>
  <c r="K48" i="6" s="1"/>
  <c r="H61" i="1"/>
  <c r="H62" i="1" s="1"/>
  <c r="S10" i="1"/>
  <c r="S12" i="1"/>
  <c r="S11" i="1"/>
  <c r="I40" i="10"/>
  <c r="I41" i="10"/>
  <c r="I42" i="10"/>
  <c r="I39" i="10"/>
  <c r="G13" i="8"/>
  <c r="I13" i="8" s="1"/>
  <c r="H36" i="10"/>
  <c r="H37" i="10" s="1"/>
  <c r="H44" i="10" s="1"/>
  <c r="H45" i="10" s="1"/>
  <c r="I36" i="9"/>
  <c r="I37" i="9" s="1"/>
  <c r="I44" i="9" s="1"/>
  <c r="I45" i="9" s="1"/>
  <c r="H8" i="12"/>
  <c r="H9" i="12"/>
  <c r="F18" i="12"/>
  <c r="H34" i="11"/>
  <c r="H35" i="11" s="1"/>
  <c r="H36" i="11" s="1"/>
  <c r="H37" i="11" s="1"/>
  <c r="H44" i="11" s="1"/>
  <c r="H45" i="11" s="1"/>
  <c r="G8" i="12"/>
  <c r="G9" i="12"/>
  <c r="H36" i="9"/>
  <c r="H37" i="9" s="1"/>
  <c r="H44" i="9" s="1"/>
  <c r="H45" i="9" s="1"/>
  <c r="O8" i="3" l="1"/>
  <c r="F26" i="10" s="1"/>
  <c r="F29" i="10" s="1"/>
  <c r="O7" i="3"/>
  <c r="F26" i="9" s="1"/>
  <c r="F29" i="9" s="1"/>
  <c r="J15" i="11"/>
  <c r="J16" i="11" s="1"/>
  <c r="J30" i="11" s="1"/>
  <c r="J33" i="11" s="1"/>
  <c r="J34" i="11" s="1"/>
  <c r="J35" i="11" s="1"/>
  <c r="F15" i="11"/>
  <c r="J15" i="10"/>
  <c r="J16" i="10" s="1"/>
  <c r="J30" i="10" s="1"/>
  <c r="J33" i="10" s="1"/>
  <c r="J34" i="10" s="1"/>
  <c r="J35" i="10" s="1"/>
  <c r="F15" i="10"/>
  <c r="F15" i="9"/>
  <c r="J15" i="9"/>
  <c r="J16" i="9" s="1"/>
  <c r="J30" i="9" s="1"/>
  <c r="J33" i="9" s="1"/>
  <c r="J34" i="9" s="1"/>
  <c r="J35" i="9" s="1"/>
  <c r="H10" i="12"/>
  <c r="H11" i="12" s="1"/>
  <c r="H29" i="12" s="1"/>
  <c r="H31" i="12" s="1"/>
  <c r="H18" i="12" s="1"/>
  <c r="I39" i="11"/>
  <c r="I40" i="11"/>
  <c r="G14" i="8"/>
  <c r="I14" i="8" s="1"/>
  <c r="I42" i="11"/>
  <c r="I41" i="11"/>
  <c r="W16" i="8"/>
  <c r="H63" i="1"/>
  <c r="H65" i="1" s="1"/>
  <c r="H64" i="1" s="1"/>
  <c r="G10" i="12"/>
  <c r="G11" i="12" s="1"/>
  <c r="G29" i="12" s="1"/>
  <c r="G31" i="12" s="1"/>
  <c r="I43" i="10"/>
  <c r="I42" i="9"/>
  <c r="I39" i="9"/>
  <c r="I40" i="9"/>
  <c r="I41" i="9"/>
  <c r="G12" i="8"/>
  <c r="I12" i="8" s="1"/>
  <c r="H40" i="11"/>
  <c r="H41" i="11"/>
  <c r="H42" i="11"/>
  <c r="H39" i="11"/>
  <c r="P14" i="8"/>
  <c r="R14" i="8" s="1"/>
  <c r="F19" i="12"/>
  <c r="F20" i="12" s="1"/>
  <c r="F25" i="12" s="1"/>
  <c r="F32" i="12" s="1"/>
  <c r="F33" i="12" s="1"/>
  <c r="H40" i="10"/>
  <c r="H41" i="10"/>
  <c r="P13" i="8"/>
  <c r="R13" i="8" s="1"/>
  <c r="H39" i="10"/>
  <c r="H42" i="10"/>
  <c r="H39" i="9"/>
  <c r="P12" i="8"/>
  <c r="R12" i="8" s="1"/>
  <c r="H41" i="9"/>
  <c r="H40" i="9"/>
  <c r="H42" i="9"/>
  <c r="S13" i="1"/>
  <c r="G15" i="11" l="1"/>
  <c r="G16" i="11" s="1"/>
  <c r="G30" i="11" s="1"/>
  <c r="G33" i="11" s="1"/>
  <c r="F16" i="11"/>
  <c r="F30" i="11" s="1"/>
  <c r="F33" i="11" s="1"/>
  <c r="F16" i="10"/>
  <c r="F30" i="10" s="1"/>
  <c r="F33" i="10" s="1"/>
  <c r="G15" i="10"/>
  <c r="G16" i="10" s="1"/>
  <c r="G30" i="10" s="1"/>
  <c r="G15" i="9"/>
  <c r="G16" i="9" s="1"/>
  <c r="G30" i="9" s="1"/>
  <c r="G33" i="9" s="1"/>
  <c r="F16" i="9"/>
  <c r="F30" i="9" s="1"/>
  <c r="F33" i="9" s="1"/>
  <c r="F34" i="9" s="1"/>
  <c r="F35" i="9" s="1"/>
  <c r="I43" i="11"/>
  <c r="I43" i="9"/>
  <c r="H43" i="9"/>
  <c r="F22" i="12"/>
  <c r="M12" i="8"/>
  <c r="F23" i="12"/>
  <c r="F24" i="12"/>
  <c r="F21" i="12"/>
  <c r="H19" i="12"/>
  <c r="H20" i="12" s="1"/>
  <c r="H25" i="12" s="1"/>
  <c r="H32" i="12" s="1"/>
  <c r="H33" i="12" s="1"/>
  <c r="R15" i="8"/>
  <c r="M13" i="1" s="1"/>
  <c r="H43" i="11"/>
  <c r="J36" i="10"/>
  <c r="J37" i="10" s="1"/>
  <c r="J44" i="10" s="1"/>
  <c r="J45" i="10" s="1"/>
  <c r="I15" i="8"/>
  <c r="H13" i="1" s="1"/>
  <c r="J36" i="9"/>
  <c r="J37" i="9" s="1"/>
  <c r="J44" i="9" s="1"/>
  <c r="J45" i="9" s="1"/>
  <c r="H43" i="10"/>
  <c r="J36" i="11"/>
  <c r="J37" i="11" s="1"/>
  <c r="J44" i="11" s="1"/>
  <c r="J45" i="11" s="1"/>
  <c r="G18" i="12"/>
  <c r="G34" i="11" l="1"/>
  <c r="G35" i="11" s="1"/>
  <c r="G36" i="11" s="1"/>
  <c r="G37" i="11" s="1"/>
  <c r="G44" i="11" s="1"/>
  <c r="G45" i="11" s="1"/>
  <c r="G42" i="11" s="1"/>
  <c r="F34" i="11"/>
  <c r="F35" i="11" s="1"/>
  <c r="F36" i="11" s="1"/>
  <c r="F37" i="11" s="1"/>
  <c r="F44" i="11" s="1"/>
  <c r="F45" i="11" s="1"/>
  <c r="G33" i="10"/>
  <c r="G34" i="10" s="1"/>
  <c r="G35" i="10" s="1"/>
  <c r="G36" i="10" s="1"/>
  <c r="G37" i="10" s="1"/>
  <c r="G44" i="10" s="1"/>
  <c r="G45" i="10" s="1"/>
  <c r="G34" i="9"/>
  <c r="G35" i="9" s="1"/>
  <c r="G36" i="9" s="1"/>
  <c r="G37" i="9" s="1"/>
  <c r="G44" i="9" s="1"/>
  <c r="G45" i="9" s="1"/>
  <c r="F34" i="10"/>
  <c r="F35" i="10" s="1"/>
  <c r="F36" i="10" s="1"/>
  <c r="F37" i="10" s="1"/>
  <c r="F44" i="10" s="1"/>
  <c r="F45" i="10" s="1"/>
  <c r="M14" i="8"/>
  <c r="O14" i="8" s="1"/>
  <c r="H22" i="12"/>
  <c r="H21" i="12"/>
  <c r="H23" i="12"/>
  <c r="H24" i="12"/>
  <c r="G19" i="12"/>
  <c r="G20" i="12" s="1"/>
  <c r="F36" i="9"/>
  <c r="F37" i="9" s="1"/>
  <c r="F44" i="9" s="1"/>
  <c r="F45" i="9" s="1"/>
  <c r="J41" i="10"/>
  <c r="J42" i="10"/>
  <c r="J40" i="10"/>
  <c r="J39" i="10"/>
  <c r="J41" i="11"/>
  <c r="J42" i="11"/>
  <c r="J39" i="11"/>
  <c r="J40" i="11"/>
  <c r="J46" i="9"/>
  <c r="T13" i="8" s="1"/>
  <c r="J40" i="9"/>
  <c r="J42" i="9"/>
  <c r="J39" i="9"/>
  <c r="J41" i="9"/>
  <c r="O12" i="8"/>
  <c r="J43" i="10" l="1"/>
  <c r="F42" i="11"/>
  <c r="F46" i="11"/>
  <c r="G40" i="11"/>
  <c r="G41" i="11"/>
  <c r="J14" i="8"/>
  <c r="L14" i="8" s="1"/>
  <c r="S14" i="8" s="1"/>
  <c r="O12" i="1" s="1"/>
  <c r="G46" i="11"/>
  <c r="G39" i="11"/>
  <c r="F39" i="11"/>
  <c r="E14" i="8"/>
  <c r="F14" i="8" s="1"/>
  <c r="F40" i="11"/>
  <c r="F41" i="11"/>
  <c r="G39" i="10"/>
  <c r="G40" i="10"/>
  <c r="G41" i="10"/>
  <c r="G42" i="10"/>
  <c r="G46" i="10"/>
  <c r="J13" i="8"/>
  <c r="L13" i="8" s="1"/>
  <c r="G41" i="9"/>
  <c r="G42" i="9"/>
  <c r="G46" i="9"/>
  <c r="G39" i="9"/>
  <c r="G40" i="9"/>
  <c r="J12" i="8"/>
  <c r="F42" i="10"/>
  <c r="F40" i="10"/>
  <c r="F41" i="10"/>
  <c r="F46" i="10"/>
  <c r="E13" i="8"/>
  <c r="F13" i="8" s="1"/>
  <c r="F39" i="10"/>
  <c r="G25" i="12"/>
  <c r="G32" i="12" s="1"/>
  <c r="G33" i="12" s="1"/>
  <c r="F42" i="9"/>
  <c r="F46" i="9"/>
  <c r="F40" i="9"/>
  <c r="F39" i="9"/>
  <c r="E12" i="8"/>
  <c r="F12" i="8" s="1"/>
  <c r="F41" i="9"/>
  <c r="J43" i="9"/>
  <c r="A19" i="8"/>
  <c r="V13" i="8"/>
  <c r="J43" i="11"/>
  <c r="G43" i="11" l="1"/>
  <c r="G43" i="9"/>
  <c r="F43" i="11"/>
  <c r="F43" i="10"/>
  <c r="G43" i="10"/>
  <c r="L12" i="8"/>
  <c r="J15" i="8"/>
  <c r="G22" i="12"/>
  <c r="M13" i="8"/>
  <c r="G24" i="12"/>
  <c r="G21" i="12"/>
  <c r="G23" i="12"/>
  <c r="W14" i="8"/>
  <c r="Q12" i="1" s="1"/>
  <c r="U12" i="1" s="1"/>
  <c r="F15" i="8"/>
  <c r="V15" i="8"/>
  <c r="P11" i="1"/>
  <c r="F43" i="9"/>
  <c r="S12" i="8" l="1"/>
  <c r="L15" i="8"/>
  <c r="K13" i="1" s="1"/>
  <c r="O13" i="8"/>
  <c r="M15" i="8"/>
  <c r="N13" i="1"/>
  <c r="P13" i="1"/>
  <c r="O10" i="1" l="1"/>
  <c r="W12" i="8"/>
  <c r="Q10" i="1" s="1"/>
  <c r="S13" i="8"/>
  <c r="O15" i="8"/>
  <c r="L13" i="1" s="1"/>
  <c r="O13" i="1" s="1"/>
  <c r="S15" i="8" l="1"/>
  <c r="O11" i="1"/>
  <c r="W13" i="8"/>
  <c r="Q11" i="1" l="1"/>
  <c r="W15" i="8"/>
  <c r="W17" i="8" l="1"/>
  <c r="Q13" i="1"/>
  <c r="U10" i="1"/>
  <c r="U13" i="1" s="1"/>
</calcChain>
</file>

<file path=xl/sharedStrings.xml><?xml version="1.0" encoding="utf-8"?>
<sst xmlns="http://schemas.openxmlformats.org/spreadsheetml/2006/main" count="1051" uniqueCount="610">
  <si>
    <t xml:space="preserve">OCORRÊNCIAS MENSAIS DO FATURAMENTO </t>
  </si>
  <si>
    <t>UTILIZAÇÃO DO GESTOR CONTRATUAL PARA REALIZAÇÃO DO FATURAMENTO MENSAL</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</si>
  <si>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</si>
  <si>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</si>
  <si>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</si>
  <si>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</si>
  <si>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</si>
  <si>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</si>
  <si>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</si>
  <si>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</si>
  <si>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</si>
  <si>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</si>
  <si>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</si>
  <si>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</si>
  <si>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</si>
  <si>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</si>
  <si>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</si>
  <si>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</si>
  <si>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</si>
  <si>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</si>
  <si>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</si>
  <si>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</si>
  <si>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</si>
  <si>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</si>
  <si>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</si>
  <si>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</si>
  <si>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</si>
  <si>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</si>
  <si>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</si>
  <si>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</si>
  <si>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</si>
  <si>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</si>
  <si>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</si>
  <si>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</si>
  <si>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</si>
  <si>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 xml:space="preserve">Elemento de Despesa </t>
  </si>
  <si>
    <t>VALOR DE RETENÇÃO CONTA VINCULADA</t>
  </si>
  <si>
    <t>CÓDIGOS ELEMENTO DE DESPESA</t>
  </si>
  <si>
    <t>FATURAMENTO MENSAL</t>
  </si>
  <si>
    <t>SIM</t>
  </si>
  <si>
    <t>ELEMENTO 1</t>
  </si>
  <si>
    <t>ELEMENTO 2</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</si>
  <si>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</si>
  <si>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</si>
  <si>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</si>
  <si>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</si>
  <si>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</si>
  <si>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</si>
  <si>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</si>
  <si>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</si>
  <si>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</si>
  <si>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</si>
  <si>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</si>
  <si>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GASTO MENSAL</t>
  </si>
  <si>
    <t>REFERÊNCIA MENSAL PARA FORNECIMENTO</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</si>
  <si>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</si>
  <si>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</si>
  <si>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</si>
  <si>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</si>
  <si>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</si>
  <si>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</si>
  <si>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</si>
  <si>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</si>
  <si>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</si>
  <si>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</si>
  <si>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</si>
  <si>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</si>
  <si>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</si>
  <si>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</si>
  <si>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</si>
  <si>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</si>
  <si>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</si>
  <si>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</si>
  <si>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</si>
  <si>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</si>
  <si>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</si>
  <si>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</si>
  <si>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</si>
  <si>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</si>
  <si>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Manhuaçu</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</si>
  <si>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</si>
  <si>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</si>
  <si>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</si>
  <si>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</si>
  <si>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</si>
  <si>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</si>
  <si>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</si>
  <si>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Os nomes das abas estarão abreviados para otimização da planilha.</t>
  </si>
  <si>
    <t>3.1</t>
  </si>
  <si>
    <t>Estas Abas estarão destacadas na Cor Amarela.</t>
  </si>
  <si>
    <t>3.2</t>
  </si>
  <si>
    <t>PREENCHIMENTO ABA "DADOS"</t>
  </si>
  <si>
    <t xml:space="preserve"> - Informar piso salarial de cada categoria, correspondente à jornada de 220h. (Células "E7":"E9").</t>
  </si>
  <si>
    <t xml:space="preserve"> - Informar o percentual de acúmulo de função a ser aplicado. (Célula "I8 e I9").</t>
  </si>
  <si>
    <t xml:space="preserve"> - Informar o salário base para cálculo da atividade acumulada. (Célula "K8 e K9").</t>
  </si>
  <si>
    <t xml:space="preserve"> - Informar os Dados da Apresentação da Proposta e relacionados à Convenção Coletiva de Trabalho. Tais informações não interferem na execução de cálculos, servem apenas para instruir o processo da análise da proposta. (Células "E12:E16").</t>
  </si>
  <si>
    <t xml:space="preserve"> - Informar o percentual correspondente ao RAT, conforme atividade principal da licitante. (Célula "G22").</t>
  </si>
  <si>
    <t xml:space="preserve"> - Informar o fator correspondente ao FAP, conforme extraído do relatório FapWeb. (Célula "G23").</t>
  </si>
  <si>
    <t xml:space="preserve"> - Informar o valor do salário mínimo nacional vigente (base de cálculo para a cotação de insalubridade). (Célula "G26").</t>
  </si>
  <si>
    <t xml:space="preserve"> - Informar o valor unitário do Seguro de Vida, nos casos exigidos, conforme legislação vigente. (Célula "G29").</t>
  </si>
  <si>
    <t xml:space="preserve"> - Informar o valor unitário do Programa de Assistência Familiar - PAF, nos casos exigidos, conforme legislação vigente. (Célula "G30").</t>
  </si>
  <si>
    <t xml:space="preserve"> - Informar o valor unitário da tarifa de transporte público vigente à data de apresentação da proposta, conforme legislação vigente. (Célula "G31").</t>
  </si>
  <si>
    <t xml:space="preserve"> - Informar o quantitativo unitário diário de tarifas de transporte público (ex.: 1 tarifa para ida e 1 tarifa para volta = Total de 2 tarifas). (Célula "G32").</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</si>
  <si>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</si>
  <si>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"G35").</t>
  </si>
  <si>
    <t xml:space="preserve"> - Informar o percentual de desconto à título de participação do trabalhador em relação ao fornecimento de Vale Alimentação, nos casos exigidos, conforme legislação vigente. (Célula "G37").</t>
  </si>
  <si>
    <t xml:space="preserve"> - Incluir outros custos não previstos previamente, bem como descrevê-los, em caso de previsão legal, devendo ser apresentadas justificativas para a inserção. (Células "B38" e "G38").</t>
  </si>
  <si>
    <t xml:space="preserve"> - Incluir outros custos não previstos previamente, bem como descrevê-los, em caso de previsão legal, devendo ser apresentadas justificativas para a inserção. (Células "B39" e "G39").</t>
  </si>
  <si>
    <t xml:space="preserve"> - Informar o percentual relativo às Despesas Administrativas da licitante. (Células "G42").</t>
  </si>
  <si>
    <t xml:space="preserve"> - Informar o percentual relativo ao Lucro da licitante. (Células "G43").</t>
  </si>
  <si>
    <t xml:space="preserve"> - Informar a opção tributária da licitante (Células "F49") conforme legislação vigente, OBSERVANDO as instruções contantes na Célula "B48".</t>
  </si>
  <si>
    <t xml:space="preserve"> - Informar o percentual da alíquota COFINS (Células "G50") conforme legislação vigente, OBSERVANDO as instruções contantes na Célula "B48".</t>
  </si>
  <si>
    <t xml:space="preserve"> - Informar o percentual da alíquota PIS/PASEP (Células "G51") conforme legislação vigente, OBSERVANDO as instruções contantes na Célula "B48".</t>
  </si>
  <si>
    <t xml:space="preserve"> - Informar o percentual da alíquota ISSQN (Células "G52") conforme legislação vigente, OBSERVANDO as instruções contantes na Célula "B48".</t>
  </si>
  <si>
    <t xml:space="preserve"> - Incluir outros impostos não inseridos previamente, bem como descrevê-los, em caso de previsão legal, devendo ser apresentadas justificativas para a inserção. (Células "B53" e "G53").</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</si>
  <si>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</si>
  <si>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</si>
  <si>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</si>
  <si>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</si>
  <si>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</si>
  <si>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</si>
  <si>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 xml:space="preserve"> - Informar os valores unitários de cada item nas células destacadas em amarelo dispostas na "Coluna F", de acordo com sua descrição "Colunas B:E".</t>
  </si>
  <si>
    <t xml:space="preserve"> - Atentar-se para o preenchimento de todos os quadros dispostos nesta Aba, sendo:</t>
  </si>
  <si>
    <t xml:space="preserve"> - O preenchimento das células da Coluna "H" está permitida somente para inserção de Observações, caso necessário.</t>
  </si>
  <si>
    <t>3.5</t>
  </si>
  <si>
    <t>PREENCHIMENTO ABA "EQUIPAMENTOS"</t>
  </si>
  <si>
    <t xml:space="preserve"> - Informar os valores unitários de cada item nas células destacadas em amarelo dispostas na "Coluna D", de acordo com sua descrição "Colunas B:C".</t>
  </si>
  <si>
    <t>3.6</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</si>
  <si>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</si>
  <si>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</si>
  <si>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 ABA "Especificações" que visam melhor entendimento dos itens de uniforme solicitados.</t>
  </si>
  <si>
    <t xml:space="preserve"> - Atentar-se às observações adicionais dispostas na ABA "Especificações", ao final do quadro com o detalhamento dos uniformes. </t>
  </si>
  <si>
    <t>4.</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</si>
  <si>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</si>
  <si>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</si>
  <si>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</si>
  <si>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</si>
  <si>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</si>
  <si>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</si>
  <si>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</si>
  <si>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5.1</t>
  </si>
  <si>
    <r>
      <rPr>
        <sz val="10"/>
        <rFont val="Calibri"/>
        <family val="2"/>
        <charset val="1"/>
      </rPr>
      <t xml:space="preserve">Para efeitos de lance/oferta, as licitantes devem considerar o valor da célula "W15", da Aba "Resumo", correspondente ao </t>
    </r>
    <r>
      <rPr>
        <b/>
        <sz val="10"/>
        <rFont val="Calibri"/>
        <family val="2"/>
        <charset val="1"/>
      </rPr>
      <t>VALOR MENSAL.</t>
    </r>
  </si>
  <si>
    <t>5.2</t>
  </si>
  <si>
    <t>Esta aba está destacada na Cor Azul.</t>
  </si>
  <si>
    <t>6.</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</si>
  <si>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</si>
  <si>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</si>
  <si>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</si>
  <si>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</si>
  <si>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ANEXO X - PLANILHA DE CUSTO E FORMAÇÃO DE PREÇO MENSAL ESTIMATIVO - PLANILHA DE DADOS</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</si>
  <si>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</si>
  <si>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</si>
  <si>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</si>
  <si>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</si>
  <si>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</si>
  <si>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</si>
  <si>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</si>
  <si>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</si>
  <si>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</si>
  <si>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</si>
  <si>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</si>
  <si>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</si>
  <si>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</si>
  <si>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Depreciação Rateada
(R$)</t>
  </si>
  <si>
    <t>CÓDIGO DE ELEMENTO DE DESPESA
(CONTROLE DA CONTRATANTE)</t>
  </si>
  <si>
    <t>RATEIO
INSUMOS</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</si>
  <si>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</si>
  <si>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</si>
  <si>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</si>
  <si>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</si>
  <si>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</si>
  <si>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Sindicato utilizado</t>
  </si>
  <si>
    <t>Informar o sindicato utilizado pela Licitante.</t>
  </si>
  <si>
    <t>Número de registro da CCT - Código MTE</t>
  </si>
  <si>
    <t>Vigência da CCT utilizada</t>
  </si>
  <si>
    <t>Data base da categoria</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</si>
  <si>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</si>
  <si>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</si>
  <si>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</si>
  <si>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</si>
  <si>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</si>
  <si>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</si>
  <si>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</si>
  <si>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</si>
  <si>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</si>
  <si>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SALÁRIO MINÍMO NACIONAL</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</si>
  <si>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</si>
  <si>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</si>
  <si>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</si>
  <si>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</si>
  <si>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</si>
  <si>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</si>
  <si>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</si>
  <si>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</si>
  <si>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</si>
  <si>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</si>
  <si>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</si>
  <si>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</si>
  <si>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</si>
  <si>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</si>
  <si>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</si>
  <si>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</si>
  <si>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</si>
  <si>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</si>
  <si>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</si>
  <si>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</si>
  <si>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</si>
  <si>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</si>
  <si>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</si>
  <si>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</si>
  <si>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</si>
  <si>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</si>
  <si>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r>
      <rPr>
        <sz val="11"/>
        <color rgb="FFFF0000"/>
        <rFont val="Calibri"/>
        <family val="2"/>
        <charset val="1"/>
      </rPr>
      <t>Informar opção tributária da Licitante</t>
    </r>
    <r>
      <rPr>
        <sz val="11"/>
        <rFont val="Calibri"/>
        <family val="2"/>
        <charset val="1"/>
      </rPr>
      <t>. Atentar-se às observações do "Montante D".</t>
    </r>
  </si>
  <si>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</si>
  <si>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</si>
  <si>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</si>
  <si>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</si>
  <si>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</si>
  <si>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</si>
  <si>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</si>
  <si>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UNIFORME</t>
  </si>
  <si>
    <t>1º REAJUSTE IPCA</t>
  </si>
  <si>
    <t>2º REAJUSTE IPCA</t>
  </si>
  <si>
    <t>3º REAJUSTE IPCA</t>
  </si>
  <si>
    <t>4º REAJUSTE IPCA</t>
  </si>
  <si>
    <t>5º REAJUSTE IPCA</t>
  </si>
  <si>
    <t>1º REAJUSTE POR IPCA</t>
  </si>
  <si>
    <t>2º REAJUSTE POR IPCA</t>
  </si>
  <si>
    <t>3º REAJUSTE POR IPCA</t>
  </si>
  <si>
    <t>4º REAJUSTE POR IPCA</t>
  </si>
  <si>
    <t>5º REAJUSTE POR IPCA</t>
  </si>
  <si>
    <t>Planilha de Encargos Sociais e Trabalhistas</t>
  </si>
  <si>
    <t>ANEXO X</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</si>
  <si>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</si>
  <si>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</si>
  <si>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</si>
  <si>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</si>
  <si>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</si>
  <si>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</si>
  <si>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</si>
  <si>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</si>
  <si>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</si>
  <si>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</si>
  <si>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</si>
  <si>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</si>
  <si>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</si>
  <si>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</si>
  <si>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</si>
  <si>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</si>
  <si>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</si>
  <si>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</si>
  <si>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</si>
  <si>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</si>
  <si>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</si>
  <si>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</si>
  <si>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</si>
  <si>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</si>
  <si>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</si>
  <si>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</si>
  <si>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</si>
  <si>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</si>
  <si>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</si>
  <si>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</si>
  <si>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</si>
  <si>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</si>
  <si>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</si>
  <si>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</si>
  <si>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</si>
  <si>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</si>
  <si>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</si>
  <si>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</si>
  <si>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</si>
  <si>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</si>
  <si>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</si>
  <si>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</si>
  <si>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</si>
  <si>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</si>
  <si>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</si>
  <si>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</si>
  <si>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</si>
  <si>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</si>
  <si>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</si>
  <si>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</si>
  <si>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</si>
  <si>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</si>
  <si>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</si>
  <si>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</si>
  <si>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</si>
  <si>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</si>
  <si>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</si>
  <si>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</si>
  <si>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</si>
  <si>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</si>
  <si>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</si>
  <si>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</si>
  <si>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</si>
  <si>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</si>
  <si>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</si>
  <si>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</si>
  <si>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</si>
  <si>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</si>
  <si>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</si>
  <si>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</si>
  <si>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</si>
  <si>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</si>
  <si>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</si>
  <si>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</si>
  <si>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ANEXO X - CUSTO ESTIMATIVO DE PREÇOS DE EQUIPAMENTOS</t>
  </si>
  <si>
    <t>INSTRUÇÕES DE PREENCHIMENTO - Informar/Alterar somente as células destacadas na Cor Amarela, de acordo com o valor unitário da Licitante.</t>
  </si>
  <si>
    <t>Valores em R$</t>
  </si>
  <si>
    <t>Item</t>
  </si>
  <si>
    <t>Especificação</t>
  </si>
  <si>
    <t>Quant.</t>
  </si>
  <si>
    <t>Valor Unitário</t>
  </si>
  <si>
    <t>Valor Total</t>
  </si>
  <si>
    <t>Depreciação 10% ao Ano</t>
  </si>
  <si>
    <t>Repasse Mensal</t>
  </si>
  <si>
    <t xml:space="preserve">RELAÇÃO DE MÁQUINAS E EQUIPAMENTOS SERVENTE </t>
  </si>
  <si>
    <t xml:space="preserve">Carrinho para enrolar mangueira de 100 m </t>
  </si>
  <si>
    <t xml:space="preserve">Carrinho funcional de limpeza cinza com bolsa em lona amarela </t>
  </si>
  <si>
    <t xml:space="preserve">Aspirador de pó e líquidos Marca/Modelo referência: WAP GT Profi 20 L 1400w </t>
  </si>
  <si>
    <t xml:space="preserve">Lavadora de alta pressão KARSHER K 4.450 </t>
  </si>
  <si>
    <t xml:space="preserve">Total da Depreciação de Máquinas e Equipamentos de Servente </t>
  </si>
  <si>
    <t>RELAÇÃO DE MÁQUINAS E EQUIPAMENTOS ZELADOR</t>
  </si>
  <si>
    <t xml:space="preserve">Escada aluminio cavalete - 07 degraus </t>
  </si>
  <si>
    <t>Total da Depreciação de Máquinas e Equipamentos de Zelador</t>
  </si>
  <si>
    <t>VALORES UNITÁRIOS DO CONTRATO, CORRIGIDOS PELO REAJUSTE DE IPCA.</t>
  </si>
  <si>
    <t>OBSERVAÇÕES</t>
  </si>
  <si>
    <t>REFERÊNCIA</t>
  </si>
  <si>
    <t>Quantidade</t>
  </si>
  <si>
    <t>Preço Unitário</t>
  </si>
  <si>
    <t>VALOR INICIAL DO CONTRATO
(Informar após o término da licitação)</t>
  </si>
  <si>
    <t>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</si>
  <si>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Galão</t>
  </si>
  <si>
    <t>Trimestral</t>
  </si>
  <si>
    <t>Álcool Líquido 5 Litros: Etilico Hidratado, para limpeza em geral, teor alcoolico 70 inpm. Aprovação Anvisa; Produto devera estar de acordo com legislacao vigente</t>
  </si>
  <si>
    <t>Bimestral</t>
  </si>
  <si>
    <t>Balde plástico em polietileno de alta densidade, alta resistência a impacto, com paredes e fundo reforçados, com reforço no encaixe da alça de aço zincado constando no corpo a marcado fabricante, capacidade de 20 litros.</t>
  </si>
  <si>
    <t>CHEFF Clorado diluído p/ vaso sanitário 5L</t>
  </si>
  <si>
    <t>Mensal</t>
  </si>
  <si>
    <t>Cloro liquido concentrado com teor ativo de no minimo 10 a 12% para limpeza pesada embalagem com 5 litros</t>
  </si>
  <si>
    <t>Desinfetante concentrado 1x25 - flagrância Floral 5L</t>
  </si>
  <si>
    <t>Desorisador de ar aerosol (Bom ar ou Similar)</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</si>
  <si>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</si>
  <si>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Escova para lavar multiuso, oval, base plástica e cerdas de nylon.</t>
  </si>
  <si>
    <t>Esponja Para Lavagem De Louças E Limpeza Em Geral, Dupla Face Sintética, Um Lado Em Espuma Poliuretano E Outro Em Fibra Sintética Abrasiva, Antibacteriana, Formato Retangular, Medindo Aproximadamente 110mm X 75mm X 20mm De Espessura. Pacote com 4 unidades.</t>
  </si>
  <si>
    <t>Extensão elétrica 30 metros 3 tomada 20a cabo pp2x1,5mm reforçada, 2 cabos de som 10m para ligar as caixas xlr/p10, 2cabos xlr para microfones sem fio (especificações mínima)</t>
  </si>
  <si>
    <t>Anual</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</si>
  <si>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</si>
  <si>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Limpa vidro 500ml (Veja ou similar)</t>
  </si>
  <si>
    <t>Esponja de LÃ DE AÇO, composição básica: aço carbono abrasivo, p/ limpeza em geral, acondicionada em embalagem plástica original do fabricante, peso líquido aproximado de 60g, pacote c/ 08 unidades.</t>
  </si>
  <si>
    <t>Pacote</t>
  </si>
  <si>
    <t>Limpa metal 200 ml Kaol ou similar</t>
  </si>
  <si>
    <t>Multiuso limpeza pesada 500ml - composição: alquil benzeno sulfonato de sódio, solvente, coadjuvantes, conservante, sequestrante, corante, fragrância e água. tensoativo biodegradável. frascos de 500 ml de produto (marca de referência: veja).</t>
  </si>
  <si>
    <t>Veja ou similar</t>
  </si>
  <si>
    <t>Lustra Móveis, Embalagem de 200 ml, Emulsão aquosa cremosa, perfumada, para aplicação em móveis e superfícies
lisas. aromas diversos. frasco plástico de 200ml com bico econômico. embalagem certificada pelo INMETRO contendo data de fabricação, validade.</t>
  </si>
  <si>
    <t>Polifor ou similar</t>
  </si>
  <si>
    <t>Luva Segurança Com Forro. Material: 100% Látex Nitrílico , Tamanho: M ou G ,Aplicação: Manuseio Reagente Químico E Radioativo , Características Adicionais: Com Forro, Sem Talco, Pulso Com Bainha , Modelo: Palma Antiderrapante , Cor: Verde ,Tipo: Ambidestra</t>
  </si>
  <si>
    <t>Par</t>
  </si>
  <si>
    <t>Mangueira reforçada 1/2", anti torção - 100 m</t>
  </si>
  <si>
    <t>Multiuso - 500 ml Veja ou similar</t>
  </si>
  <si>
    <t>Pá p/ lixo em plástico resistente c/ cabo de madeira de 60cm de altura na vertical.</t>
  </si>
  <si>
    <t>Papel higiênico branco, folha dupla, de alta qualidade, com dimensões 10cm X 30m, com a marca do fabricante e indicação na embalagem, absorvente e resistente, fardo com 64 rolos de 30 metros. Tipo Neve ou de melhor qualidade.</t>
  </si>
  <si>
    <t>Fardo</t>
  </si>
  <si>
    <t>Papel Toalha Interfolhado, 2 dobras, 100% fibras celulósicas, branco extra luxo, sem pintas ou outros tipos de sujidades, boa qualidade , medindo aproximadamente 22cm x 20,7 cm , acondicionado em caixa c/1000 folhas.</t>
  </si>
  <si>
    <t>Economy ou Similar</t>
  </si>
  <si>
    <t>Pedra sanitária c/ 25g - com suporte para fixar no vaso sanitário. Desinfetante sanitário em pedra 25 g</t>
  </si>
  <si>
    <t>Rodo Plástico e borracha dupla expandida de 40cm de largura, acompanha cabo de madeira plastificado de aproximadamente 1,26m, com garras pontiagudas nas laterais para melhor fixar panos de chão.</t>
  </si>
  <si>
    <t>Rodo Plástico e borracha dupla expandida de 60cm, resistente e durável, que puxa e seca a água, feita em EVA e cepo em polipropileno com garras pontiagudas nas laterais para melhor fixar panos de chão.</t>
  </si>
  <si>
    <t>Sabão em barra glicerinado - cor neutra. Pacote com 5 de 200g cada unidade</t>
  </si>
  <si>
    <t>pacote</t>
  </si>
  <si>
    <t>Sabão em pó 2 Kg. Sabão em pó, convencional, de primeira linha. Para lavar roupas e limpeza em geral.</t>
  </si>
  <si>
    <t>Sabonete líquido Concentrado, cremoso perolizado, pronto pra uso, aroma erva-doce, lavanda ou similar, galão de 05 litros.</t>
  </si>
  <si>
    <t>Saco de Algodão Tipo: Alvejado, Tamanho: 60 X 80 CM, Cor: Branco, Características Adicionais: Dupla Face</t>
  </si>
  <si>
    <t>Saco plástico reforçado para lixo em polietileno, com capacidade de 100 litros, com estanqueidade suficiente para que não haja vazamento de lixo líquido. com espessura mínima de 10 micra, na cor preta. Pacote com 100 unidades.</t>
  </si>
  <si>
    <t>Cento</t>
  </si>
  <si>
    <t>Saco plástico reforçado para lixo em polietileno, com capacidade de 20 litros, com estanqueidade suficiente para que não haja vazamento de lixo líquido. com espessura mínima de 09 micra, na cor preta. Pacote com 100 unidades.</t>
  </si>
  <si>
    <t>Sapólio líquido 300 ml</t>
  </si>
  <si>
    <t>Radium ou similar</t>
  </si>
  <si>
    <t>Vassoura limpa teto, com cerdas macias de sisal e cabo de madeira de 2,70 metros. Ideal para uso na limpeza de locais de difícil acesso.</t>
  </si>
  <si>
    <t>Semestral</t>
  </si>
  <si>
    <t>Vassoura Material Cerdas: Pêlo Sintético, Comprimento Cepa: 40 CM, Tipo Cabo: Reforçado, Material Cabo: Madeira, Cabo de 1,2m</t>
  </si>
  <si>
    <t>Vassoura Material Cerdas: Piaçava, Aplicação: Limpeza, Material Cepa: Madeira, Comprimento Cepa: 40 CM, Comprimento Cerdas: 13 CM, Largura Cepa: 5 CM, Altura Cepa: 4 CM, Material Cabo: Madeira cabo de 1,2m</t>
  </si>
  <si>
    <t>Escova Sanitária Redonda em plástico Branco contendo 01 escova para vaso sanitário e 01 suporte redondo: Branco Tamanho: 14 x 42 cm</t>
  </si>
  <si>
    <t>Marca de Referência</t>
  </si>
  <si>
    <t>PREÇO UNITÁRIO</t>
  </si>
  <si>
    <t>unid.</t>
  </si>
  <si>
    <t>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</si>
  <si>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unid</t>
  </si>
  <si>
    <t>galão</t>
  </si>
  <si>
    <t>Coador de Café. Especificação: Em pano 100% algodão, Café n°102, cabo 16 cm de comprimento feito de arame de aço galvanizado revestido com PVC. O rótulo do produto deve estampar o nome do fabricante.</t>
  </si>
  <si>
    <t>Betamin ou similar</t>
  </si>
  <si>
    <t>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t>
  </si>
  <si>
    <t>par</t>
  </si>
  <si>
    <t>Multiuso - 500 ml</t>
  </si>
  <si>
    <t>Pá para lixo, material: plástico com cabo, material cabo: madeira, comprimento cabo: 60cm, tamanho:24x16,5x7cm</t>
  </si>
  <si>
    <t>Pano de copa aberto 100% dimensões mínimas 40x60cm - Branco</t>
  </si>
  <si>
    <t>OMO ou Similar</t>
  </si>
  <si>
    <t>cento</t>
  </si>
  <si>
    <t>Sapólio liquido 300 ml</t>
  </si>
  <si>
    <t>ANEXO X - CUSTO ESTIMATIVO DE PREÇOS DOS UNIFORMES</t>
  </si>
  <si>
    <t>Serviços de Limpeza e Conservação</t>
  </si>
  <si>
    <t>CATEGORIA</t>
  </si>
  <si>
    <t>QUANT.</t>
  </si>
  <si>
    <t>DESCRIÇÃO DE UNIFORME</t>
  </si>
  <si>
    <t>CORES</t>
  </si>
  <si>
    <t>TOTAL DO
 QUANTITATIVO</t>
  </si>
  <si>
    <t xml:space="preserve">Servente </t>
  </si>
  <si>
    <t>Calça</t>
  </si>
  <si>
    <t>Tecido bi-stretch, gabardine, 100%, poliéster, elástico na cintura, reta, com 2 bolsos, tamanhos PP, P, M, G, GG e EX</t>
  </si>
  <si>
    <t>Azul Marinho</t>
  </si>
  <si>
    <t>Camisa</t>
  </si>
  <si>
    <t>Malha PV ou similar, reta, gola careca ou redonda, 88% poliamida e 12% elastano</t>
  </si>
  <si>
    <t>Beje ou creme</t>
  </si>
  <si>
    <t>TOTAL DE POSTOS</t>
  </si>
  <si>
    <t>Calçado</t>
  </si>
  <si>
    <t>Botina de segurança, em couro, sem ponteira e confortável, atendendo as exigências das Normas de Segurança do Trabalho</t>
  </si>
  <si>
    <t>Preta</t>
  </si>
  <si>
    <t>Bota</t>
  </si>
  <si>
    <t>Bota em PVC, atendendo as Normas de Segurança do Trabalho vigentes</t>
  </si>
  <si>
    <t>Soma</t>
  </si>
  <si>
    <t xml:space="preserve">CÁLCULO VALOR DO REPASSE MENSAL SERVENTE DE LIMPEZA </t>
  </si>
  <si>
    <r>
      <rPr>
        <b/>
        <sz val="10"/>
        <rFont val="Calibri"/>
        <family val="2"/>
        <charset val="1"/>
      </rPr>
      <t xml:space="preserve">Copeira
</t>
    </r>
    <r>
      <rPr>
        <sz val="10"/>
        <rFont val="Calibri"/>
        <family val="2"/>
        <charset val="1"/>
      </rPr>
      <t xml:space="preserve">
TOTAL DE POSTOS</t>
    </r>
  </si>
  <si>
    <t>Avental</t>
  </si>
  <si>
    <t>Avental bi-stretch, com peitilho, resistente, comprido</t>
  </si>
  <si>
    <t>Branco</t>
  </si>
  <si>
    <t>Touca</t>
  </si>
  <si>
    <t>Touca protetora tecido e tela, lavável</t>
  </si>
  <si>
    <t>CÁLCULO VALOR DO REPASSE MENSAL ACÚMULO FUNÇÃO COPEIRA</t>
  </si>
  <si>
    <t>Assistente Administrativo acúmulo função Zelador</t>
  </si>
  <si>
    <t>Calça jeans com 2 bolsos na frente e 2 bolsos externos atrás, com passador para cinto, fechamento em ziper e botão. Calça modelo em corte reto tradicional, confeccionada em jeans com elastano, sendo, no mínimo 97% algodão e 3% elastano. Frente com 2 bolsos embutidos e zíper de metal com um botão no cós para fechamento. Parte de trás com dois bolsos. Cós total no próprio tecido com 5 (cinco) passadores de cinto</t>
  </si>
  <si>
    <t>Camisa Polo - Material: Piquet | Tipo Manga: Meia Manga | Tipo Colarinho: Gola Polo | Cor: Cinza Claro | Tamanho: P, M, G, GG. Confeccionada em malha Piquet ou similar, sendo 50% poliéster e 50% algodão, em tecido não transparente com gramatura entre 190 a 220g/m².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t>
  </si>
  <si>
    <t>Cinza Claro</t>
  </si>
  <si>
    <t>Jaleco</t>
  </si>
  <si>
    <t>Modelo em brim, confeccionado preferencialmente em 100% algodão. Gola modelo italiana. fechamento em botão. Frente com 3 (três) bolsos, sendo um na altura do peito e dois na altura da cintura. Botões e aviamentos na cor do tecido. Logotipo da empresa bordado</t>
  </si>
  <si>
    <t>Cinza Grafitte</t>
  </si>
  <si>
    <t>Tênis Maleável, Olympikus, Glass ou similar</t>
  </si>
  <si>
    <t>CÁLCULO VALOR DO REPASSE MENSAL ASSISTENTE ADMINISTRATIVO ACÚMULO FUNÇÃO ZELADOR</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</si>
  <si>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</si>
  <si>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</si>
  <si>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</si>
  <si>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</si>
  <si>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</si>
  <si>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</si>
  <si>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</si>
  <si>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</si>
  <si>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</si>
  <si>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</si>
  <si>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</si>
  <si>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</si>
  <si>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</si>
  <si>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</si>
  <si>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</si>
  <si>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</si>
  <si>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</si>
  <si>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</si>
  <si>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</si>
  <si>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</si>
  <si>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</si>
  <si>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</si>
  <si>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</si>
  <si>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</si>
  <si>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</si>
  <si>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</si>
  <si>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</si>
  <si>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</si>
  <si>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</si>
  <si>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</si>
  <si>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</si>
  <si>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</si>
  <si>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3339037-02</t>
  </si>
  <si>
    <t>3339037-01</t>
  </si>
  <si>
    <t xml:space="preserve">TOTAL DO FATURAMENTO MENSAL </t>
  </si>
  <si>
    <t>Valor para Lance - Registro de oferta</t>
  </si>
  <si>
    <t>TOTAL DO FATURAMENTO ANUAL</t>
  </si>
  <si>
    <t>2. Na célula “R12” deverá ser informado a quantidade de dias em que o trabalho insalubre foi realizado por outra servente do quadro, durante as férias da titular.</t>
  </si>
  <si>
    <t>Planilha de Custo e Formação de Preço Mensal Por Categoria Profissional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</si>
  <si>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</si>
  <si>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</si>
  <si>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</si>
  <si>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</si>
  <si>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</si>
  <si>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</si>
  <si>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</si>
  <si>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</si>
  <si>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</si>
  <si>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</si>
  <si>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</si>
  <si>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</si>
  <si>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</si>
  <si>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</si>
  <si>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</si>
  <si>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Unitarios</t>
  </si>
  <si>
    <t>Uniforme</t>
  </si>
  <si>
    <t xml:space="preserve">Seguro de vida  </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</si>
  <si>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</si>
  <si>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</si>
  <si>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</si>
  <si>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</si>
  <si>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</si>
  <si>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</si>
  <si>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</si>
  <si>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</si>
  <si>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</si>
  <si>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</si>
  <si>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</si>
  <si>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</si>
  <si>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</si>
  <si>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</si>
  <si>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33390.37.01 - Serviço Administrativo</t>
  </si>
  <si>
    <t xml:space="preserve">ANEXO X - PLANILHA DE CUSTO E FORMAÇÃO DE PREÇO MENSAL ESTIMATIVO DO PROFISSIONAL SUBSTITUTO DO TITULAR EM FÉRIAS </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</si>
  <si>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</si>
  <si>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</si>
  <si>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</si>
  <si>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</si>
  <si>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</si>
  <si>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</si>
  <si>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</si>
  <si>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</si>
  <si>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</si>
  <si>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</si>
  <si>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</si>
  <si>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</si>
  <si>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</si>
  <si>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</si>
  <si>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</si>
  <si>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</si>
  <si>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</si>
  <si>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</si>
  <si>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</si>
  <si>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</si>
  <si>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</si>
  <si>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</si>
  <si>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</si>
  <si>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</si>
  <si>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</si>
  <si>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</si>
  <si>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</si>
  <si>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</si>
  <si>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</si>
  <si>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</si>
  <si>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</si>
  <si>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</si>
  <si>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</si>
  <si>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</si>
  <si>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Subseção Judiciária de Sete Lagoas</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</si>
  <si>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</si>
  <si>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</si>
  <si>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</si>
  <si>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</si>
  <si>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</si>
  <si>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</si>
  <si>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</si>
  <si>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</si>
  <si>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</si>
  <si>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</si>
  <si>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</si>
  <si>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</si>
  <si>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</si>
  <si>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</si>
  <si>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</si>
  <si>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</si>
  <si>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</si>
  <si>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</si>
  <si>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</si>
  <si>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</si>
  <si>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</si>
  <si>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</si>
  <si>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</si>
  <si>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COM INSUMO</t>
  </si>
  <si>
    <t>SEM INSUMO</t>
  </si>
  <si>
    <t>Insumo de Limpeza</t>
  </si>
  <si>
    <t>Insumo de Copa</t>
  </si>
  <si>
    <t>ANEXO X - CUSTO ESTIMATIVO DE INSUMOS DE COPA</t>
  </si>
  <si>
    <t>DESCRIÇÃO DO INSUMO</t>
  </si>
  <si>
    <t>Insumo</t>
  </si>
  <si>
    <t>ANEXO X - CUSTO ESTIMATIVO DE INSUMOS DE LIMPEZA</t>
  </si>
  <si>
    <t>PREENCHIMENTO ABA "INSUMOS"</t>
  </si>
  <si>
    <t xml:space="preserve"> - Insumos de Limpeza (Células "F9:F45)</t>
  </si>
  <si>
    <t xml:space="preserve"> - Insumos de Copa (Células "F52:72)</t>
  </si>
  <si>
    <t>Informar código de elemento de despesa
(Coluna "R")</t>
  </si>
  <si>
    <t>Informar data da proposta comercial.</t>
  </si>
  <si>
    <t>Dias de ausência
(Coluna "J")</t>
  </si>
  <si>
    <t>DESCRIÇÃO DO INSUMO DE IMPEZA
SERVENTES DE LIMPEZA</t>
  </si>
  <si>
    <t>VALOR TOTAL COM INSUMOS DE LIMPEZA</t>
  </si>
  <si>
    <t>INSUMOS DE COPA</t>
  </si>
  <si>
    <t>Insumos</t>
  </si>
  <si>
    <t>VALOR TOTAL COM INSUMOS DE COPA</t>
  </si>
  <si>
    <r>
      <t xml:space="preserve">ANÁLISE CRÍTICA </t>
    </r>
    <r>
      <rPr>
        <b/>
        <sz val="10"/>
        <rFont val="Calibri"/>
        <family val="2"/>
        <charset val="1"/>
      </rPr>
      <t>SOBRE O FORNECIMENTO DOS INSUMOS
ESTIMATIVA MENSAL x FORNECIMENTO EFETIVO
(INFORMAÇÃO COMO PARÂMETRO DE INDICATIVO)</t>
    </r>
  </si>
  <si>
    <t>As Abas necessárias para o preenchimento estão organizadas em uma sequência lógica, sendo Dados; Encargos; Insumos (limpeza, copa e limpeza de veículos); Equipamentos; Uniforme.</t>
  </si>
  <si>
    <r>
      <t xml:space="preserve">Sugere-se o preenchimento das seguintes abas em sequência: </t>
    </r>
    <r>
      <rPr>
        <sz val="10"/>
        <rFont val="Calibri"/>
        <family val="2"/>
        <charset val="1"/>
      </rPr>
      <t>Dados, Encargos, Insumos, Equipamentos e Uniforme, para a realização de cálculos completa da planilha de composição de custos.</t>
    </r>
  </si>
  <si>
    <t>Insumo de Copa Rateado
(R$)</t>
  </si>
  <si>
    <t>Insumo de Limpeza Rateado
(R$)</t>
  </si>
  <si>
    <t>Informar o número de registro da Convenção Coletiva de Tralbalho junto ao Ministério do Trabalho e Emprego.</t>
  </si>
  <si>
    <t>Informar a data base da Convenção Coletiva de Trabalho.</t>
  </si>
  <si>
    <t>Informar a vigência da Convenção Coletiva de Trabalho.</t>
  </si>
  <si>
    <t>GLOSA DE ATRASOS, FALTAS E DESCONTO DO TITULAR EM FÉRIAS (sem insumos)</t>
  </si>
  <si>
    <t>Custo Homem-Mês               (sem insumos)</t>
  </si>
  <si>
    <t>VALOR DOS INSUMOS</t>
  </si>
  <si>
    <t>N°de Postos para Rateio</t>
  </si>
  <si>
    <t>Valor por Posto</t>
  </si>
  <si>
    <t>Servente de Limpeza com Adicional de Insalubridade (40%)</t>
  </si>
  <si>
    <t xml:space="preserve">Servente de Limpeza acúmulo de função Copeira </t>
  </si>
  <si>
    <t>Assistente Administrativo acúmulo de função Zelador</t>
  </si>
  <si>
    <t>LUCRO PRESUMIDO</t>
  </si>
  <si>
    <t>MG001237/2025</t>
  </si>
  <si>
    <t>SINSERHT X SINTEAC</t>
  </si>
  <si>
    <t>01/01/2026 a 31/12/2026</t>
  </si>
  <si>
    <t>01º de Janeiro</t>
  </si>
  <si>
    <t>BENEFÍCIO DE ASSISTÊNCIA À SAÚDE DO TRABALHADOR
(BAST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</si>
</sst>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 &quot;* #,##0.00_-;&quot;-R$ &quot;* #,##0.00_-;_-&quot;R$ &quot;* \-??_-;_-@_-"/>
    <numFmt numFmtId="165" formatCode="_(* #,##0.00_);_(* \(#,##0.00\);_(* \-??_);_(@_)"/>
    <numFmt numFmtId="166" formatCode="_-* #,##0.00_-;\-* #,##0.00_-;_-* \-??_-;_-@_-"/>
    <numFmt numFmtId="167" formatCode="#,##0_ ;\-#,##0\ "/>
    <numFmt numFmtId="168" formatCode="d/m/yyyy"/>
    <numFmt numFmtId="169" formatCode="0.0000"/>
    <numFmt numFmtId="170" formatCode="* #,##0.00\ ;* \(#,##0.00\);* \-#\ ;@\ "/>
  </numFmts>
  <fonts count="47" x14ac:knownFonts="1">
    <font>
      <sz val="11"/>
      <color rgb="FF000000"/>
      <name val="Calibri"/>
      <family val="2"/>
      <charset val="1"/>
    </font>
    <font>
      <sz val="10"/>
      <name val="Arial"/>
      <family val="2"/>
      <charset val="1"/>
    </font>
    <font>
      <sz val="10"/>
      <name val="Times New Roman"/>
      <family val="1"/>
      <charset val="1"/>
    </font>
    <font>
      <sz val="11"/>
      <color rgb="FF333333"/>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sz val="10"/>
      <color theme="1"/>
      <name val="Calibri"/>
      <family val="2"/>
      <charset val="1"/>
    </font>
    <font>
      <i/>
      <sz val="11"/>
      <color rgb="FF339966"/>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sz val="10"/>
      <color rgb="FF000000"/>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12"/>
      <color rgb="FFBFBFBF"/>
      <name val="Calibri"/>
      <family val="2"/>
      <charset val="1"/>
    </font>
    <font>
      <b/>
      <sz val="13"/>
      <name val="Calibri"/>
      <family val="2"/>
      <charset val="1"/>
    </font>
    <font>
      <b/>
      <sz val="6"/>
      <name val="Calibri"/>
      <family val="2"/>
      <charset val="1"/>
    </font>
    <font>
      <b/>
      <sz val="10"/>
      <color rgb="FFC00000"/>
      <name val="Calibri"/>
      <family val="2"/>
      <charset val="1"/>
    </font>
    <font>
      <sz val="10"/>
      <color rgb="FFC00000"/>
      <name val="Calibri"/>
      <family val="2"/>
      <charset val="1"/>
    </font>
    <font>
      <b/>
      <sz val="12"/>
      <color rgb="FFCCFFCC"/>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s>
  <fills count="20">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2CC"/>
      </patternFill>
    </fill>
    <fill>
      <patternFill patternType="solid">
        <fgColor rgb="FFDCE6F2"/>
        <bgColor rgb="FFDEEBF7"/>
      </patternFill>
    </fill>
    <fill>
      <patternFill patternType="solid">
        <fgColor rgb="FFF2DCDB"/>
        <bgColor rgb="FFD9D9D9"/>
      </patternFill>
    </fill>
    <fill>
      <patternFill patternType="solid">
        <fgColor rgb="FF606060"/>
        <bgColor rgb="FF808080"/>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00B0F0"/>
        <bgColor rgb="FF33CCCC"/>
      </patternFill>
    </fill>
    <fill>
      <patternFill patternType="solid">
        <fgColor rgb="FF808080"/>
        <bgColor rgb="FF606060"/>
      </patternFill>
    </fill>
    <fill>
      <patternFill patternType="solid">
        <fgColor theme="0" tint="-0.249977111117893"/>
        <bgColor rgb="FFDEEBF7"/>
      </patternFill>
    </fill>
  </fills>
  <borders count="72">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right style="thin">
        <color auto="1"/>
      </right>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bottom style="medium">
        <color auto="1"/>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medium">
        <color auto="1"/>
      </left>
      <right/>
      <top style="thin">
        <color auto="1"/>
      </top>
      <bottom style="medium">
        <color auto="1"/>
      </bottom>
      <diagonal/>
    </border>
    <border>
      <left/>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diagonal/>
    </border>
  </borders>
  <cellStyleXfs count="30">
    <xf numFmtId="0" fontId="0" fillId="0" borderId="0"/>
    <xf numFmtId="166" fontId="46" fillId="0" borderId="0" applyBorder="0" applyProtection="0"/>
    <xf numFmtId="164" fontId="46" fillId="0" borderId="0" applyBorder="0" applyProtection="0"/>
    <xf numFmtId="9" fontId="46" fillId="0" borderId="0" applyBorder="0" applyProtection="0"/>
    <xf numFmtId="164" fontId="1" fillId="0" borderId="0" applyBorder="0" applyProtection="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6" fillId="0" borderId="0" applyBorder="0" applyProtection="0"/>
    <xf numFmtId="9" fontId="1" fillId="0" borderId="0" applyBorder="0" applyProtection="0"/>
    <xf numFmtId="9" fontId="1" fillId="0" borderId="0" applyBorder="0" applyProtection="0"/>
    <xf numFmtId="9" fontId="2"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6" fontId="2" fillId="0" borderId="0" applyBorder="0" applyProtection="0"/>
    <xf numFmtId="165" fontId="1" fillId="0" borderId="0" applyBorder="0" applyProtection="0"/>
    <xf numFmtId="166" fontId="3" fillId="0" borderId="0" applyBorder="0" applyProtection="0"/>
    <xf numFmtId="165" fontId="2" fillId="0" borderId="0" applyBorder="0" applyProtection="0"/>
    <xf numFmtId="0" fontId="20" fillId="0" borderId="0" applyBorder="0" applyProtection="0"/>
    <xf numFmtId="170" fontId="2" fillId="0" borderId="0" applyBorder="0" applyProtection="0"/>
  </cellStyleXfs>
  <cellXfs count="753">
    <xf numFmtId="0" fontId="0" fillId="0" borderId="0" xfId="0"/>
    <xf numFmtId="0" fontId="4" fillId="0" borderId="0" xfId="6" applyFont="1"/>
    <xf numFmtId="0" fontId="4" fillId="0" borderId="0" xfId="6" applyFont="1" applyAlignment="1">
      <alignment horizontal="center"/>
    </xf>
    <xf numFmtId="0" fontId="4" fillId="0" borderId="0" xfId="6" applyFont="1" applyAlignment="1">
      <alignment horizontal="center" vertical="center"/>
    </xf>
    <xf numFmtId="0" fontId="4" fillId="0" borderId="1" xfId="6" applyFont="1" applyBorder="1"/>
    <xf numFmtId="0" fontId="5" fillId="0" borderId="2" xfId="0" applyFont="1" applyBorder="1" applyAlignment="1">
      <alignment horizontal="left" vertical="center"/>
    </xf>
    <xf numFmtId="0" fontId="6" fillId="0" borderId="0" xfId="6" applyFont="1" applyAlignment="1">
      <alignment vertical="center"/>
    </xf>
    <xf numFmtId="0" fontId="4" fillId="0" borderId="3" xfId="6" applyFont="1" applyBorder="1" applyAlignment="1">
      <alignment vertical="top"/>
    </xf>
    <xf numFmtId="0" fontId="5" fillId="0" borderId="0" xfId="0" applyFont="1" applyAlignment="1">
      <alignment horizontal="left" vertical="center"/>
    </xf>
    <xf numFmtId="0" fontId="6" fillId="0" borderId="0" xfId="6" applyFont="1" applyAlignment="1">
      <alignment vertical="top"/>
    </xf>
    <xf numFmtId="0" fontId="4" fillId="0" borderId="0" xfId="6" applyFont="1" applyAlignment="1">
      <alignment vertical="top"/>
    </xf>
    <xf numFmtId="0" fontId="5" fillId="0" borderId="0" xfId="0" applyFont="1" applyAlignment="1">
      <alignment horizontal="left" vertical="top"/>
    </xf>
    <xf numFmtId="0" fontId="8" fillId="2" borderId="4" xfId="6" applyFont="1" applyFill="1" applyBorder="1" applyAlignment="1">
      <alignment horizontal="center" vertical="center" wrapText="1"/>
    </xf>
    <xf numFmtId="0" fontId="4" fillId="0" borderId="0" xfId="6" applyFont="1" applyAlignment="1">
      <alignment horizontal="left" vertical="center"/>
    </xf>
    <xf numFmtId="0" fontId="6" fillId="0" borderId="0" xfId="6" applyFont="1" applyAlignment="1">
      <alignment horizontal="center" vertical="center" wrapText="1"/>
    </xf>
    <xf numFmtId="0" fontId="9" fillId="0" borderId="0" xfId="6" applyFont="1" applyAlignment="1">
      <alignment vertical="center" wrapText="1"/>
    </xf>
    <xf numFmtId="0" fontId="9" fillId="0" borderId="0" xfId="6" applyFont="1" applyAlignment="1">
      <alignment vertical="center"/>
    </xf>
    <xf numFmtId="0" fontId="9" fillId="0" borderId="0" xfId="6" applyFont="1" applyAlignment="1">
      <alignment horizontal="center" vertical="center"/>
    </xf>
    <xf numFmtId="0" fontId="4" fillId="0" borderId="4" xfId="6" applyFont="1" applyBorder="1" applyAlignment="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12" xfId="25" applyNumberFormat="1" applyFont="1" applyFill="1" applyBorder="1" applyAlignment="1" applyProtection="1">
      <alignment horizontal="center" vertical="center" wrapText="1"/>
    </xf>
    <xf numFmtId="0" fontId="10" fillId="5" borderId="13" xfId="25" applyNumberFormat="1" applyFont="1" applyFill="1" applyBorder="1" applyAlignment="1" applyProtection="1">
      <alignment horizontal="center" vertical="center" wrapText="1"/>
    </xf>
    <xf numFmtId="0" fontId="10" fillId="5" borderId="14" xfId="25" applyNumberFormat="1" applyFont="1" applyFill="1" applyBorder="1" applyAlignment="1" applyProtection="1">
      <alignment horizontal="center" vertical="center" wrapText="1"/>
    </xf>
    <xf numFmtId="0" fontId="10" fillId="5" borderId="15" xfId="25" applyNumberFormat="1" applyFont="1" applyFill="1" applyBorder="1" applyAlignment="1" applyProtection="1">
      <alignment horizontal="center" vertical="center" wrapText="1"/>
    </xf>
    <xf numFmtId="0" fontId="10" fillId="5" borderId="16" xfId="25" applyNumberFormat="1" applyFont="1" applyFill="1" applyBorder="1" applyAlignment="1" applyProtection="1">
      <alignment horizontal="center" vertical="center" wrapText="1"/>
    </xf>
    <xf numFmtId="1" fontId="12" fillId="0" borderId="17" xfId="6" applyNumberFormat="1" applyFont="1" applyBorder="1" applyAlignment="1">
      <alignment horizontal="center" vertical="center"/>
    </xf>
    <xf numFmtId="0" fontId="12" fillId="0" borderId="4" xfId="6" applyFont="1" applyBorder="1" applyAlignment="1">
      <alignment vertical="center" wrapText="1"/>
    </xf>
    <xf numFmtId="1" fontId="12" fillId="0" borderId="4" xfId="6" applyNumberFormat="1" applyFont="1" applyBorder="1" applyAlignment="1">
      <alignment horizontal="center" vertical="center"/>
    </xf>
    <xf numFmtId="0" fontId="14" fillId="6" borderId="18" xfId="25" applyNumberFormat="1" applyFont="1" applyFill="1" applyBorder="1" applyAlignment="1" applyProtection="1">
      <alignment horizontal="center" vertical="center"/>
      <protection locked="0"/>
    </xf>
    <xf numFmtId="0" fontId="14" fillId="6" borderId="4" xfId="25" applyNumberFormat="1" applyFont="1" applyFill="1" applyBorder="1" applyAlignment="1" applyProtection="1">
      <alignment horizontal="center" vertical="center"/>
      <protection locked="0"/>
    </xf>
    <xf numFmtId="2" fontId="14" fillId="6" borderId="17" xfId="25" applyNumberFormat="1" applyFont="1" applyFill="1" applyBorder="1" applyAlignment="1" applyProtection="1">
      <alignment horizontal="center" vertical="center"/>
      <protection locked="0"/>
    </xf>
    <xf numFmtId="2" fontId="12" fillId="0" borderId="19" xfId="25" applyNumberFormat="1" applyFont="1" applyBorder="1" applyAlignment="1" applyProtection="1">
      <alignment horizontal="center" vertical="center"/>
    </xf>
    <xf numFmtId="0" fontId="14" fillId="6" borderId="20" xfId="25" applyNumberFormat="1" applyFont="1" applyFill="1" applyBorder="1" applyAlignment="1" applyProtection="1">
      <alignment horizontal="center" vertical="center"/>
      <protection locked="0"/>
    </xf>
    <xf numFmtId="166" fontId="15" fillId="7" borderId="20" xfId="6" applyNumberFormat="1" applyFont="1" applyFill="1" applyBorder="1" applyAlignment="1">
      <alignment horizontal="center" vertical="center"/>
    </xf>
    <xf numFmtId="164" fontId="12" fillId="0" borderId="21" xfId="4" applyFont="1" applyBorder="1" applyAlignment="1" applyProtection="1">
      <alignment horizontal="center" vertical="center"/>
    </xf>
    <xf numFmtId="166" fontId="15" fillId="7" borderId="4" xfId="6" applyNumberFormat="1" applyFont="1" applyFill="1" applyBorder="1" applyAlignment="1">
      <alignment horizontal="center" vertical="center"/>
    </xf>
    <xf numFmtId="164" fontId="12" fillId="0" borderId="4" xfId="4" applyFont="1" applyBorder="1" applyAlignment="1" applyProtection="1">
      <alignment horizontal="center" vertical="center"/>
    </xf>
    <xf numFmtId="0" fontId="12" fillId="0" borderId="4" xfId="6" applyFont="1" applyBorder="1" applyAlignment="1">
      <alignment horizontal="center" vertical="center"/>
    </xf>
    <xf numFmtId="164" fontId="12" fillId="0" borderId="4" xfId="2" applyFont="1" applyBorder="1" applyAlignment="1" applyProtection="1">
      <alignment horizontal="center" vertical="center"/>
    </xf>
    <xf numFmtId="166" fontId="15" fillId="0" borderId="20" xfId="6" applyNumberFormat="1" applyFont="1" applyBorder="1" applyAlignment="1" applyProtection="1">
      <alignment horizontal="center" vertical="center"/>
      <protection locked="0"/>
    </xf>
    <xf numFmtId="1" fontId="12" fillId="0" borderId="22" xfId="6" applyNumberFormat="1" applyFont="1" applyBorder="1" applyAlignment="1">
      <alignment horizontal="center" vertical="center"/>
    </xf>
    <xf numFmtId="1" fontId="12" fillId="0" borderId="23" xfId="6" applyNumberFormat="1" applyFont="1" applyBorder="1" applyAlignment="1">
      <alignment horizontal="center" vertical="center"/>
    </xf>
    <xf numFmtId="0" fontId="14" fillId="6" borderId="23" xfId="25" applyNumberFormat="1" applyFont="1" applyFill="1" applyBorder="1" applyAlignment="1" applyProtection="1">
      <alignment horizontal="center" vertical="center"/>
      <protection locked="0"/>
    </xf>
    <xf numFmtId="0" fontId="14" fillId="6" borderId="24" xfId="25" applyNumberFormat="1" applyFont="1" applyFill="1" applyBorder="1" applyAlignment="1" applyProtection="1">
      <alignment horizontal="center" vertical="center"/>
      <protection locked="0"/>
    </xf>
    <xf numFmtId="2" fontId="14" fillId="6" borderId="22" xfId="25" applyNumberFormat="1" applyFont="1" applyFill="1" applyBorder="1" applyAlignment="1" applyProtection="1">
      <alignment horizontal="center" vertical="center"/>
      <protection locked="0"/>
    </xf>
    <xf numFmtId="2" fontId="12" fillId="0" borderId="25" xfId="25" applyNumberFormat="1" applyFont="1" applyBorder="1" applyAlignment="1" applyProtection="1">
      <alignment horizontal="center" vertical="center"/>
    </xf>
    <xf numFmtId="0" fontId="14" fillId="6" borderId="26" xfId="25" applyNumberFormat="1" applyFont="1" applyFill="1" applyBorder="1" applyAlignment="1" applyProtection="1">
      <alignment horizontal="center" vertical="center"/>
      <protection locked="0"/>
    </xf>
    <xf numFmtId="164" fontId="10" fillId="5" borderId="27" xfId="4" applyFont="1" applyFill="1" applyBorder="1" applyAlignment="1" applyProtection="1">
      <alignment horizontal="center" vertical="center" wrapText="1"/>
    </xf>
    <xf numFmtId="164" fontId="10" fillId="5" borderId="29" xfId="4" applyFont="1" applyFill="1" applyBorder="1" applyAlignment="1" applyProtection="1">
      <alignment horizontal="center" vertical="center" wrapText="1"/>
    </xf>
    <xf numFmtId="164" fontId="10" fillId="5" borderId="9" xfId="4" applyFont="1" applyFill="1" applyBorder="1" applyAlignment="1" applyProtection="1">
      <alignment horizontal="center" vertical="center" wrapText="1"/>
    </xf>
    <xf numFmtId="164" fontId="10" fillId="5" borderId="26" xfId="4" applyFont="1" applyFill="1" applyBorder="1" applyAlignment="1" applyProtection="1">
      <alignment horizontal="center" vertical="center" wrapText="1"/>
    </xf>
    <xf numFmtId="164" fontId="10" fillId="5" borderId="30" xfId="4" applyFont="1" applyFill="1" applyBorder="1" applyAlignment="1" applyProtection="1">
      <alignment horizontal="center" vertical="center" wrapText="1"/>
    </xf>
    <xf numFmtId="164" fontId="10" fillId="5" borderId="23" xfId="4" applyFont="1" applyFill="1" applyBorder="1" applyAlignment="1" applyProtection="1">
      <alignment horizontal="center" vertical="center" wrapText="1"/>
    </xf>
    <xf numFmtId="164" fontId="10" fillId="5" borderId="22" xfId="4" applyFont="1" applyFill="1" applyBorder="1" applyAlignment="1" applyProtection="1">
      <alignment vertical="center" wrapText="1"/>
    </xf>
    <xf numFmtId="0" fontId="12" fillId="0" borderId="0" xfId="6" applyFont="1" applyAlignment="1">
      <alignment vertical="center"/>
    </xf>
    <xf numFmtId="0" fontId="16" fillId="0" borderId="0" xfId="6" applyFont="1" applyAlignment="1">
      <alignment horizontal="left" vertical="center"/>
    </xf>
    <xf numFmtId="0" fontId="4" fillId="0" borderId="0" xfId="6" applyFont="1" applyAlignment="1">
      <alignment horizontal="left" vertical="center" wrapText="1"/>
    </xf>
    <xf numFmtId="0" fontId="12" fillId="0" borderId="0" xfId="6" applyFont="1" applyAlignment="1">
      <alignment horizontal="left" vertical="center"/>
    </xf>
    <xf numFmtId="0" fontId="17" fillId="0" borderId="0" xfId="6" applyFont="1" applyAlignment="1">
      <alignment horizontal="left" vertical="center" wrapText="1"/>
    </xf>
    <xf numFmtId="0" fontId="10" fillId="5" borderId="4" xfId="25" applyNumberFormat="1" applyFont="1" applyFill="1" applyBorder="1" applyAlignment="1" applyProtection="1">
      <alignment horizontal="center" vertical="center" wrapText="1"/>
    </xf>
    <xf numFmtId="0" fontId="12" fillId="0" borderId="0" xfId="6" applyFont="1" applyAlignment="1">
      <alignment horizontal="center" vertical="center"/>
    </xf>
    <xf numFmtId="0" fontId="12" fillId="0" borderId="4" xfId="6" applyFont="1" applyBorder="1" applyAlignment="1" applyProtection="1">
      <alignment horizontal="center" vertical="center"/>
      <protection locked="0"/>
    </xf>
    <xf numFmtId="2" fontId="12" fillId="0" borderId="4" xfId="6" applyNumberFormat="1" applyFont="1" applyBorder="1" applyAlignment="1" applyProtection="1">
      <alignment horizontal="center" vertical="center"/>
      <protection locked="0"/>
    </xf>
    <xf numFmtId="164" fontId="4" fillId="0" borderId="0" xfId="2" applyFont="1" applyBorder="1" applyAlignment="1" applyProtection="1">
      <alignment horizontal="left" vertical="center"/>
    </xf>
    <xf numFmtId="0" fontId="10" fillId="0" borderId="0" xfId="15" applyFont="1" applyAlignment="1">
      <alignment horizontal="center" vertical="center" wrapText="1"/>
    </xf>
    <xf numFmtId="0" fontId="12" fillId="0" borderId="0" xfId="15" applyFont="1"/>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10" fillId="5" borderId="34" xfId="25" applyNumberFormat="1" applyFont="1" applyFill="1" applyBorder="1" applyAlignment="1" applyProtection="1">
      <alignment horizontal="center" vertical="center" wrapText="1"/>
    </xf>
    <xf numFmtId="0" fontId="10" fillId="5" borderId="19" xfId="25" applyNumberFormat="1" applyFont="1" applyFill="1" applyBorder="1" applyAlignment="1" applyProtection="1">
      <alignment horizontal="center" vertical="center" wrapText="1"/>
    </xf>
    <xf numFmtId="0" fontId="12" fillId="8" borderId="17" xfId="15"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4" xfId="0" applyFont="1" applyBorder="1" applyAlignment="1">
      <alignment vertical="center" wrapText="1"/>
    </xf>
    <xf numFmtId="0" fontId="14" fillId="6" borderId="12" xfId="25" applyNumberFormat="1" applyFont="1" applyFill="1" applyBorder="1" applyAlignment="1" applyProtection="1">
      <alignment horizontal="center" vertical="center"/>
      <protection locked="0"/>
    </xf>
    <xf numFmtId="165" fontId="12" fillId="0" borderId="14" xfId="20" applyFont="1" applyBorder="1" applyAlignment="1" applyProtection="1">
      <alignment vertical="center"/>
    </xf>
    <xf numFmtId="0" fontId="13" fillId="0" borderId="11" xfId="0" applyFont="1" applyBorder="1" applyAlignment="1">
      <alignment horizontal="center" vertical="center" wrapText="1"/>
    </xf>
    <xf numFmtId="167" fontId="12" fillId="0" borderId="12" xfId="15" applyNumberFormat="1" applyFont="1" applyBorder="1" applyAlignment="1">
      <alignment horizontal="center" vertical="center" wrapText="1"/>
    </xf>
    <xf numFmtId="0" fontId="12" fillId="0" borderId="18" xfId="15" applyFont="1" applyBorder="1" applyAlignment="1">
      <alignment horizontal="center" vertical="center" wrapText="1"/>
    </xf>
    <xf numFmtId="0" fontId="12" fillId="0" borderId="19" xfId="15" applyFont="1" applyBorder="1" applyAlignment="1">
      <alignment horizontal="center" vertical="center"/>
    </xf>
    <xf numFmtId="1" fontId="5" fillId="0" borderId="17" xfId="12" applyNumberFormat="1" applyFont="1" applyBorder="1" applyAlignment="1">
      <alignment horizontal="center" vertical="center" wrapText="1"/>
    </xf>
    <xf numFmtId="1" fontId="5" fillId="8" borderId="17" xfId="12" applyNumberFormat="1" applyFont="1" applyFill="1" applyBorder="1" applyAlignment="1">
      <alignment horizontal="center" vertical="center" wrapText="1"/>
    </xf>
    <xf numFmtId="164" fontId="10" fillId="5" borderId="14" xfId="2" applyFont="1" applyFill="1" applyBorder="1" applyAlignment="1" applyProtection="1">
      <alignment horizontal="center" vertical="center" wrapText="1"/>
    </xf>
    <xf numFmtId="0" fontId="12" fillId="0" borderId="0" xfId="15" applyFont="1" applyAlignment="1">
      <alignment vertical="center"/>
    </xf>
    <xf numFmtId="0" fontId="12" fillId="0" borderId="0" xfId="0" applyFont="1"/>
    <xf numFmtId="10" fontId="10" fillId="5" borderId="21" xfId="25" applyNumberFormat="1" applyFont="1" applyFill="1" applyBorder="1" applyAlignment="1" applyProtection="1">
      <alignment horizontal="center" vertical="center" wrapText="1"/>
    </xf>
    <xf numFmtId="164" fontId="10" fillId="5" borderId="19" xfId="2" applyFont="1" applyFill="1" applyBorder="1" applyAlignment="1" applyProtection="1">
      <alignment horizontal="center" vertical="center" wrapText="1"/>
    </xf>
    <xf numFmtId="164" fontId="10" fillId="5" borderId="25" xfId="2" applyFont="1" applyFill="1" applyBorder="1" applyAlignment="1" applyProtection="1">
      <alignment horizontal="center" vertical="center" wrapText="1"/>
    </xf>
    <xf numFmtId="0" fontId="12" fillId="0" borderId="0" xfId="15" applyFont="1" applyAlignment="1">
      <alignment horizontal="center" vertical="center"/>
    </xf>
    <xf numFmtId="1" fontId="12" fillId="0" borderId="17" xfId="28" applyNumberFormat="1" applyFont="1" applyBorder="1" applyAlignment="1" applyProtection="1">
      <alignment horizontal="center" vertical="center" wrapText="1"/>
    </xf>
    <xf numFmtId="0" fontId="19" fillId="0" borderId="4" xfId="0" applyFont="1" applyBorder="1" applyAlignment="1">
      <alignment horizontal="center" vertical="center"/>
    </xf>
    <xf numFmtId="0" fontId="19" fillId="0" borderId="4" xfId="0" applyFont="1" applyBorder="1" applyAlignment="1">
      <alignment vertical="center"/>
    </xf>
    <xf numFmtId="1" fontId="12" fillId="0" borderId="4" xfId="14" applyNumberFormat="1" applyFont="1" applyBorder="1" applyAlignment="1">
      <alignment horizontal="center" vertical="center" wrapText="1"/>
    </xf>
    <xf numFmtId="164" fontId="10" fillId="5" borderId="34" xfId="2" applyFont="1" applyFill="1" applyBorder="1" applyAlignment="1" applyProtection="1">
      <alignment horizontal="center" vertical="center" wrapText="1"/>
    </xf>
    <xf numFmtId="0" fontId="4" fillId="0" borderId="4" xfId="6" applyFont="1" applyBorder="1"/>
    <xf numFmtId="3" fontId="4" fillId="0" borderId="18" xfId="6" applyNumberFormat="1" applyFont="1" applyBorder="1" applyAlignment="1">
      <alignment horizontal="center" vertical="center"/>
    </xf>
    <xf numFmtId="0" fontId="4" fillId="0" borderId="18" xfId="6" applyFont="1" applyBorder="1" applyAlignment="1">
      <alignment horizontal="center" vertical="center"/>
    </xf>
    <xf numFmtId="0" fontId="4" fillId="0" borderId="4" xfId="6" applyFont="1" applyBorder="1" applyAlignment="1">
      <alignment horizontal="left"/>
    </xf>
    <xf numFmtId="0" fontId="12" fillId="0" borderId="0" xfId="0" applyFont="1" applyAlignment="1">
      <alignment horizontal="center" vertical="center"/>
    </xf>
    <xf numFmtId="0" fontId="12" fillId="0" borderId="0" xfId="0" applyFont="1" applyAlignment="1">
      <alignment horizontal="left"/>
    </xf>
    <xf numFmtId="0" fontId="21" fillId="0" borderId="1" xfId="13" applyFont="1" applyBorder="1"/>
    <xf numFmtId="0" fontId="5" fillId="0" borderId="2" xfId="9" applyFont="1" applyBorder="1" applyAlignment="1">
      <alignment vertical="center"/>
    </xf>
    <xf numFmtId="0" fontId="21" fillId="0" borderId="3" xfId="13" applyFont="1" applyBorder="1"/>
    <xf numFmtId="0" fontId="5" fillId="0" borderId="0" xfId="9" applyFont="1" applyAlignment="1">
      <alignment vertical="center"/>
    </xf>
    <xf numFmtId="0" fontId="12" fillId="0" borderId="0" xfId="9" applyFont="1"/>
    <xf numFmtId="0" fontId="9" fillId="0" borderId="0" xfId="0" applyFont="1" applyAlignment="1">
      <alignment vertical="center"/>
    </xf>
    <xf numFmtId="0" fontId="10" fillId="0" borderId="0" xfId="0" applyFont="1" applyAlignment="1">
      <alignment horizontal="center" vertical="center"/>
    </xf>
    <xf numFmtId="0" fontId="18" fillId="0" borderId="0" xfId="0" applyFont="1" applyAlignment="1">
      <alignment horizontal="left"/>
    </xf>
    <xf numFmtId="0" fontId="12" fillId="2" borderId="9" xfId="0" applyFont="1" applyFill="1" applyBorder="1" applyAlignment="1">
      <alignment horizontal="left"/>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center"/>
    </xf>
    <xf numFmtId="0" fontId="12" fillId="2" borderId="0" xfId="0" applyFont="1" applyFill="1"/>
    <xf numFmtId="0" fontId="10" fillId="0" borderId="0" xfId="0" applyFont="1"/>
    <xf numFmtId="0" fontId="12" fillId="9" borderId="0" xfId="0" applyFont="1" applyFill="1"/>
    <xf numFmtId="0" fontId="12" fillId="0" borderId="0" xfId="0" applyFont="1" applyAlignment="1">
      <alignment horizontal="left" vertical="center"/>
    </xf>
    <xf numFmtId="0" fontId="12" fillId="0" borderId="0" xfId="0" applyFont="1" applyAlignment="1">
      <alignment vertical="center"/>
    </xf>
    <xf numFmtId="0" fontId="23" fillId="10" borderId="0" xfId="0" applyFont="1" applyFill="1"/>
    <xf numFmtId="0" fontId="12" fillId="8" borderId="0" xfId="0" applyFont="1" applyFill="1" applyAlignment="1">
      <alignment vertical="center"/>
    </xf>
    <xf numFmtId="0" fontId="5" fillId="0" borderId="0" xfId="0" applyFont="1"/>
    <xf numFmtId="0" fontId="5" fillId="0" borderId="0" xfId="0" applyFont="1" applyAlignment="1">
      <alignment vertical="center"/>
    </xf>
    <xf numFmtId="0" fontId="12" fillId="0" borderId="0" xfId="0" applyFont="1" applyAlignment="1">
      <alignment horizontal="center"/>
    </xf>
    <xf numFmtId="0" fontId="24" fillId="0" borderId="0" xfId="6" applyFont="1" applyAlignment="1">
      <alignment horizontal="left" vertical="center"/>
    </xf>
    <xf numFmtId="164" fontId="12" fillId="0" borderId="0" xfId="4" applyFont="1" applyBorder="1" applyProtection="1"/>
    <xf numFmtId="0" fontId="4" fillId="0" borderId="0" xfId="6" applyFont="1" applyAlignment="1">
      <alignment vertical="center"/>
    </xf>
    <xf numFmtId="168" fontId="8" fillId="0" borderId="0" xfId="6" applyNumberFormat="1" applyFont="1" applyAlignment="1">
      <alignment horizontal="left" vertical="center"/>
    </xf>
    <xf numFmtId="0" fontId="4" fillId="0" borderId="0" xfId="0" applyFont="1"/>
    <xf numFmtId="0" fontId="8" fillId="0" borderId="0" xfId="6" applyFont="1" applyAlignment="1">
      <alignment vertical="center" wrapText="1"/>
    </xf>
    <xf numFmtId="0" fontId="12" fillId="11" borderId="4" xfId="6" applyFont="1" applyFill="1" applyBorder="1" applyAlignment="1">
      <alignment horizontal="center" vertical="center" wrapText="1"/>
    </xf>
    <xf numFmtId="169" fontId="9" fillId="0" borderId="0" xfId="6" applyNumberFormat="1" applyFont="1" applyAlignment="1">
      <alignment vertical="center"/>
    </xf>
    <xf numFmtId="0" fontId="8" fillId="0" borderId="4" xfId="0" applyFont="1" applyBorder="1" applyAlignment="1">
      <alignment horizontal="center" vertical="center" wrapText="1"/>
    </xf>
    <xf numFmtId="1" fontId="4" fillId="0" borderId="4" xfId="6" applyNumberFormat="1" applyFont="1" applyBorder="1" applyAlignment="1">
      <alignment horizontal="center" vertical="center"/>
    </xf>
    <xf numFmtId="0" fontId="4" fillId="0" borderId="4" xfId="6" applyFont="1" applyBorder="1" applyAlignment="1">
      <alignment vertical="center" wrapText="1"/>
    </xf>
    <xf numFmtId="4" fontId="4" fillId="2" borderId="4" xfId="1" applyNumberFormat="1" applyFont="1" applyFill="1" applyBorder="1" applyAlignment="1" applyProtection="1">
      <alignment horizontal="center" vertical="center"/>
      <protection locked="0"/>
    </xf>
    <xf numFmtId="4" fontId="4" fillId="0" borderId="4" xfId="1" applyNumberFormat="1" applyFont="1" applyBorder="1" applyAlignment="1" applyProtection="1">
      <alignment horizontal="center" vertical="center"/>
    </xf>
    <xf numFmtId="10" fontId="4" fillId="0" borderId="4" xfId="3" applyNumberFormat="1" applyFont="1" applyBorder="1" applyAlignment="1" applyProtection="1">
      <alignment horizontal="center" vertical="center"/>
    </xf>
    <xf numFmtId="4" fontId="8" fillId="0" borderId="4" xfId="1" applyNumberFormat="1" applyFont="1" applyBorder="1" applyAlignment="1" applyProtection="1">
      <alignment horizontal="center" vertical="center"/>
    </xf>
    <xf numFmtId="3" fontId="4" fillId="0" borderId="4" xfId="6" applyNumberFormat="1" applyFont="1" applyBorder="1" applyAlignment="1">
      <alignment horizontal="center" vertical="center"/>
    </xf>
    <xf numFmtId="166" fontId="15" fillId="7" borderId="4" xfId="1" applyFont="1" applyFill="1" applyBorder="1" applyAlignment="1" applyProtection="1">
      <alignment horizontal="center" vertical="center"/>
    </xf>
    <xf numFmtId="10" fontId="4" fillId="2" borderId="4" xfId="3" applyNumberFormat="1" applyFont="1" applyFill="1" applyBorder="1" applyAlignment="1" applyProtection="1">
      <alignment horizontal="center" vertical="center"/>
      <protection locked="0"/>
    </xf>
    <xf numFmtId="2" fontId="4" fillId="0" borderId="4" xfId="3" applyNumberFormat="1" applyFont="1" applyBorder="1" applyAlignment="1" applyProtection="1">
      <alignment horizontal="center" vertical="center"/>
    </xf>
    <xf numFmtId="0" fontId="8" fillId="0" borderId="4" xfId="6" applyFont="1" applyBorder="1" applyAlignment="1">
      <alignment vertical="center"/>
    </xf>
    <xf numFmtId="0" fontId="8" fillId="0" borderId="0" xfId="6" applyFont="1" applyAlignment="1">
      <alignment vertical="center"/>
    </xf>
    <xf numFmtId="0" fontId="8" fillId="0" borderId="12" xfId="6" applyFont="1" applyBorder="1" applyAlignment="1">
      <alignment horizontal="center" vertical="center"/>
    </xf>
    <xf numFmtId="4" fontId="8" fillId="0" borderId="12" xfId="1" applyNumberFormat="1" applyFont="1" applyBorder="1" applyAlignment="1" applyProtection="1">
      <alignment horizontal="center" vertical="center"/>
    </xf>
    <xf numFmtId="0" fontId="4" fillId="0" borderId="4" xfId="6" applyFont="1" applyBorder="1" applyAlignment="1">
      <alignment horizontal="center" vertical="center"/>
    </xf>
    <xf numFmtId="0" fontId="4" fillId="0" borderId="41" xfId="6" applyFont="1" applyBorder="1" applyAlignment="1">
      <alignment vertical="center"/>
    </xf>
    <xf numFmtId="10" fontId="8" fillId="0" borderId="4" xfId="3" applyNumberFormat="1" applyFont="1" applyBorder="1" applyAlignment="1" applyProtection="1">
      <alignment horizontal="center" vertical="center"/>
    </xf>
    <xf numFmtId="2" fontId="4" fillId="2" borderId="4" xfId="6" applyNumberFormat="1" applyFont="1" applyFill="1" applyBorder="1" applyAlignment="1" applyProtection="1">
      <alignment horizontal="center" vertical="center"/>
      <protection locked="0"/>
    </xf>
    <xf numFmtId="0" fontId="4" fillId="0" borderId="18" xfId="6" applyFont="1" applyBorder="1" applyAlignment="1">
      <alignment vertical="center"/>
    </xf>
    <xf numFmtId="0" fontId="4" fillId="0" borderId="42" xfId="6" applyFont="1" applyBorder="1" applyAlignment="1">
      <alignment vertical="center"/>
    </xf>
    <xf numFmtId="166" fontId="4" fillId="0" borderId="21" xfId="1" applyFont="1" applyBorder="1" applyAlignment="1" applyProtection="1">
      <alignment vertical="center"/>
    </xf>
    <xf numFmtId="0" fontId="4" fillId="0" borderId="41" xfId="6" applyFont="1" applyBorder="1" applyAlignment="1">
      <alignment horizontal="center" vertical="center"/>
    </xf>
    <xf numFmtId="2" fontId="4" fillId="2" borderId="4" xfId="0" applyNumberFormat="1" applyFont="1" applyFill="1" applyBorder="1" applyAlignment="1" applyProtection="1">
      <alignment horizontal="center" vertical="center" wrapText="1"/>
      <protection locked="0"/>
    </xf>
    <xf numFmtId="0" fontId="4" fillId="0" borderId="0" xfId="0" applyFont="1" applyAlignment="1">
      <alignment horizontal="left" vertical="center"/>
    </xf>
    <xf numFmtId="4" fontId="25" fillId="0" borderId="4" xfId="0" applyNumberFormat="1" applyFont="1" applyBorder="1" applyAlignment="1">
      <alignment horizontal="center" vertical="center"/>
    </xf>
    <xf numFmtId="10" fontId="4" fillId="2" borderId="4" xfId="19" applyNumberFormat="1" applyFont="1" applyFill="1" applyBorder="1" applyAlignment="1" applyProtection="1">
      <alignment horizontal="center" vertical="center"/>
      <protection locked="0"/>
    </xf>
    <xf numFmtId="0" fontId="4" fillId="0" borderId="0" xfId="6" applyFont="1" applyAlignment="1">
      <alignment horizontal="center" vertical="center" wrapText="1"/>
    </xf>
    <xf numFmtId="0" fontId="17" fillId="0" borderId="0" xfId="6" applyFont="1" applyAlignment="1">
      <alignment horizontal="left" vertical="center"/>
    </xf>
    <xf numFmtId="166" fontId="4" fillId="0" borderId="0" xfId="1" applyFont="1" applyBorder="1" applyProtection="1"/>
    <xf numFmtId="0" fontId="4" fillId="0" borderId="41" xfId="6" applyFont="1" applyBorder="1"/>
    <xf numFmtId="0" fontId="4" fillId="0" borderId="44" xfId="6" applyFont="1" applyBorder="1"/>
    <xf numFmtId="0" fontId="4" fillId="0" borderId="13" xfId="6" applyFont="1" applyBorder="1"/>
    <xf numFmtId="0" fontId="4" fillId="0" borderId="42" xfId="6" applyFont="1" applyBorder="1"/>
    <xf numFmtId="0" fontId="4" fillId="0" borderId="16" xfId="6" applyFont="1" applyBorder="1"/>
    <xf numFmtId="0" fontId="5" fillId="0" borderId="1" xfId="0" applyFont="1" applyBorder="1"/>
    <xf numFmtId="0" fontId="5" fillId="0" borderId="2" xfId="0" applyFont="1" applyBorder="1" applyAlignment="1">
      <alignment vertical="center"/>
    </xf>
    <xf numFmtId="0" fontId="5" fillId="0" borderId="45" xfId="0" applyFont="1" applyBorder="1" applyAlignment="1">
      <alignment vertical="center"/>
    </xf>
    <xf numFmtId="0" fontId="5" fillId="0" borderId="3" xfId="0" applyFont="1" applyBorder="1"/>
    <xf numFmtId="0" fontId="5" fillId="0" borderId="46" xfId="0" applyFont="1" applyBorder="1" applyAlignment="1">
      <alignment vertical="center"/>
    </xf>
    <xf numFmtId="0" fontId="13" fillId="0" borderId="3" xfId="0" applyFont="1" applyBorder="1"/>
    <xf numFmtId="0" fontId="27" fillId="0" borderId="17" xfId="0" applyFont="1" applyBorder="1" applyAlignment="1">
      <alignment horizontal="center"/>
    </xf>
    <xf numFmtId="0" fontId="27" fillId="0" borderId="4" xfId="0" applyFont="1" applyBorder="1" applyAlignment="1">
      <alignment horizontal="center"/>
    </xf>
    <xf numFmtId="0" fontId="27" fillId="0" borderId="19" xfId="0" applyFont="1" applyBorder="1" applyAlignment="1">
      <alignment horizontal="center"/>
    </xf>
    <xf numFmtId="0" fontId="28" fillId="11" borderId="17" xfId="0" applyFont="1" applyFill="1" applyBorder="1" applyAlignment="1">
      <alignment horizontal="center" vertical="center"/>
    </xf>
    <xf numFmtId="0" fontId="13" fillId="0" borderId="17" xfId="0" applyFont="1" applyBorder="1" applyAlignment="1">
      <alignment horizontal="center" vertical="center"/>
    </xf>
    <xf numFmtId="0" fontId="13" fillId="0" borderId="4" xfId="0" applyFont="1" applyBorder="1" applyAlignment="1">
      <alignment vertical="center"/>
    </xf>
    <xf numFmtId="10" fontId="13" fillId="2" borderId="19" xfId="7" applyNumberFormat="1" applyFont="1" applyFill="1" applyBorder="1" applyAlignment="1" applyProtection="1">
      <alignment horizontal="center" vertical="center"/>
      <protection locked="0"/>
    </xf>
    <xf numFmtId="10" fontId="13" fillId="0" borderId="19" xfId="7" applyNumberFormat="1" applyFont="1" applyBorder="1" applyAlignment="1">
      <alignment horizontal="center" vertical="center"/>
    </xf>
    <xf numFmtId="2" fontId="0" fillId="0" borderId="0" xfId="0" applyNumberFormat="1"/>
    <xf numFmtId="10" fontId="28" fillId="11" borderId="19" xfId="18" applyNumberFormat="1" applyFont="1" applyFill="1" applyBorder="1" applyAlignment="1" applyProtection="1">
      <alignment horizontal="center" vertical="center"/>
    </xf>
    <xf numFmtId="0" fontId="13" fillId="0" borderId="18" xfId="0" applyFont="1" applyBorder="1" applyAlignment="1">
      <alignment vertical="center"/>
    </xf>
    <xf numFmtId="10" fontId="29" fillId="0" borderId="19" xfId="7" applyNumberFormat="1" applyFont="1" applyBorder="1" applyAlignment="1">
      <alignment horizontal="center" vertical="center"/>
    </xf>
    <xf numFmtId="10" fontId="30" fillId="0" borderId="14" xfId="0" applyNumberFormat="1" applyFont="1" applyBorder="1" applyAlignment="1">
      <alignment horizontal="center" vertical="center"/>
    </xf>
    <xf numFmtId="10" fontId="31" fillId="0" borderId="19" xfId="0" applyNumberFormat="1" applyFont="1" applyBorder="1" applyAlignment="1">
      <alignment horizontal="center" vertical="center"/>
    </xf>
    <xf numFmtId="0" fontId="29" fillId="0" borderId="17" xfId="0" applyFont="1" applyBorder="1" applyAlignment="1">
      <alignment horizontal="center" vertical="center"/>
    </xf>
    <xf numFmtId="0" fontId="29" fillId="0" borderId="4" xfId="0" applyFont="1" applyBorder="1" applyAlignment="1">
      <alignment horizontal="left" vertical="center"/>
    </xf>
    <xf numFmtId="10" fontId="29" fillId="0" borderId="19" xfId="18" applyNumberFormat="1" applyFont="1" applyBorder="1" applyAlignment="1" applyProtection="1">
      <alignment horizontal="center" vertical="center"/>
    </xf>
    <xf numFmtId="0" fontId="12" fillId="14" borderId="17" xfId="5" applyFont="1" applyFill="1" applyBorder="1" applyAlignment="1">
      <alignment horizontal="center" vertical="center" wrapText="1"/>
    </xf>
    <xf numFmtId="0" fontId="12" fillId="14" borderId="4" xfId="5" applyFont="1" applyFill="1" applyBorder="1" applyAlignment="1">
      <alignment horizontal="center" vertical="center" wrapText="1"/>
    </xf>
    <xf numFmtId="0" fontId="11" fillId="14" borderId="19" xfId="5" applyFont="1" applyFill="1" applyBorder="1" applyAlignment="1">
      <alignment horizontal="center" vertical="center" wrapText="1"/>
    </xf>
    <xf numFmtId="10" fontId="12" fillId="14" borderId="4" xfId="5" applyNumberFormat="1" applyFont="1" applyFill="1" applyBorder="1" applyAlignment="1">
      <alignment horizontal="center" vertical="center" wrapText="1"/>
    </xf>
    <xf numFmtId="10" fontId="14" fillId="14" borderId="19" xfId="5" applyNumberFormat="1" applyFont="1" applyFill="1" applyBorder="1" applyAlignment="1">
      <alignment horizontal="center" vertical="center" wrapText="1"/>
    </xf>
    <xf numFmtId="0" fontId="13" fillId="0" borderId="17" xfId="5" applyFont="1" applyBorder="1" applyAlignment="1">
      <alignment horizontal="center" vertical="center" wrapText="1"/>
    </xf>
    <xf numFmtId="10" fontId="13" fillId="0" borderId="4" xfId="5" applyNumberFormat="1" applyFont="1" applyBorder="1" applyAlignment="1">
      <alignment horizontal="center" vertical="center" wrapText="1"/>
    </xf>
    <xf numFmtId="10" fontId="13" fillId="0" borderId="19" xfId="5" applyNumberFormat="1" applyFont="1" applyBorder="1" applyAlignment="1">
      <alignment horizontal="center" vertical="center" wrapText="1"/>
    </xf>
    <xf numFmtId="0" fontId="29" fillId="14" borderId="17" xfId="5" applyFont="1" applyFill="1" applyBorder="1" applyAlignment="1">
      <alignment horizontal="center" vertical="center" wrapText="1"/>
    </xf>
    <xf numFmtId="10" fontId="29" fillId="14" borderId="4" xfId="5" applyNumberFormat="1" applyFont="1" applyFill="1" applyBorder="1" applyAlignment="1">
      <alignment horizontal="center" vertical="center" wrapText="1"/>
    </xf>
    <xf numFmtId="10" fontId="29" fillId="14" borderId="19" xfId="5" applyNumberFormat="1" applyFont="1" applyFill="1" applyBorder="1" applyAlignment="1">
      <alignment horizontal="center" vertical="center" wrapText="1"/>
    </xf>
    <xf numFmtId="10" fontId="13" fillId="0" borderId="48" xfId="5" applyNumberFormat="1" applyFont="1" applyBorder="1" applyAlignment="1">
      <alignment horizontal="center" vertical="center" wrapText="1"/>
    </xf>
    <xf numFmtId="0" fontId="29" fillId="0" borderId="17" xfId="5" applyFont="1" applyBorder="1" applyAlignment="1">
      <alignment horizontal="center" vertical="center" wrapText="1"/>
    </xf>
    <xf numFmtId="10" fontId="29" fillId="0" borderId="4" xfId="5" applyNumberFormat="1" applyFont="1" applyBorder="1" applyAlignment="1">
      <alignment horizontal="center" vertical="center" wrapText="1"/>
    </xf>
    <xf numFmtId="10" fontId="33" fillId="0" borderId="48" xfId="5" applyNumberFormat="1" applyFont="1" applyBorder="1" applyAlignment="1">
      <alignment horizontal="center" vertical="center" wrapText="1"/>
    </xf>
    <xf numFmtId="0" fontId="23" fillId="13" borderId="3" xfId="0" applyFont="1" applyFill="1" applyBorder="1" applyAlignment="1">
      <alignment horizontal="left" vertical="center"/>
    </xf>
    <xf numFmtId="0" fontId="23" fillId="13" borderId="0" xfId="0" applyFont="1" applyFill="1"/>
    <xf numFmtId="0" fontId="23" fillId="13" borderId="46" xfId="0" applyFont="1" applyFill="1" applyBorder="1"/>
    <xf numFmtId="0" fontId="29" fillId="14" borderId="22" xfId="5" applyFont="1" applyFill="1" applyBorder="1" applyAlignment="1">
      <alignment horizontal="center" vertical="center" wrapText="1"/>
    </xf>
    <xf numFmtId="10" fontId="29" fillId="14" borderId="23" xfId="5" applyNumberFormat="1" applyFont="1" applyFill="1" applyBorder="1" applyAlignment="1">
      <alignment horizontal="center" vertical="center" wrapText="1"/>
    </xf>
    <xf numFmtId="10" fontId="33" fillId="14" borderId="25" xfId="5" applyNumberFormat="1" applyFont="1" applyFill="1" applyBorder="1" applyAlignment="1">
      <alignment horizontal="center" vertical="center" wrapText="1"/>
    </xf>
    <xf numFmtId="0" fontId="9" fillId="0" borderId="2" xfId="9" applyFont="1" applyBorder="1" applyAlignment="1">
      <alignment horizontal="center"/>
    </xf>
    <xf numFmtId="0" fontId="9" fillId="0" borderId="2" xfId="9" applyFont="1" applyBorder="1"/>
    <xf numFmtId="0" fontId="9" fillId="0" borderId="45" xfId="9" applyFont="1" applyBorder="1"/>
    <xf numFmtId="0" fontId="9" fillId="0" borderId="0" xfId="9" applyFont="1" applyAlignment="1">
      <alignment horizontal="center"/>
    </xf>
    <xf numFmtId="0" fontId="9" fillId="0" borderId="0" xfId="9" applyFont="1"/>
    <xf numFmtId="0" fontId="9" fillId="0" borderId="46" xfId="9" applyFont="1" applyBorder="1"/>
    <xf numFmtId="0" fontId="5" fillId="0" borderId="0" xfId="0" applyFont="1" applyAlignment="1">
      <alignment vertical="top"/>
    </xf>
    <xf numFmtId="0" fontId="22" fillId="0" borderId="3" xfId="9" applyFont="1" applyBorder="1" applyAlignment="1">
      <alignment horizontal="center" vertical="center"/>
    </xf>
    <xf numFmtId="0" fontId="22" fillId="0" borderId="0" xfId="9" applyFont="1" applyAlignment="1">
      <alignment horizontal="center" vertical="center"/>
    </xf>
    <xf numFmtId="9" fontId="34" fillId="0" borderId="46" xfId="9" applyNumberFormat="1" applyFont="1" applyBorder="1" applyAlignment="1">
      <alignment horizontal="center" vertical="center"/>
    </xf>
    <xf numFmtId="0" fontId="10" fillId="11" borderId="17" xfId="9" applyFont="1" applyFill="1" applyBorder="1" applyAlignment="1">
      <alignment horizontal="center" vertical="center" wrapText="1"/>
    </xf>
    <xf numFmtId="0" fontId="10" fillId="11" borderId="4" xfId="9" applyFont="1" applyFill="1" applyBorder="1" applyAlignment="1">
      <alignment horizontal="center" vertical="center" wrapText="1"/>
    </xf>
    <xf numFmtId="4" fontId="10" fillId="11" borderId="4" xfId="9" applyNumberFormat="1" applyFont="1" applyFill="1" applyBorder="1" applyAlignment="1">
      <alignment horizontal="center" vertical="center" wrapText="1"/>
    </xf>
    <xf numFmtId="4" fontId="10" fillId="11" borderId="19" xfId="9" applyNumberFormat="1" applyFont="1" applyFill="1" applyBorder="1" applyAlignment="1">
      <alignment horizontal="center" vertical="center" wrapText="1"/>
    </xf>
    <xf numFmtId="0" fontId="10" fillId="0" borderId="17" xfId="1" applyNumberFormat="1" applyFont="1" applyBorder="1" applyAlignment="1" applyProtection="1">
      <alignment horizontal="center" vertical="center"/>
    </xf>
    <xf numFmtId="0" fontId="30" fillId="0" borderId="4" xfId="0" applyFont="1" applyBorder="1" applyAlignment="1">
      <alignment vertical="center" wrapText="1"/>
    </xf>
    <xf numFmtId="0" fontId="12" fillId="0" borderId="4" xfId="1" applyNumberFormat="1" applyFont="1" applyBorder="1" applyAlignment="1" applyProtection="1">
      <alignment horizontal="center" vertical="center"/>
    </xf>
    <xf numFmtId="4" fontId="12" fillId="2" borderId="4" xfId="1" applyNumberFormat="1" applyFont="1" applyFill="1" applyBorder="1" applyAlignment="1" applyProtection="1">
      <alignment horizontal="center" vertical="center"/>
      <protection locked="0"/>
    </xf>
    <xf numFmtId="4" fontId="12" fillId="0" borderId="4" xfId="1" applyNumberFormat="1" applyFont="1" applyBorder="1" applyAlignment="1" applyProtection="1">
      <alignment horizontal="center" vertical="center"/>
    </xf>
    <xf numFmtId="4" fontId="12" fillId="0" borderId="19" xfId="1" applyNumberFormat="1" applyFont="1" applyBorder="1" applyAlignment="1" applyProtection="1">
      <alignment horizontal="center" vertical="center"/>
    </xf>
    <xf numFmtId="0" fontId="30" fillId="0" borderId="40" xfId="0" applyFont="1" applyBorder="1" applyAlignment="1">
      <alignment vertical="center" wrapText="1"/>
    </xf>
    <xf numFmtId="4" fontId="12" fillId="2" borderId="4" xfId="1" applyNumberFormat="1" applyFont="1" applyFill="1" applyBorder="1" applyAlignment="1" applyProtection="1">
      <alignment horizontal="center" vertical="center" wrapText="1"/>
      <protection locked="0"/>
    </xf>
    <xf numFmtId="0" fontId="30" fillId="0" borderId="0" xfId="0" applyFont="1" applyAlignment="1">
      <alignment vertical="center" wrapText="1"/>
    </xf>
    <xf numFmtId="4" fontId="12" fillId="2" borderId="51" xfId="1" applyNumberFormat="1" applyFont="1" applyFill="1" applyBorder="1" applyAlignment="1" applyProtection="1">
      <alignment horizontal="center" vertical="center" wrapText="1"/>
      <protection locked="0"/>
    </xf>
    <xf numFmtId="4" fontId="25" fillId="11" borderId="25" xfId="1" applyNumberFormat="1" applyFont="1" applyFill="1" applyBorder="1" applyAlignment="1" applyProtection="1">
      <alignment horizontal="center" vertical="center"/>
    </xf>
    <xf numFmtId="0" fontId="12" fillId="0" borderId="0" xfId="15" applyFont="1" applyAlignment="1">
      <alignment horizontal="center"/>
    </xf>
    <xf numFmtId="0" fontId="0" fillId="0" borderId="0" xfId="0" applyAlignment="1">
      <alignment horizontal="center"/>
    </xf>
    <xf numFmtId="0" fontId="12" fillId="0" borderId="1" xfId="9" applyFont="1" applyBorder="1"/>
    <xf numFmtId="0" fontId="12" fillId="0" borderId="2" xfId="15" applyFont="1" applyBorder="1"/>
    <xf numFmtId="0" fontId="12" fillId="0" borderId="2" xfId="15" applyFont="1" applyBorder="1" applyAlignment="1">
      <alignment horizontal="center" vertical="center"/>
    </xf>
    <xf numFmtId="0" fontId="12" fillId="0" borderId="45" xfId="15" applyFont="1" applyBorder="1"/>
    <xf numFmtId="0" fontId="12" fillId="0" borderId="3" xfId="9" applyFont="1" applyBorder="1"/>
    <xf numFmtId="0" fontId="12" fillId="0" borderId="46" xfId="15" applyFont="1" applyBorder="1"/>
    <xf numFmtId="0" fontId="4" fillId="0" borderId="0" xfId="15" applyFont="1"/>
    <xf numFmtId="0" fontId="24" fillId="0" borderId="0" xfId="9" applyFont="1" applyAlignment="1">
      <alignment horizontal="center" vertical="center"/>
    </xf>
    <xf numFmtId="0" fontId="4" fillId="0" borderId="0" xfId="15" applyFont="1" applyAlignment="1">
      <alignment horizontal="center"/>
    </xf>
    <xf numFmtId="0" fontId="8" fillId="0" borderId="0" xfId="15" applyFont="1" applyAlignment="1">
      <alignment horizontal="center" vertical="center"/>
    </xf>
    <xf numFmtId="0" fontId="10" fillId="11" borderId="4" xfId="15" applyFont="1" applyFill="1" applyBorder="1" applyAlignment="1">
      <alignment horizontal="center" vertical="center" wrapText="1"/>
    </xf>
    <xf numFmtId="0" fontId="10" fillId="11" borderId="4" xfId="15" applyFont="1" applyFill="1" applyBorder="1" applyAlignment="1">
      <alignment horizontal="center" vertical="center"/>
    </xf>
    <xf numFmtId="0" fontId="29" fillId="11" borderId="4" xfId="15" applyFont="1" applyFill="1" applyBorder="1" applyAlignment="1">
      <alignment horizontal="center" vertical="center" wrapText="1"/>
    </xf>
    <xf numFmtId="0" fontId="10" fillId="15" borderId="12" xfId="15" applyFont="1" applyFill="1" applyBorder="1" applyAlignment="1">
      <alignment horizontal="center" vertical="center" wrapText="1"/>
    </xf>
    <xf numFmtId="0" fontId="10" fillId="15" borderId="13" xfId="15" applyFont="1" applyFill="1" applyBorder="1" applyAlignment="1">
      <alignment horizontal="center" vertical="center" wrapText="1"/>
    </xf>
    <xf numFmtId="0" fontId="11" fillId="5" borderId="11" xfId="25" applyNumberFormat="1" applyFont="1" applyFill="1" applyBorder="1" applyAlignment="1" applyProtection="1">
      <alignment horizontal="center" vertical="center" wrapText="1"/>
    </xf>
    <xf numFmtId="0" fontId="19" fillId="0" borderId="4" xfId="0" applyFont="1" applyBorder="1" applyAlignment="1">
      <alignment horizontal="justify" vertical="center" wrapText="1"/>
    </xf>
    <xf numFmtId="2" fontId="12" fillId="2" borderId="4" xfId="11" applyNumberFormat="1" applyFont="1" applyFill="1" applyBorder="1" applyAlignment="1" applyProtection="1">
      <alignment horizontal="center" vertical="center"/>
      <protection locked="0"/>
    </xf>
    <xf numFmtId="0" fontId="10" fillId="2" borderId="19" xfId="15" applyFont="1" applyFill="1" applyBorder="1" applyAlignment="1" applyProtection="1">
      <alignment horizontal="center" vertical="center" wrapText="1"/>
      <protection locked="0"/>
    </xf>
    <xf numFmtId="2" fontId="19" fillId="0" borderId="4" xfId="0" applyNumberFormat="1" applyFont="1" applyBorder="1" applyAlignment="1">
      <alignment horizontal="center" vertical="center" wrapText="1"/>
    </xf>
    <xf numFmtId="164" fontId="14" fillId="0" borderId="17" xfId="4" applyFont="1" applyBorder="1" applyAlignment="1" applyProtection="1">
      <alignment horizontal="center" vertical="center"/>
    </xf>
    <xf numFmtId="164" fontId="12" fillId="0" borderId="19" xfId="4" applyFont="1" applyBorder="1" applyAlignment="1" applyProtection="1">
      <alignment horizontal="center" vertical="center"/>
    </xf>
    <xf numFmtId="0" fontId="12" fillId="2" borderId="19" xfId="15" applyFont="1" applyFill="1" applyBorder="1" applyAlignment="1" applyProtection="1">
      <alignment vertical="center" wrapText="1"/>
      <protection locked="0"/>
    </xf>
    <xf numFmtId="0" fontId="12" fillId="2" borderId="19" xfId="15" applyFont="1" applyFill="1" applyBorder="1" applyAlignment="1" applyProtection="1">
      <alignment vertical="center"/>
      <protection locked="0"/>
    </xf>
    <xf numFmtId="0" fontId="19" fillId="0" borderId="40" xfId="0" applyFont="1" applyBorder="1" applyAlignment="1">
      <alignment horizontal="center" vertical="center" wrapText="1"/>
    </xf>
    <xf numFmtId="2" fontId="19" fillId="0" borderId="40" xfId="0" applyNumberFormat="1" applyFont="1" applyBorder="1" applyAlignment="1">
      <alignment horizontal="center" vertical="center" wrapText="1"/>
    </xf>
    <xf numFmtId="165" fontId="10" fillId="11" borderId="25" xfId="15" applyNumberFormat="1" applyFont="1" applyFill="1" applyBorder="1" applyAlignment="1">
      <alignment vertical="center"/>
    </xf>
    <xf numFmtId="2" fontId="10" fillId="11" borderId="4" xfId="15" applyNumberFormat="1" applyFont="1" applyFill="1" applyBorder="1" applyAlignment="1">
      <alignment horizontal="center" vertical="center"/>
    </xf>
    <xf numFmtId="164" fontId="14" fillId="0" borderId="0" xfId="4" applyFont="1" applyBorder="1" applyAlignment="1" applyProtection="1">
      <alignment horizontal="center" vertical="center"/>
    </xf>
    <xf numFmtId="164" fontId="12" fillId="0" borderId="0" xfId="4" applyFont="1" applyBorder="1" applyAlignment="1" applyProtection="1">
      <alignment horizontal="center" vertical="center"/>
    </xf>
    <xf numFmtId="0" fontId="12" fillId="0" borderId="3" xfId="15" applyFont="1" applyBorder="1" applyAlignment="1">
      <alignment horizontal="center" vertical="center"/>
    </xf>
    <xf numFmtId="0" fontId="0" fillId="0" borderId="46" xfId="0" applyBorder="1"/>
    <xf numFmtId="0" fontId="29" fillId="15" borderId="12" xfId="15" applyFont="1" applyFill="1" applyBorder="1" applyAlignment="1">
      <alignment horizontal="center" vertical="center" wrapText="1"/>
    </xf>
    <xf numFmtId="0" fontId="30" fillId="8" borderId="4" xfId="0" applyFont="1" applyFill="1"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center"/>
    </xf>
    <xf numFmtId="2" fontId="0" fillId="0" borderId="4" xfId="0" applyNumberFormat="1" applyBorder="1" applyAlignment="1">
      <alignment horizontal="center"/>
    </xf>
    <xf numFmtId="0" fontId="17" fillId="0" borderId="17" xfId="6" applyFont="1" applyBorder="1" applyAlignment="1">
      <alignment horizontal="center" vertical="center"/>
    </xf>
    <xf numFmtId="0" fontId="19" fillId="8" borderId="4" xfId="0" applyFont="1" applyFill="1" applyBorder="1" applyAlignment="1">
      <alignment horizontal="center" vertical="center"/>
    </xf>
    <xf numFmtId="0" fontId="0" fillId="0" borderId="40" xfId="0" applyBorder="1" applyAlignment="1">
      <alignment horizontal="center"/>
    </xf>
    <xf numFmtId="2" fontId="0" fillId="0" borderId="40" xfId="0" applyNumberFormat="1" applyBorder="1" applyAlignment="1">
      <alignment horizontal="center"/>
    </xf>
    <xf numFmtId="0" fontId="10" fillId="11" borderId="4" xfId="15" applyFont="1" applyFill="1" applyBorder="1" applyAlignment="1">
      <alignment horizontal="center"/>
    </xf>
    <xf numFmtId="2" fontId="10" fillId="11" borderId="4" xfId="15" applyNumberFormat="1" applyFont="1" applyFill="1" applyBorder="1" applyAlignment="1">
      <alignment horizontal="center"/>
    </xf>
    <xf numFmtId="0" fontId="12" fillId="0" borderId="0" xfId="15" applyFont="1" applyAlignment="1">
      <alignment horizontal="right" vertical="center"/>
    </xf>
    <xf numFmtId="0" fontId="4" fillId="0" borderId="0" xfId="9" applyFont="1" applyAlignment="1">
      <alignment horizontal="center" vertical="center"/>
    </xf>
    <xf numFmtId="0" fontId="4" fillId="0" borderId="0" xfId="9" applyFont="1" applyAlignment="1">
      <alignment horizontal="center"/>
    </xf>
    <xf numFmtId="1" fontId="4" fillId="0" borderId="0" xfId="9" applyNumberFormat="1" applyFont="1" applyAlignment="1">
      <alignment horizontal="center"/>
    </xf>
    <xf numFmtId="0" fontId="4" fillId="0" borderId="0" xfId="9" applyFont="1"/>
    <xf numFmtId="2" fontId="12" fillId="0" borderId="0" xfId="9" applyNumberFormat="1" applyFont="1" applyAlignment="1">
      <alignment horizontal="center"/>
    </xf>
    <xf numFmtId="4" fontId="4" fillId="0" borderId="0" xfId="9" applyNumberFormat="1" applyFont="1" applyAlignment="1">
      <alignment horizontal="center"/>
    </xf>
    <xf numFmtId="0" fontId="21" fillId="0" borderId="52" xfId="9" applyFont="1" applyBorder="1" applyAlignment="1">
      <alignment horizontal="left" vertical="center"/>
    </xf>
    <xf numFmtId="0" fontId="13" fillId="0" borderId="31" xfId="9" applyFont="1" applyBorder="1" applyAlignment="1">
      <alignment horizontal="left"/>
    </xf>
    <xf numFmtId="1" fontId="13" fillId="0" borderId="31" xfId="9" applyNumberFormat="1" applyFont="1" applyBorder="1" applyAlignment="1">
      <alignment horizontal="center"/>
    </xf>
    <xf numFmtId="0" fontId="13" fillId="0" borderId="31" xfId="9" applyFont="1" applyBorder="1"/>
    <xf numFmtId="0" fontId="4" fillId="0" borderId="31" xfId="9" applyFont="1" applyBorder="1" applyAlignment="1">
      <alignment horizontal="center"/>
    </xf>
    <xf numFmtId="1" fontId="4" fillId="0" borderId="31" xfId="9" applyNumberFormat="1" applyFont="1" applyBorder="1" applyAlignment="1">
      <alignment horizontal="center"/>
    </xf>
    <xf numFmtId="2" fontId="12" fillId="0" borderId="31" xfId="9" applyNumberFormat="1" applyFont="1" applyBorder="1" applyAlignment="1">
      <alignment horizontal="center"/>
    </xf>
    <xf numFmtId="4" fontId="4" fillId="0" borderId="53" xfId="9" applyNumberFormat="1" applyFont="1" applyBorder="1" applyAlignment="1">
      <alignment horizontal="center"/>
    </xf>
    <xf numFmtId="0" fontId="21" fillId="0" borderId="3" xfId="9" applyFont="1" applyBorder="1" applyAlignment="1">
      <alignment horizontal="left" vertical="center"/>
    </xf>
    <xf numFmtId="0" fontId="13" fillId="0" borderId="0" xfId="9" applyFont="1" applyAlignment="1">
      <alignment horizontal="left"/>
    </xf>
    <xf numFmtId="1" fontId="13" fillId="0" borderId="0" xfId="9" applyNumberFormat="1" applyFont="1" applyAlignment="1">
      <alignment horizontal="center"/>
    </xf>
    <xf numFmtId="0" fontId="13" fillId="0" borderId="0" xfId="9" applyFont="1"/>
    <xf numFmtId="4" fontId="4" fillId="0" borderId="46" xfId="9" applyNumberFormat="1" applyFont="1" applyBorder="1" applyAlignment="1">
      <alignment horizontal="center"/>
    </xf>
    <xf numFmtId="0" fontId="13" fillId="0" borderId="0" xfId="9" applyFont="1" applyAlignment="1">
      <alignment horizontal="left" vertical="center"/>
    </xf>
    <xf numFmtId="1" fontId="13" fillId="0" borderId="0" xfId="9" applyNumberFormat="1" applyFont="1" applyAlignment="1">
      <alignment horizontal="center" vertical="center"/>
    </xf>
    <xf numFmtId="0" fontId="13" fillId="0" borderId="0" xfId="9" applyFont="1" applyAlignment="1">
      <alignment vertical="center"/>
    </xf>
    <xf numFmtId="1" fontId="4" fillId="0" borderId="0" xfId="9" applyNumberFormat="1" applyFont="1" applyAlignment="1">
      <alignment horizontal="center" vertical="center"/>
    </xf>
    <xf numFmtId="2" fontId="12" fillId="0" borderId="0" xfId="9" applyNumberFormat="1" applyFont="1" applyAlignment="1">
      <alignment horizontal="center" vertical="center"/>
    </xf>
    <xf numFmtId="4" fontId="4" fillId="0" borderId="46" xfId="9" applyNumberFormat="1" applyFont="1" applyBorder="1" applyAlignment="1">
      <alignment horizontal="center" vertical="center"/>
    </xf>
    <xf numFmtId="0" fontId="4" fillId="0" borderId="0" xfId="9" applyFont="1" applyAlignment="1">
      <alignment vertical="center"/>
    </xf>
    <xf numFmtId="0" fontId="4" fillId="0" borderId="52" xfId="9" applyFont="1" applyBorder="1" applyAlignment="1">
      <alignment horizontal="center" vertical="center"/>
    </xf>
    <xf numFmtId="0" fontId="4" fillId="0" borderId="31" xfId="9" applyFont="1" applyBorder="1" applyAlignment="1">
      <alignment horizontal="left" vertical="center"/>
    </xf>
    <xf numFmtId="1" fontId="4" fillId="0" borderId="31" xfId="9" applyNumberFormat="1" applyFont="1" applyBorder="1" applyAlignment="1">
      <alignment horizontal="center" vertical="center"/>
    </xf>
    <xf numFmtId="0" fontId="4" fillId="0" borderId="31" xfId="9" applyFont="1" applyBorder="1" applyAlignment="1">
      <alignment horizontal="center" vertical="center"/>
    </xf>
    <xf numFmtId="2" fontId="12" fillId="0" borderId="31" xfId="9" applyNumberFormat="1" applyFont="1" applyBorder="1" applyAlignment="1">
      <alignment horizontal="center" vertical="center"/>
    </xf>
    <xf numFmtId="4" fontId="4" fillId="0" borderId="53" xfId="9" applyNumberFormat="1" applyFont="1" applyBorder="1" applyAlignment="1">
      <alignment horizontal="center" vertical="center"/>
    </xf>
    <xf numFmtId="0" fontId="10" fillId="0" borderId="32" xfId="9" applyFont="1" applyBorder="1" applyAlignment="1">
      <alignment horizontal="center" vertical="center"/>
    </xf>
    <xf numFmtId="0" fontId="10" fillId="0" borderId="33" xfId="9" applyFont="1" applyBorder="1" applyAlignment="1">
      <alignment horizontal="center" vertical="center"/>
    </xf>
    <xf numFmtId="1" fontId="10" fillId="0" borderId="33" xfId="9" applyNumberFormat="1" applyFont="1" applyBorder="1" applyAlignment="1">
      <alignment horizontal="center" vertical="center"/>
    </xf>
    <xf numFmtId="0" fontId="10" fillId="0" borderId="33" xfId="9" applyFont="1" applyBorder="1" applyAlignment="1">
      <alignment horizontal="center" vertical="center" wrapText="1"/>
    </xf>
    <xf numFmtId="2" fontId="10" fillId="0" borderId="38" xfId="9" applyNumberFormat="1" applyFont="1" applyBorder="1" applyAlignment="1">
      <alignment horizontal="center" vertical="center" wrapText="1"/>
    </xf>
    <xf numFmtId="4" fontId="10" fillId="0" borderId="34" xfId="9" applyNumberFormat="1" applyFont="1" applyBorder="1" applyAlignment="1">
      <alignment horizontal="center" vertical="center"/>
    </xf>
    <xf numFmtId="0" fontId="12" fillId="0" borderId="0" xfId="6" applyFont="1" applyAlignment="1">
      <alignment horizontal="left"/>
    </xf>
    <xf numFmtId="0" fontId="12" fillId="0" borderId="4" xfId="9" applyFont="1" applyBorder="1" applyAlignment="1">
      <alignment horizontal="center" vertical="center"/>
    </xf>
    <xf numFmtId="1" fontId="12" fillId="0" borderId="4" xfId="1" applyNumberFormat="1" applyFont="1" applyBorder="1" applyAlignment="1" applyProtection="1">
      <alignment horizontal="center" vertical="center"/>
    </xf>
    <xf numFmtId="0" fontId="5" fillId="0" borderId="4" xfId="9" applyFont="1" applyBorder="1" applyAlignment="1">
      <alignment vertical="center" wrapText="1"/>
    </xf>
    <xf numFmtId="0" fontId="5" fillId="0" borderId="4" xfId="9" applyFont="1" applyBorder="1" applyAlignment="1">
      <alignment horizontal="center" vertical="center" wrapText="1"/>
    </xf>
    <xf numFmtId="1" fontId="12" fillId="0" borderId="18" xfId="1" applyNumberFormat="1" applyFont="1" applyBorder="1" applyAlignment="1" applyProtection="1">
      <alignment horizontal="center" vertical="center"/>
    </xf>
    <xf numFmtId="4" fontId="12" fillId="0" borderId="48" xfId="1" applyNumberFormat="1" applyFont="1" applyBorder="1" applyAlignment="1" applyProtection="1">
      <alignment horizontal="center" vertical="center"/>
    </xf>
    <xf numFmtId="164" fontId="38" fillId="0" borderId="4" xfId="4" applyFont="1" applyBorder="1" applyAlignment="1" applyProtection="1">
      <alignment horizontal="center" vertical="center"/>
    </xf>
    <xf numFmtId="0" fontId="5" fillId="0" borderId="12" xfId="9" applyFont="1" applyBorder="1" applyAlignment="1">
      <alignment horizontal="center" vertical="center" wrapText="1"/>
    </xf>
    <xf numFmtId="0" fontId="12" fillId="0" borderId="17" xfId="9" applyFont="1" applyBorder="1" applyAlignment="1">
      <alignment horizontal="center" vertical="center" wrapText="1"/>
    </xf>
    <xf numFmtId="0" fontId="12" fillId="0" borderId="21" xfId="9" applyFont="1" applyBorder="1" applyAlignment="1">
      <alignment horizontal="center" vertical="center"/>
    </xf>
    <xf numFmtId="1" fontId="7" fillId="0" borderId="11" xfId="9" applyNumberFormat="1" applyFont="1" applyBorder="1" applyAlignment="1">
      <alignment horizontal="center" vertical="center"/>
    </xf>
    <xf numFmtId="4" fontId="10" fillId="0" borderId="19" xfId="1" applyNumberFormat="1" applyFont="1" applyBorder="1" applyAlignment="1" applyProtection="1">
      <alignment horizontal="center" vertical="center"/>
    </xf>
    <xf numFmtId="2" fontId="10" fillId="11" borderId="55" xfId="9" applyNumberFormat="1" applyFont="1" applyFill="1" applyBorder="1" applyAlignment="1">
      <alignment horizontal="center" vertical="center"/>
    </xf>
    <xf numFmtId="4" fontId="22" fillId="11" borderId="29" xfId="1" applyNumberFormat="1" applyFont="1" applyFill="1" applyBorder="1" applyAlignment="1" applyProtection="1">
      <alignment horizontal="center" vertical="center"/>
    </xf>
    <xf numFmtId="0" fontId="12" fillId="0" borderId="3" xfId="9" applyFont="1" applyBorder="1" applyAlignment="1">
      <alignment horizontal="center" vertical="center" wrapText="1"/>
    </xf>
    <xf numFmtId="0" fontId="12" fillId="0" borderId="0" xfId="9" applyFont="1" applyAlignment="1">
      <alignment horizontal="left" vertical="center"/>
    </xf>
    <xf numFmtId="1" fontId="12" fillId="0" borderId="0" xfId="1" applyNumberFormat="1" applyFont="1" applyBorder="1" applyAlignment="1" applyProtection="1">
      <alignment horizontal="center" vertical="center"/>
    </xf>
    <xf numFmtId="0" fontId="12" fillId="0" borderId="0" xfId="9" applyFont="1" applyAlignment="1">
      <alignment vertical="center" wrapText="1"/>
    </xf>
    <xf numFmtId="0" fontId="12" fillId="0" borderId="0" xfId="9" applyFont="1" applyAlignment="1">
      <alignment horizontal="center" vertical="center" wrapText="1"/>
    </xf>
    <xf numFmtId="2" fontId="12" fillId="0" borderId="0" xfId="1" applyNumberFormat="1" applyFont="1" applyBorder="1" applyAlignment="1" applyProtection="1">
      <alignment horizontal="center" vertical="center"/>
    </xf>
    <xf numFmtId="4" fontId="12" fillId="0" borderId="56" xfId="1" applyNumberFormat="1" applyFont="1" applyBorder="1" applyAlignment="1" applyProtection="1">
      <alignment horizontal="center" vertical="center"/>
    </xf>
    <xf numFmtId="0" fontId="12" fillId="0" borderId="0" xfId="9" applyFont="1" applyAlignment="1">
      <alignment vertical="center"/>
    </xf>
    <xf numFmtId="0" fontId="37" fillId="5" borderId="40" xfId="25" applyNumberFormat="1" applyFont="1" applyFill="1" applyBorder="1" applyAlignment="1" applyProtection="1">
      <alignment horizontal="center" vertical="center" wrapText="1"/>
    </xf>
    <xf numFmtId="0" fontId="10" fillId="5" borderId="40" xfId="25" applyNumberFormat="1" applyFont="1" applyFill="1" applyBorder="1" applyAlignment="1" applyProtection="1">
      <alignment horizontal="center" vertical="center" wrapText="1"/>
    </xf>
    <xf numFmtId="0" fontId="10" fillId="12" borderId="11" xfId="9" applyFont="1" applyFill="1" applyBorder="1" applyAlignment="1">
      <alignment horizontal="center" vertical="center" wrapText="1"/>
    </xf>
    <xf numFmtId="1" fontId="6" fillId="0" borderId="17" xfId="0" applyNumberFormat="1" applyFont="1" applyBorder="1" applyAlignment="1">
      <alignment horizontal="center" vertical="center"/>
    </xf>
    <xf numFmtId="0" fontId="12" fillId="0" borderId="12" xfId="9" applyFont="1" applyBorder="1" applyAlignment="1">
      <alignment horizontal="center" vertical="center"/>
    </xf>
    <xf numFmtId="1" fontId="12" fillId="0" borderId="12" xfId="1" applyNumberFormat="1" applyFont="1" applyBorder="1" applyAlignment="1" applyProtection="1">
      <alignment horizontal="center" vertical="center"/>
    </xf>
    <xf numFmtId="4" fontId="10" fillId="0" borderId="25" xfId="1" applyNumberFormat="1" applyFont="1" applyBorder="1" applyAlignment="1" applyProtection="1">
      <alignment horizontal="center" vertical="center"/>
    </xf>
    <xf numFmtId="2" fontId="10" fillId="0" borderId="33" xfId="9" applyNumberFormat="1" applyFont="1" applyBorder="1" applyAlignment="1">
      <alignment horizontal="center" vertical="center" wrapText="1"/>
    </xf>
    <xf numFmtId="0" fontId="30" fillId="0" borderId="0" xfId="0" applyFont="1"/>
    <xf numFmtId="0" fontId="5" fillId="8" borderId="4" xfId="9" applyFont="1" applyFill="1" applyBorder="1" applyAlignment="1">
      <alignment horizontal="justify" vertical="center" wrapText="1"/>
    </xf>
    <xf numFmtId="0" fontId="5" fillId="8" borderId="4" xfId="9" applyFont="1" applyFill="1" applyBorder="1" applyAlignment="1">
      <alignment horizontal="center" vertical="center" wrapText="1"/>
    </xf>
    <xf numFmtId="0" fontId="5" fillId="0" borderId="4" xfId="9" applyFont="1" applyBorder="1" applyAlignment="1">
      <alignment horizontal="justify" vertical="center" wrapText="1"/>
    </xf>
    <xf numFmtId="1" fontId="6" fillId="0" borderId="17" xfId="9" applyNumberFormat="1" applyFont="1" applyBorder="1" applyAlignment="1">
      <alignment horizontal="center" vertical="center"/>
    </xf>
    <xf numFmtId="0" fontId="5" fillId="8" borderId="12" xfId="9" applyFont="1" applyFill="1" applyBorder="1" applyAlignment="1">
      <alignment horizontal="center" vertical="center" wrapText="1"/>
    </xf>
    <xf numFmtId="4" fontId="0" fillId="0" borderId="19" xfId="0" applyNumberFormat="1" applyBorder="1" applyAlignment="1">
      <alignment horizontal="center"/>
    </xf>
    <xf numFmtId="0" fontId="5" fillId="0" borderId="2" xfId="0" applyFont="1" applyBorder="1"/>
    <xf numFmtId="0" fontId="12" fillId="0" borderId="2" xfId="0" applyFont="1" applyBorder="1"/>
    <xf numFmtId="0" fontId="4" fillId="0" borderId="2" xfId="6" applyFont="1" applyBorder="1"/>
    <xf numFmtId="0" fontId="4" fillId="0" borderId="45" xfId="6" applyFont="1" applyBorder="1"/>
    <xf numFmtId="0" fontId="4" fillId="0" borderId="3" xfId="6" applyFont="1" applyBorder="1"/>
    <xf numFmtId="0" fontId="4" fillId="0" borderId="46" xfId="6" applyFont="1" applyBorder="1"/>
    <xf numFmtId="0" fontId="40" fillId="0" borderId="0" xfId="6" applyFont="1" applyAlignment="1">
      <alignment vertical="center"/>
    </xf>
    <xf numFmtId="0" fontId="9" fillId="11" borderId="58" xfId="6" applyFont="1" applyFill="1" applyBorder="1" applyAlignment="1">
      <alignment vertical="center"/>
    </xf>
    <xf numFmtId="0" fontId="41" fillId="11" borderId="59" xfId="6" applyFont="1" applyFill="1" applyBorder="1" applyAlignment="1">
      <alignment vertical="center" wrapText="1"/>
    </xf>
    <xf numFmtId="0" fontId="24" fillId="11" borderId="59" xfId="6" applyFont="1" applyFill="1" applyBorder="1" applyAlignment="1">
      <alignment vertical="center"/>
    </xf>
    <xf numFmtId="0" fontId="22" fillId="11" borderId="59" xfId="6" applyFont="1" applyFill="1" applyBorder="1" applyAlignment="1">
      <alignment vertical="center"/>
    </xf>
    <xf numFmtId="0" fontId="9" fillId="11" borderId="59" xfId="6" applyFont="1" applyFill="1" applyBorder="1" applyAlignment="1">
      <alignment vertical="center"/>
    </xf>
    <xf numFmtId="0" fontId="8" fillId="11" borderId="2" xfId="6" applyFont="1" applyFill="1" applyBorder="1" applyAlignment="1">
      <alignment horizontal="center" vertical="center" wrapText="1"/>
    </xf>
    <xf numFmtId="0" fontId="12" fillId="11" borderId="22" xfId="6" applyFont="1" applyFill="1" applyBorder="1" applyAlignment="1">
      <alignment horizontal="center" vertical="center" wrapText="1"/>
    </xf>
    <xf numFmtId="0" fontId="13" fillId="11" borderId="25" xfId="6" applyFont="1" applyFill="1" applyBorder="1" applyAlignment="1">
      <alignment horizontal="center" vertical="center" wrapText="1"/>
    </xf>
    <xf numFmtId="0" fontId="12" fillId="11" borderId="22" xfId="6" applyFont="1" applyFill="1" applyBorder="1" applyAlignment="1">
      <alignment horizontal="center" vertical="center"/>
    </xf>
    <xf numFmtId="0" fontId="12" fillId="11" borderId="23" xfId="6" applyFont="1" applyFill="1" applyBorder="1" applyAlignment="1">
      <alignment horizontal="center" vertical="center" wrapText="1"/>
    </xf>
    <xf numFmtId="0" fontId="12" fillId="11" borderId="24" xfId="6" applyFont="1" applyFill="1" applyBorder="1" applyAlignment="1">
      <alignment horizontal="center" vertical="center" wrapText="1"/>
    </xf>
    <xf numFmtId="0" fontId="12" fillId="11" borderId="40" xfId="6" applyFont="1" applyFill="1" applyBorder="1" applyAlignment="1">
      <alignment horizontal="center" vertical="center" wrapText="1"/>
    </xf>
    <xf numFmtId="0" fontId="12" fillId="11" borderId="63" xfId="6" applyFont="1" applyFill="1" applyBorder="1" applyAlignment="1">
      <alignment horizontal="center" vertical="center" wrapText="1"/>
    </xf>
    <xf numFmtId="0" fontId="12" fillId="11" borderId="51" xfId="6" applyFont="1" applyFill="1" applyBorder="1" applyAlignment="1">
      <alignment horizontal="center" vertical="center" wrapText="1"/>
    </xf>
    <xf numFmtId="0" fontId="12" fillId="11" borderId="64" xfId="6" applyFont="1" applyFill="1" applyBorder="1" applyAlignment="1">
      <alignment horizontal="center" vertical="center" wrapText="1"/>
    </xf>
    <xf numFmtId="0" fontId="13" fillId="11" borderId="24" xfId="6" applyFont="1" applyFill="1" applyBorder="1" applyAlignment="1">
      <alignment horizontal="center" vertical="center" wrapText="1"/>
    </xf>
    <xf numFmtId="0" fontId="12" fillId="11" borderId="25" xfId="6" applyFont="1" applyFill="1" applyBorder="1" applyAlignment="1">
      <alignment horizontal="center" vertical="center" wrapText="1"/>
    </xf>
    <xf numFmtId="0" fontId="4" fillId="0" borderId="12" xfId="6" applyFont="1" applyBorder="1" applyAlignment="1">
      <alignment vertical="center" wrapText="1"/>
    </xf>
    <xf numFmtId="1" fontId="4" fillId="0" borderId="12" xfId="6" applyNumberFormat="1" applyFont="1" applyBorder="1" applyAlignment="1">
      <alignment horizontal="center" vertical="center"/>
    </xf>
    <xf numFmtId="1" fontId="4" fillId="0" borderId="11" xfId="6" applyNumberFormat="1" applyFont="1" applyBorder="1" applyAlignment="1">
      <alignment horizontal="center" vertical="center"/>
    </xf>
    <xf numFmtId="4" fontId="4" fillId="0" borderId="12" xfId="6" applyNumberFormat="1" applyFont="1" applyBorder="1" applyAlignment="1">
      <alignment horizontal="center" vertical="center"/>
    </xf>
    <xf numFmtId="4" fontId="4" fillId="0" borderId="13" xfId="6" applyNumberFormat="1" applyFont="1" applyBorder="1" applyAlignment="1">
      <alignment horizontal="center" vertical="center"/>
    </xf>
    <xf numFmtId="4" fontId="4" fillId="0" borderId="32" xfId="6" applyNumberFormat="1" applyFont="1" applyBorder="1" applyAlignment="1">
      <alignment horizontal="center" vertical="center"/>
    </xf>
    <xf numFmtId="166" fontId="8" fillId="0" borderId="33" xfId="1" applyFont="1" applyBorder="1" applyAlignment="1" applyProtection="1">
      <alignment horizontal="center" vertical="center"/>
    </xf>
    <xf numFmtId="166" fontId="8" fillId="0" borderId="34" xfId="1" applyFont="1" applyBorder="1" applyAlignment="1" applyProtection="1">
      <alignment horizontal="center" vertical="center"/>
    </xf>
    <xf numFmtId="4" fontId="4" fillId="0" borderId="43" xfId="6" applyNumberFormat="1" applyFont="1" applyBorder="1" applyAlignment="1">
      <alignment horizontal="center" vertical="center"/>
    </xf>
    <xf numFmtId="4" fontId="4" fillId="0" borderId="16" xfId="6" applyNumberFormat="1" applyFont="1" applyBorder="1" applyAlignment="1">
      <alignment horizontal="center" vertical="center"/>
    </xf>
    <xf numFmtId="166" fontId="8" fillId="0" borderId="12" xfId="1" applyFont="1" applyBorder="1" applyAlignment="1" applyProtection="1">
      <alignment horizontal="center" vertical="center"/>
    </xf>
    <xf numFmtId="166" fontId="8" fillId="0" borderId="13" xfId="1" applyFont="1" applyBorder="1" applyAlignment="1" applyProtection="1">
      <alignment horizontal="center" vertical="center"/>
    </xf>
    <xf numFmtId="166" fontId="4" fillId="0" borderId="11" xfId="1" applyFont="1" applyBorder="1" applyAlignment="1" applyProtection="1">
      <alignment horizontal="center" vertical="center"/>
    </xf>
    <xf numFmtId="166" fontId="4" fillId="0" borderId="12" xfId="1" applyFont="1" applyBorder="1" applyAlignment="1" applyProtection="1">
      <alignment horizontal="center" vertical="center"/>
    </xf>
    <xf numFmtId="166" fontId="8" fillId="0" borderId="65" xfId="1" applyFont="1" applyBorder="1" applyAlignment="1" applyProtection="1">
      <alignment horizontal="center" vertical="center"/>
    </xf>
    <xf numFmtId="166" fontId="8" fillId="11" borderId="11" xfId="1" applyFont="1" applyFill="1" applyBorder="1" applyAlignment="1" applyProtection="1">
      <alignment horizontal="center" vertical="center"/>
    </xf>
    <xf numFmtId="166" fontId="8" fillId="11" borderId="12" xfId="1" applyFont="1" applyFill="1" applyBorder="1" applyAlignment="1" applyProtection="1">
      <alignment horizontal="center" vertical="center"/>
    </xf>
    <xf numFmtId="166" fontId="8" fillId="11" borderId="14" xfId="1" applyFont="1" applyFill="1" applyBorder="1" applyAlignment="1" applyProtection="1">
      <alignment horizontal="center" vertical="center"/>
    </xf>
    <xf numFmtId="164" fontId="4" fillId="0" borderId="66" xfId="2" applyFont="1" applyBorder="1" applyAlignment="1" applyProtection="1">
      <alignment horizontal="right" vertical="center"/>
    </xf>
    <xf numFmtId="4" fontId="4" fillId="0" borderId="17" xfId="6" applyNumberFormat="1" applyFont="1" applyBorder="1" applyAlignment="1">
      <alignment horizontal="center" vertical="center"/>
    </xf>
    <xf numFmtId="166" fontId="8" fillId="0" borderId="4" xfId="1" applyFont="1" applyBorder="1" applyAlignment="1" applyProtection="1">
      <alignment horizontal="center" vertical="center"/>
    </xf>
    <xf numFmtId="166" fontId="8" fillId="0" borderId="19" xfId="1" applyFont="1" applyBorder="1" applyAlignment="1" applyProtection="1">
      <alignment horizontal="center" vertical="center"/>
    </xf>
    <xf numFmtId="4" fontId="4" fillId="0" borderId="21" xfId="6" applyNumberFormat="1" applyFont="1" applyBorder="1" applyAlignment="1">
      <alignment horizontal="center" vertical="center"/>
    </xf>
    <xf numFmtId="166" fontId="8" fillId="0" borderId="18" xfId="1" applyFont="1" applyBorder="1" applyAlignment="1" applyProtection="1">
      <alignment horizontal="center" vertical="center"/>
    </xf>
    <xf numFmtId="166" fontId="4" fillId="0" borderId="17" xfId="1" applyFont="1" applyBorder="1" applyAlignment="1" applyProtection="1">
      <alignment horizontal="center" vertical="center"/>
    </xf>
    <xf numFmtId="166" fontId="4" fillId="0" borderId="4" xfId="1" applyFont="1" applyBorder="1" applyAlignment="1" applyProtection="1">
      <alignment horizontal="center" vertical="center"/>
    </xf>
    <xf numFmtId="166" fontId="8" fillId="0" borderId="37" xfId="1" applyFont="1" applyBorder="1" applyAlignment="1" applyProtection="1">
      <alignment horizontal="center" vertical="center"/>
    </xf>
    <xf numFmtId="166" fontId="8" fillId="11" borderId="17" xfId="1" applyFont="1" applyFill="1" applyBorder="1" applyAlignment="1" applyProtection="1">
      <alignment horizontal="center" vertical="center"/>
    </xf>
    <xf numFmtId="166" fontId="8" fillId="11" borderId="4" xfId="1" applyFont="1" applyFill="1" applyBorder="1" applyAlignment="1" applyProtection="1">
      <alignment horizontal="center" vertical="center"/>
    </xf>
    <xf numFmtId="166" fontId="8" fillId="11" borderId="19" xfId="1" applyFont="1" applyFill="1" applyBorder="1" applyAlignment="1" applyProtection="1">
      <alignment horizontal="center" vertical="center"/>
    </xf>
    <xf numFmtId="0" fontId="8" fillId="0" borderId="67" xfId="6" applyFont="1" applyBorder="1" applyAlignment="1">
      <alignment horizontal="center" vertical="center"/>
    </xf>
    <xf numFmtId="0" fontId="4" fillId="0" borderId="56" xfId="6" applyFont="1" applyBorder="1" applyAlignment="1">
      <alignment vertical="center" wrapText="1"/>
    </xf>
    <xf numFmtId="1" fontId="4" fillId="0" borderId="56" xfId="6" applyNumberFormat="1" applyFont="1" applyBorder="1" applyAlignment="1">
      <alignment horizontal="center" vertical="center"/>
    </xf>
    <xf numFmtId="1" fontId="4" fillId="0" borderId="67" xfId="6" applyNumberFormat="1" applyFont="1" applyBorder="1" applyAlignment="1">
      <alignment horizontal="center" vertical="center"/>
    </xf>
    <xf numFmtId="4" fontId="4" fillId="0" borderId="56" xfId="6" applyNumberFormat="1" applyFont="1" applyBorder="1" applyAlignment="1">
      <alignment horizontal="center" vertical="center"/>
    </xf>
    <xf numFmtId="4" fontId="4" fillId="0" borderId="41" xfId="6" applyNumberFormat="1" applyFont="1" applyBorder="1" applyAlignment="1">
      <alignment horizontal="center" vertical="center"/>
    </xf>
    <xf numFmtId="4" fontId="4" fillId="0" borderId="49" xfId="6" applyNumberFormat="1" applyFont="1" applyBorder="1" applyAlignment="1">
      <alignment horizontal="center" vertical="center"/>
    </xf>
    <xf numFmtId="166" fontId="8" fillId="0" borderId="40" xfId="1" applyFont="1" applyBorder="1" applyAlignment="1" applyProtection="1">
      <alignment horizontal="center" vertical="center"/>
    </xf>
    <xf numFmtId="166" fontId="8" fillId="0" borderId="63" xfId="1" applyFont="1" applyBorder="1" applyAlignment="1" applyProtection="1">
      <alignment horizontal="center" vertical="center"/>
    </xf>
    <xf numFmtId="4" fontId="4" fillId="0" borderId="51" xfId="6" applyNumberFormat="1" applyFont="1" applyBorder="1" applyAlignment="1">
      <alignment horizontal="center" vertical="center"/>
    </xf>
    <xf numFmtId="166" fontId="8" fillId="0" borderId="64" xfId="1" applyFont="1" applyBorder="1" applyAlignment="1" applyProtection="1">
      <alignment horizontal="center" vertical="center"/>
    </xf>
    <xf numFmtId="166" fontId="4" fillId="0" borderId="49" xfId="1" applyFont="1" applyBorder="1" applyAlignment="1" applyProtection="1">
      <alignment horizontal="center" vertical="center"/>
    </xf>
    <xf numFmtId="166" fontId="4" fillId="0" borderId="40" xfId="1" applyFont="1" applyBorder="1" applyAlignment="1" applyProtection="1">
      <alignment horizontal="center" vertical="center"/>
    </xf>
    <xf numFmtId="166" fontId="8" fillId="0" borderId="52" xfId="1" applyFont="1" applyBorder="1" applyAlignment="1" applyProtection="1">
      <alignment horizontal="center" vertical="center"/>
    </xf>
    <xf numFmtId="166" fontId="8" fillId="11" borderId="49" xfId="1" applyFont="1" applyFill="1" applyBorder="1" applyAlignment="1" applyProtection="1">
      <alignment horizontal="center" vertical="center"/>
    </xf>
    <xf numFmtId="166" fontId="8" fillId="11" borderId="40" xfId="1" applyFont="1" applyFill="1" applyBorder="1" applyAlignment="1" applyProtection="1">
      <alignment horizontal="center" vertical="center"/>
    </xf>
    <xf numFmtId="166" fontId="8" fillId="11" borderId="63" xfId="1" applyFont="1" applyFill="1" applyBorder="1" applyAlignment="1" applyProtection="1">
      <alignment horizontal="center" vertical="center"/>
    </xf>
    <xf numFmtId="164" fontId="4" fillId="0" borderId="46" xfId="2" applyFont="1" applyBorder="1" applyAlignment="1" applyProtection="1">
      <alignment horizontal="right" vertical="center"/>
    </xf>
    <xf numFmtId="1" fontId="22" fillId="11" borderId="5" xfId="6" applyNumberFormat="1" applyFont="1" applyFill="1" applyBorder="1" applyAlignment="1">
      <alignment horizontal="center" vertical="center"/>
    </xf>
    <xf numFmtId="4" fontId="22" fillId="11" borderId="7" xfId="6" applyNumberFormat="1" applyFont="1" applyFill="1" applyBorder="1" applyAlignment="1">
      <alignment horizontal="center" vertical="center"/>
    </xf>
    <xf numFmtId="4" fontId="22" fillId="11" borderId="6" xfId="6" applyNumberFormat="1" applyFont="1" applyFill="1" applyBorder="1" applyAlignment="1">
      <alignment horizontal="center" vertical="center"/>
    </xf>
    <xf numFmtId="4" fontId="22" fillId="11" borderId="5" xfId="6" applyNumberFormat="1" applyFont="1" applyFill="1" applyBorder="1" applyAlignment="1">
      <alignment horizontal="center" vertical="center"/>
    </xf>
    <xf numFmtId="4" fontId="22" fillId="11" borderId="8" xfId="6" applyNumberFormat="1" applyFont="1" applyFill="1" applyBorder="1" applyAlignment="1">
      <alignment horizontal="center" vertical="center"/>
    </xf>
    <xf numFmtId="166" fontId="22" fillId="11" borderId="10" xfId="1" applyFont="1" applyFill="1" applyBorder="1" applyAlignment="1" applyProtection="1">
      <alignment horizontal="center" vertical="center"/>
    </xf>
    <xf numFmtId="4" fontId="22" fillId="11" borderId="10" xfId="6" applyNumberFormat="1" applyFont="1" applyFill="1" applyBorder="1" applyAlignment="1">
      <alignment horizontal="center" vertical="center"/>
    </xf>
    <xf numFmtId="166" fontId="22" fillId="11" borderId="58" xfId="1" applyFont="1" applyFill="1" applyBorder="1" applyAlignment="1" applyProtection="1">
      <alignment horizontal="center" vertical="center"/>
    </xf>
    <xf numFmtId="166" fontId="22" fillId="11" borderId="5" xfId="1" applyFont="1" applyFill="1" applyBorder="1" applyAlignment="1" applyProtection="1">
      <alignment horizontal="center" vertical="center"/>
    </xf>
    <xf numFmtId="164" fontId="22" fillId="17" borderId="60" xfId="2" applyFont="1" applyFill="1" applyBorder="1" applyAlignment="1" applyProtection="1">
      <alignment horizontal="center" vertical="center"/>
    </xf>
    <xf numFmtId="0" fontId="10" fillId="0" borderId="3" xfId="6" applyFont="1" applyBorder="1" applyAlignment="1">
      <alignment vertical="center"/>
    </xf>
    <xf numFmtId="0" fontId="10" fillId="0" borderId="0" xfId="6" applyFont="1" applyAlignment="1">
      <alignment vertical="center"/>
    </xf>
    <xf numFmtId="164" fontId="9" fillId="11" borderId="50" xfId="2" applyFont="1" applyFill="1" applyBorder="1" applyAlignment="1" applyProtection="1">
      <alignment vertical="center"/>
    </xf>
    <xf numFmtId="164" fontId="22" fillId="11" borderId="9" xfId="2" applyFont="1" applyFill="1" applyBorder="1" applyAlignment="1" applyProtection="1">
      <alignment vertical="center"/>
    </xf>
    <xf numFmtId="0" fontId="12" fillId="0" borderId="0" xfId="6" applyFont="1"/>
    <xf numFmtId="0" fontId="12" fillId="0" borderId="0" xfId="6" applyFont="1" applyAlignment="1">
      <alignment vertical="top"/>
    </xf>
    <xf numFmtId="4" fontId="12" fillId="0" borderId="0" xfId="9" applyNumberFormat="1" applyFont="1" applyAlignment="1">
      <alignment horizontal="center"/>
    </xf>
    <xf numFmtId="0" fontId="5" fillId="0" borderId="1" xfId="9" applyFont="1" applyBorder="1" applyAlignment="1">
      <alignment vertical="center"/>
    </xf>
    <xf numFmtId="0" fontId="12" fillId="0" borderId="2" xfId="9" applyFont="1" applyBorder="1" applyAlignment="1">
      <alignment vertical="center"/>
    </xf>
    <xf numFmtId="4" fontId="12" fillId="0" borderId="2" xfId="9" applyNumberFormat="1" applyFont="1" applyBorder="1" applyAlignment="1">
      <alignment horizontal="center" vertical="center"/>
    </xf>
    <xf numFmtId="4" fontId="12" fillId="0" borderId="2" xfId="9" applyNumberFormat="1" applyFont="1" applyBorder="1" applyAlignment="1">
      <alignment horizontal="center"/>
    </xf>
    <xf numFmtId="4" fontId="12" fillId="0" borderId="45" xfId="9" applyNumberFormat="1" applyFont="1" applyBorder="1" applyAlignment="1">
      <alignment horizontal="center"/>
    </xf>
    <xf numFmtId="0" fontId="5" fillId="0" borderId="3" xfId="9" applyFont="1" applyBorder="1" applyAlignment="1">
      <alignment vertical="center"/>
    </xf>
    <xf numFmtId="4" fontId="12" fillId="0" borderId="0" xfId="9" applyNumberFormat="1" applyFont="1" applyAlignment="1">
      <alignment horizontal="center" vertical="center"/>
    </xf>
    <xf numFmtId="4" fontId="12" fillId="0" borderId="46" xfId="9" applyNumberFormat="1" applyFont="1" applyBorder="1" applyAlignment="1">
      <alignment horizontal="center"/>
    </xf>
    <xf numFmtId="0" fontId="13" fillId="0" borderId="3" xfId="9" applyFont="1" applyBorder="1"/>
    <xf numFmtId="0" fontId="12" fillId="11" borderId="55" xfId="9" applyFont="1" applyFill="1" applyBorder="1" applyAlignment="1">
      <alignment vertical="center" wrapText="1"/>
    </xf>
    <xf numFmtId="0" fontId="13" fillId="0" borderId="17" xfId="9" applyFont="1" applyBorder="1" applyAlignment="1">
      <alignment horizontal="center" vertical="center"/>
    </xf>
    <xf numFmtId="0" fontId="13" fillId="0" borderId="4" xfId="9" applyFont="1" applyBorder="1" applyAlignment="1">
      <alignment horizontal="center" vertical="center" wrapText="1"/>
    </xf>
    <xf numFmtId="0" fontId="13" fillId="0" borderId="64" xfId="9" applyFont="1" applyBorder="1" applyAlignment="1">
      <alignment horizontal="center" vertical="center"/>
    </xf>
    <xf numFmtId="1" fontId="12" fillId="0" borderId="4" xfId="9" applyNumberFormat="1" applyFont="1" applyBorder="1" applyAlignment="1" applyProtection="1">
      <alignment horizontal="center" vertical="center"/>
      <protection locked="0"/>
    </xf>
    <xf numFmtId="4" fontId="12" fillId="11" borderId="4" xfId="22" applyNumberFormat="1" applyFont="1" applyFill="1" applyBorder="1" applyAlignment="1" applyProtection="1">
      <alignment horizontal="center" vertical="center"/>
    </xf>
    <xf numFmtId="4" fontId="12" fillId="0" borderId="4" xfId="22" applyNumberFormat="1" applyFont="1" applyBorder="1" applyAlignment="1" applyProtection="1">
      <alignment horizontal="center" vertical="center"/>
    </xf>
    <xf numFmtId="4" fontId="12" fillId="0" borderId="19" xfId="22" applyNumberFormat="1" applyFont="1" applyBorder="1" applyAlignment="1" applyProtection="1">
      <alignment horizontal="center" vertical="center"/>
    </xf>
    <xf numFmtId="10" fontId="12" fillId="0" borderId="4" xfId="9" applyNumberFormat="1" applyFont="1" applyBorder="1" applyAlignment="1" applyProtection="1">
      <alignment horizontal="center" vertical="center"/>
      <protection locked="0"/>
    </xf>
    <xf numFmtId="0" fontId="12" fillId="0" borderId="40" xfId="9" applyFont="1" applyBorder="1" applyAlignment="1" applyProtection="1">
      <alignment vertical="center" wrapText="1"/>
      <protection locked="0"/>
    </xf>
    <xf numFmtId="10" fontId="12" fillId="0" borderId="40" xfId="9" applyNumberFormat="1" applyFont="1" applyBorder="1" applyAlignment="1" applyProtection="1">
      <alignment horizontal="center" vertical="center" wrapText="1"/>
      <protection locked="0"/>
    </xf>
    <xf numFmtId="4" fontId="12" fillId="11" borderId="40" xfId="22" applyNumberFormat="1" applyFont="1" applyFill="1" applyBorder="1" applyAlignment="1" applyProtection="1">
      <alignment horizontal="center" vertical="center"/>
    </xf>
    <xf numFmtId="4" fontId="12" fillId="0" borderId="40" xfId="22" applyNumberFormat="1" applyFont="1" applyBorder="1" applyAlignment="1" applyProtection="1">
      <alignment horizontal="center" vertical="center"/>
    </xf>
    <xf numFmtId="4" fontId="12" fillId="0" borderId="63" xfId="22" applyNumberFormat="1" applyFont="1" applyBorder="1" applyAlignment="1" applyProtection="1">
      <alignment horizontal="center" vertical="center"/>
    </xf>
    <xf numFmtId="4" fontId="10" fillId="11" borderId="4" xfId="22" applyNumberFormat="1" applyFont="1" applyFill="1" applyBorder="1" applyAlignment="1" applyProtection="1">
      <alignment horizontal="center" vertical="center"/>
    </xf>
    <xf numFmtId="4" fontId="10" fillId="11" borderId="19" xfId="22" applyNumberFormat="1" applyFont="1" applyFill="1" applyBorder="1" applyAlignment="1" applyProtection="1">
      <alignment horizontal="center" vertical="center"/>
    </xf>
    <xf numFmtId="10" fontId="12" fillId="0" borderId="12" xfId="9" applyNumberFormat="1" applyFont="1" applyBorder="1" applyAlignment="1" applyProtection="1">
      <alignment horizontal="center" vertical="center"/>
      <protection locked="0"/>
    </xf>
    <xf numFmtId="4" fontId="10" fillId="11" borderId="7" xfId="22" applyNumberFormat="1" applyFont="1" applyFill="1" applyBorder="1" applyAlignment="1" applyProtection="1">
      <alignment horizontal="center" vertical="center"/>
    </xf>
    <xf numFmtId="4" fontId="10" fillId="11" borderId="8" xfId="22" applyNumberFormat="1" applyFont="1" applyFill="1" applyBorder="1" applyAlignment="1" applyProtection="1">
      <alignment horizontal="center" vertical="center"/>
    </xf>
    <xf numFmtId="0" fontId="12" fillId="0" borderId="17" xfId="9" applyFont="1" applyBorder="1" applyAlignment="1">
      <alignment horizontal="left" vertical="center"/>
    </xf>
    <xf numFmtId="2" fontId="12" fillId="0" borderId="4" xfId="9" applyNumberFormat="1" applyFont="1" applyBorder="1" applyAlignment="1">
      <alignment horizontal="center" vertical="center"/>
    </xf>
    <xf numFmtId="2" fontId="12" fillId="0" borderId="4" xfId="1" applyNumberFormat="1" applyFont="1" applyBorder="1" applyAlignment="1" applyProtection="1">
      <alignment horizontal="center" vertical="center"/>
    </xf>
    <xf numFmtId="2" fontId="12" fillId="0" borderId="4" xfId="22" applyNumberFormat="1" applyFont="1" applyBorder="1" applyAlignment="1" applyProtection="1">
      <alignment horizontal="center" vertical="center"/>
    </xf>
    <xf numFmtId="10" fontId="12" fillId="0" borderId="4" xfId="3" applyNumberFormat="1" applyFont="1" applyBorder="1" applyAlignment="1" applyProtection="1">
      <alignment horizontal="center" vertical="center"/>
    </xf>
    <xf numFmtId="4" fontId="12" fillId="0" borderId="4" xfId="1" applyNumberFormat="1" applyFont="1" applyBorder="1" applyAlignment="1" applyProtection="1">
      <alignment horizontal="center" vertical="center"/>
      <protection locked="0"/>
    </xf>
    <xf numFmtId="165" fontId="12" fillId="0" borderId="0" xfId="22" applyFont="1" applyBorder="1" applyAlignment="1" applyProtection="1">
      <alignment vertical="center"/>
    </xf>
    <xf numFmtId="0" fontId="12" fillId="0" borderId="4" xfId="9" applyFont="1" applyBorder="1" applyAlignment="1">
      <alignment horizontal="left" vertical="center"/>
    </xf>
    <xf numFmtId="2" fontId="12" fillId="0" borderId="40" xfId="1" applyNumberFormat="1" applyFont="1" applyBorder="1" applyAlignment="1" applyProtection="1">
      <alignment horizontal="center" vertical="center"/>
    </xf>
    <xf numFmtId="2" fontId="12" fillId="0" borderId="40" xfId="22" applyNumberFormat="1" applyFont="1" applyBorder="1" applyAlignment="1" applyProtection="1">
      <alignment horizontal="center" vertical="center"/>
    </xf>
    <xf numFmtId="0" fontId="12" fillId="0" borderId="18" xfId="9" applyFont="1" applyBorder="1" applyAlignment="1">
      <alignment horizontal="center" vertical="center" wrapText="1"/>
    </xf>
    <xf numFmtId="0" fontId="12" fillId="0" borderId="37" xfId="9" applyFont="1" applyBorder="1" applyAlignment="1">
      <alignment vertical="center"/>
    </xf>
    <xf numFmtId="0" fontId="12" fillId="0" borderId="69" xfId="9" applyFont="1" applyBorder="1" applyAlignment="1">
      <alignment vertical="center"/>
    </xf>
    <xf numFmtId="10" fontId="12" fillId="0" borderId="4" xfId="9" applyNumberFormat="1" applyFont="1" applyBorder="1" applyAlignment="1">
      <alignment horizontal="center" vertical="center"/>
    </xf>
    <xf numFmtId="4" fontId="12" fillId="0" borderId="69" xfId="9" applyNumberFormat="1" applyFont="1" applyBorder="1" applyAlignment="1">
      <alignment vertical="center"/>
    </xf>
    <xf numFmtId="0" fontId="12" fillId="0" borderId="52" xfId="9" applyFont="1" applyBorder="1" applyAlignment="1">
      <alignment vertical="center"/>
    </xf>
    <xf numFmtId="0" fontId="12" fillId="0" borderId="31" xfId="9" applyFont="1" applyBorder="1" applyAlignment="1">
      <alignment vertical="center"/>
    </xf>
    <xf numFmtId="10" fontId="12" fillId="0" borderId="40" xfId="9" applyNumberFormat="1" applyFont="1" applyBorder="1" applyAlignment="1">
      <alignment horizontal="center" vertical="center"/>
    </xf>
    <xf numFmtId="4" fontId="12" fillId="0" borderId="31" xfId="9" applyNumberFormat="1" applyFont="1" applyBorder="1" applyAlignment="1">
      <alignment vertical="center"/>
    </xf>
    <xf numFmtId="0" fontId="10" fillId="11" borderId="58" xfId="9" applyFont="1" applyFill="1" applyBorder="1" applyAlignment="1">
      <alignment vertical="center"/>
    </xf>
    <xf numFmtId="0" fontId="10" fillId="11" borderId="59" xfId="9" applyFont="1" applyFill="1" applyBorder="1" applyAlignment="1">
      <alignment vertical="center"/>
    </xf>
    <xf numFmtId="10" fontId="10" fillId="11" borderId="7" xfId="9" applyNumberFormat="1" applyFont="1" applyFill="1" applyBorder="1" applyAlignment="1">
      <alignment horizontal="center" vertical="center"/>
    </xf>
    <xf numFmtId="4" fontId="10" fillId="11" borderId="7" xfId="9" applyNumberFormat="1" applyFont="1" applyFill="1" applyBorder="1" applyAlignment="1">
      <alignment vertical="center"/>
    </xf>
    <xf numFmtId="4" fontId="10" fillId="11" borderId="70" xfId="22" applyNumberFormat="1" applyFont="1" applyFill="1" applyBorder="1" applyAlignment="1" applyProtection="1">
      <alignment horizontal="center" vertical="center"/>
    </xf>
    <xf numFmtId="4" fontId="10" fillId="11" borderId="29" xfId="22" applyNumberFormat="1" applyFont="1" applyFill="1" applyBorder="1" applyAlignment="1" applyProtection="1">
      <alignment horizontal="center" vertical="center"/>
    </xf>
    <xf numFmtId="4" fontId="12" fillId="0" borderId="4" xfId="9" applyNumberFormat="1" applyFont="1" applyBorder="1" applyAlignment="1">
      <alignment horizontal="center" vertical="center"/>
    </xf>
    <xf numFmtId="10" fontId="10" fillId="11" borderId="40" xfId="9" applyNumberFormat="1" applyFont="1" applyFill="1" applyBorder="1" applyAlignment="1">
      <alignment horizontal="center" vertical="center"/>
    </xf>
    <xf numFmtId="4" fontId="10" fillId="11" borderId="40" xfId="9" applyNumberFormat="1" applyFont="1" applyFill="1" applyBorder="1" applyAlignment="1">
      <alignment horizontal="center" vertical="center"/>
    </xf>
    <xf numFmtId="4" fontId="10" fillId="11" borderId="56" xfId="22" applyNumberFormat="1" applyFont="1" applyFill="1" applyBorder="1" applyAlignment="1" applyProtection="1">
      <alignment horizontal="center" vertical="center"/>
    </xf>
    <xf numFmtId="4" fontId="10" fillId="11" borderId="71" xfId="22" applyNumberFormat="1" applyFont="1" applyFill="1" applyBorder="1" applyAlignment="1" applyProtection="1">
      <alignment horizontal="center" vertical="center"/>
    </xf>
    <xf numFmtId="4" fontId="22" fillId="11" borderId="4" xfId="22" applyNumberFormat="1" applyFont="1" applyFill="1" applyBorder="1" applyAlignment="1" applyProtection="1">
      <alignment horizontal="center" vertical="center"/>
    </xf>
    <xf numFmtId="4" fontId="22" fillId="11" borderId="19" xfId="22" applyNumberFormat="1" applyFont="1" applyFill="1" applyBorder="1" applyAlignment="1" applyProtection="1">
      <alignment horizontal="center" vertical="center"/>
    </xf>
    <xf numFmtId="166" fontId="12" fillId="0" borderId="0" xfId="9" applyNumberFormat="1" applyFont="1"/>
    <xf numFmtId="2" fontId="22" fillId="11" borderId="23" xfId="17" applyNumberFormat="1" applyFont="1" applyFill="1" applyBorder="1" applyAlignment="1" applyProtection="1">
      <alignment horizontal="center" vertical="center"/>
    </xf>
    <xf numFmtId="164" fontId="10" fillId="12" borderId="25" xfId="2" applyFont="1" applyFill="1" applyBorder="1" applyAlignment="1" applyProtection="1">
      <alignment horizontal="center" vertical="center"/>
    </xf>
    <xf numFmtId="166" fontId="12" fillId="0" borderId="4" xfId="9" applyNumberFormat="1" applyFont="1" applyBorder="1" applyAlignment="1" applyProtection="1">
      <alignment horizontal="center" vertical="center"/>
      <protection locked="0"/>
    </xf>
    <xf numFmtId="0" fontId="12" fillId="0" borderId="0" xfId="13" applyFont="1"/>
    <xf numFmtId="0" fontId="5" fillId="0" borderId="45" xfId="9" applyFont="1" applyBorder="1" applyAlignment="1">
      <alignment vertical="center"/>
    </xf>
    <xf numFmtId="0" fontId="5" fillId="0" borderId="46" xfId="9" applyFont="1" applyBorder="1" applyAlignment="1">
      <alignment vertical="center"/>
    </xf>
    <xf numFmtId="0" fontId="13" fillId="0" borderId="46" xfId="9" applyFont="1" applyBorder="1"/>
    <xf numFmtId="0" fontId="42" fillId="0" borderId="0" xfId="13" applyFont="1" applyAlignment="1">
      <alignment vertical="center" wrapText="1"/>
    </xf>
    <xf numFmtId="0" fontId="9" fillId="0" borderId="0" xfId="13" applyFont="1"/>
    <xf numFmtId="0" fontId="29" fillId="0" borderId="0" xfId="13" applyFont="1" applyAlignment="1">
      <alignment vertical="center"/>
    </xf>
    <xf numFmtId="0" fontId="10" fillId="0" borderId="0" xfId="13" applyFont="1"/>
    <xf numFmtId="4" fontId="12" fillId="8" borderId="12" xfId="29" applyNumberFormat="1" applyFont="1" applyFill="1" applyBorder="1" applyAlignment="1" applyProtection="1">
      <alignment vertical="center"/>
    </xf>
    <xf numFmtId="4" fontId="12" fillId="8" borderId="14" xfId="29" applyNumberFormat="1" applyFont="1" applyFill="1" applyBorder="1" applyAlignment="1" applyProtection="1">
      <alignment vertical="center"/>
    </xf>
    <xf numFmtId="4" fontId="12" fillId="8" borderId="4" xfId="29" applyNumberFormat="1" applyFont="1" applyFill="1" applyBorder="1" applyAlignment="1" applyProtection="1">
      <alignment vertical="center"/>
    </xf>
    <xf numFmtId="4" fontId="12" fillId="8" borderId="19" xfId="29" applyNumberFormat="1" applyFont="1" applyFill="1" applyBorder="1" applyAlignment="1" applyProtection="1">
      <alignment vertical="center"/>
    </xf>
    <xf numFmtId="4" fontId="10" fillId="8" borderId="4" xfId="29" applyNumberFormat="1" applyFont="1" applyFill="1" applyBorder="1" applyAlignment="1" applyProtection="1">
      <alignment horizontal="right" vertical="center"/>
    </xf>
    <xf numFmtId="4" fontId="10" fillId="8" borderId="19" xfId="29" applyNumberFormat="1" applyFont="1" applyFill="1" applyBorder="1" applyAlignment="1" applyProtection="1">
      <alignment horizontal="right" vertical="center"/>
    </xf>
    <xf numFmtId="0" fontId="29" fillId="0" borderId="18" xfId="0" applyFont="1" applyBorder="1" applyAlignment="1">
      <alignment horizontal="right" vertical="center"/>
    </xf>
    <xf numFmtId="0" fontId="10" fillId="15" borderId="4" xfId="0" applyFont="1" applyFill="1" applyBorder="1" applyAlignment="1">
      <alignment horizontal="center" vertical="center" wrapText="1"/>
    </xf>
    <xf numFmtId="0" fontId="32" fillId="15" borderId="4" xfId="0" applyFont="1" applyFill="1" applyBorder="1" applyAlignment="1">
      <alignment horizontal="center" vertical="center"/>
    </xf>
    <xf numFmtId="0" fontId="8" fillId="15" borderId="4" xfId="0" applyFont="1" applyFill="1" applyBorder="1" applyAlignment="1">
      <alignment horizontal="center" vertical="center"/>
    </xf>
    <xf numFmtId="0" fontId="21" fillId="0" borderId="4" xfId="0" applyFont="1" applyBorder="1" applyAlignment="1">
      <alignment horizontal="center" vertical="center"/>
    </xf>
    <xf numFmtId="10" fontId="32" fillId="0" borderId="4" xfId="0" applyNumberFormat="1" applyFont="1" applyBorder="1" applyAlignment="1">
      <alignment horizontal="center" vertical="center"/>
    </xf>
    <xf numFmtId="0" fontId="32" fillId="0" borderId="4" xfId="0" applyFont="1" applyBorder="1" applyAlignment="1">
      <alignment horizontal="center" vertical="center"/>
    </xf>
    <xf numFmtId="4" fontId="4" fillId="0" borderId="4" xfId="0" applyNumberFormat="1" applyFont="1" applyBorder="1" applyAlignment="1">
      <alignment horizontal="center"/>
    </xf>
    <xf numFmtId="0" fontId="21" fillId="0" borderId="12" xfId="0" applyFont="1" applyBorder="1" applyAlignment="1">
      <alignment horizontal="center" vertical="center"/>
    </xf>
    <xf numFmtId="10" fontId="32" fillId="0" borderId="12" xfId="0" applyNumberFormat="1" applyFont="1" applyBorder="1" applyAlignment="1">
      <alignment horizontal="center" vertical="center"/>
    </xf>
    <xf numFmtId="0" fontId="32" fillId="0" borderId="12" xfId="0" applyFont="1" applyBorder="1" applyAlignment="1">
      <alignment horizontal="center" vertical="center"/>
    </xf>
    <xf numFmtId="10" fontId="45" fillId="8" borderId="4" xfId="16" applyNumberFormat="1" applyFont="1" applyFill="1" applyBorder="1" applyAlignment="1" applyProtection="1">
      <alignment horizontal="center" vertical="center"/>
    </xf>
    <xf numFmtId="0" fontId="12" fillId="19" borderId="0" xfId="0" applyFont="1" applyFill="1" applyAlignment="1">
      <alignment vertical="center"/>
    </xf>
    <xf numFmtId="2" fontId="12" fillId="2" borderId="4" xfId="6" applyNumberFormat="1" applyFont="1" applyFill="1" applyBorder="1" applyAlignment="1" applyProtection="1">
      <alignment horizontal="center" vertical="center"/>
      <protection locked="0"/>
    </xf>
    <xf numFmtId="10" fontId="23" fillId="13" borderId="19" xfId="3" applyNumberFormat="1" applyFont="1" applyFill="1" applyBorder="1" applyAlignment="1" applyProtection="1">
      <alignment horizontal="center" vertical="center"/>
    </xf>
    <xf numFmtId="0" fontId="10" fillId="11" borderId="4" xfId="0" applyFont="1" applyFill="1" applyBorder="1" applyAlignment="1">
      <alignment horizontal="center" vertical="center" wrapText="1"/>
    </xf>
    <xf numFmtId="2" fontId="10" fillId="11" borderId="4" xfId="0" applyNumberFormat="1" applyFont="1" applyFill="1" applyBorder="1" applyAlignment="1">
      <alignment horizontal="center" vertical="center"/>
    </xf>
    <xf numFmtId="0" fontId="12" fillId="0" borderId="2" xfId="15" applyFont="1" applyBorder="1" applyAlignment="1">
      <alignment horizontal="center" wrapText="1"/>
    </xf>
    <xf numFmtId="0" fontId="12" fillId="0" borderId="0" xfId="15" applyFont="1" applyAlignment="1">
      <alignment horizontal="center" wrapText="1"/>
    </xf>
    <xf numFmtId="49" fontId="43" fillId="8" borderId="10" xfId="13" applyNumberFormat="1" applyFont="1" applyFill="1" applyBorder="1" applyAlignment="1">
      <alignment horizontal="center" vertical="center" wrapText="1"/>
    </xf>
    <xf numFmtId="49" fontId="29" fillId="0" borderId="7" xfId="13" applyNumberFormat="1" applyFont="1" applyBorder="1" applyAlignment="1">
      <alignment horizontal="center" vertical="center" wrapText="1"/>
    </xf>
    <xf numFmtId="49" fontId="29" fillId="0" borderId="8" xfId="13" applyNumberFormat="1" applyFont="1" applyBorder="1" applyAlignment="1">
      <alignment horizontal="center" vertical="center" wrapText="1"/>
    </xf>
    <xf numFmtId="0" fontId="31" fillId="8" borderId="3" xfId="13" applyFont="1" applyFill="1" applyBorder="1" applyAlignment="1">
      <alignment horizontal="center" vertical="center"/>
    </xf>
    <xf numFmtId="0" fontId="44" fillId="18" borderId="5" xfId="13" applyFont="1" applyFill="1" applyBorder="1" applyAlignment="1">
      <alignment horizontal="center" vertical="center"/>
    </xf>
    <xf numFmtId="4" fontId="44" fillId="18" borderId="7" xfId="13" applyNumberFormat="1" applyFont="1" applyFill="1" applyBorder="1" applyAlignment="1">
      <alignment vertical="center"/>
    </xf>
    <xf numFmtId="4" fontId="44" fillId="18" borderId="8" xfId="13" applyNumberFormat="1" applyFont="1" applyFill="1" applyBorder="1" applyAlignment="1">
      <alignment vertical="center"/>
    </xf>
    <xf numFmtId="0" fontId="12" fillId="0" borderId="11" xfId="13" applyFont="1" applyBorder="1" applyAlignment="1">
      <alignment horizontal="center" vertical="center"/>
    </xf>
    <xf numFmtId="10" fontId="12" fillId="0" borderId="12" xfId="13" applyNumberFormat="1" applyFont="1" applyBorder="1" applyAlignment="1">
      <alignment horizontal="center" vertical="center"/>
    </xf>
    <xf numFmtId="0" fontId="12" fillId="0" borderId="17" xfId="13" applyFont="1" applyBorder="1" applyAlignment="1">
      <alignment horizontal="center" vertical="center"/>
    </xf>
    <xf numFmtId="10" fontId="30" fillId="0" borderId="4" xfId="13" applyNumberFormat="1" applyFont="1" applyBorder="1" applyAlignment="1">
      <alignment horizontal="center" vertical="center"/>
    </xf>
    <xf numFmtId="10" fontId="31" fillId="0" borderId="4" xfId="13" applyNumberFormat="1" applyFont="1" applyBorder="1" applyAlignment="1">
      <alignment horizontal="center" vertical="center"/>
    </xf>
    <xf numFmtId="0" fontId="31" fillId="11" borderId="17" xfId="13" applyFont="1" applyFill="1" applyBorder="1" applyAlignment="1">
      <alignment horizontal="center" vertical="center"/>
    </xf>
    <xf numFmtId="0" fontId="31" fillId="11" borderId="4" xfId="13" applyFont="1" applyFill="1" applyBorder="1" applyAlignment="1">
      <alignment vertical="center"/>
    </xf>
    <xf numFmtId="0" fontId="12" fillId="0" borderId="4" xfId="13" applyFont="1" applyBorder="1" applyAlignment="1">
      <alignment vertical="center"/>
    </xf>
    <xf numFmtId="4" fontId="12" fillId="0" borderId="4" xfId="13" applyNumberFormat="1" applyFont="1" applyBorder="1" applyAlignment="1">
      <alignment vertical="center"/>
    </xf>
    <xf numFmtId="4" fontId="12" fillId="0" borderId="19" xfId="13" applyNumberFormat="1" applyFont="1" applyBorder="1" applyAlignment="1">
      <alignment vertical="center"/>
    </xf>
    <xf numFmtId="4" fontId="31" fillId="0" borderId="4" xfId="13" applyNumberFormat="1" applyFont="1" applyBorder="1" applyAlignment="1">
      <alignment vertical="center"/>
    </xf>
    <xf numFmtId="4" fontId="31" fillId="0" borderId="19" xfId="13" applyNumberFormat="1" applyFont="1" applyBorder="1" applyAlignment="1">
      <alignment vertical="center"/>
    </xf>
    <xf numFmtId="10" fontId="31" fillId="11" borderId="4" xfId="13" applyNumberFormat="1" applyFont="1" applyFill="1" applyBorder="1" applyAlignment="1">
      <alignment horizontal="center" vertical="center"/>
    </xf>
    <xf numFmtId="10" fontId="12" fillId="0" borderId="4" xfId="13" applyNumberFormat="1" applyFont="1" applyBorder="1" applyAlignment="1">
      <alignment vertical="center" wrapText="1"/>
    </xf>
    <xf numFmtId="4" fontId="12" fillId="8" borderId="4" xfId="13" applyNumberFormat="1" applyFont="1" applyFill="1" applyBorder="1" applyAlignment="1">
      <alignment horizontal="right" vertical="center"/>
    </xf>
    <xf numFmtId="4" fontId="12" fillId="8" borderId="19" xfId="13" applyNumberFormat="1" applyFont="1" applyFill="1" applyBorder="1" applyAlignment="1">
      <alignment horizontal="right" vertical="center"/>
    </xf>
    <xf numFmtId="0" fontId="31" fillId="0" borderId="17" xfId="13" applyFont="1" applyBorder="1" applyAlignment="1">
      <alignment horizontal="center" vertical="center"/>
    </xf>
    <xf numFmtId="10" fontId="31" fillId="0" borderId="4" xfId="13" applyNumberFormat="1" applyFont="1" applyBorder="1" applyAlignment="1">
      <alignment vertical="center" wrapText="1"/>
    </xf>
    <xf numFmtId="4" fontId="31" fillId="8" borderId="4" xfId="13" applyNumberFormat="1" applyFont="1" applyFill="1" applyBorder="1" applyAlignment="1">
      <alignment horizontal="right" vertical="center"/>
    </xf>
    <xf numFmtId="4" fontId="31" fillId="8" borderId="19" xfId="13" applyNumberFormat="1" applyFont="1" applyFill="1" applyBorder="1" applyAlignment="1">
      <alignment horizontal="right" vertical="center"/>
    </xf>
    <xf numFmtId="0" fontId="12" fillId="8" borderId="17" xfId="13" applyFont="1" applyFill="1" applyBorder="1" applyAlignment="1">
      <alignment horizontal="center" vertical="center"/>
    </xf>
    <xf numFmtId="0" fontId="31" fillId="0" borderId="49" xfId="13" applyFont="1" applyBorder="1" applyAlignment="1">
      <alignment vertical="center"/>
    </xf>
    <xf numFmtId="0" fontId="12" fillId="0" borderId="40" xfId="13" applyFont="1" applyBorder="1" applyAlignment="1">
      <alignment vertical="center" wrapText="1"/>
    </xf>
    <xf numFmtId="4" fontId="31" fillId="0" borderId="40" xfId="13" applyNumberFormat="1" applyFont="1" applyBorder="1" applyAlignment="1">
      <alignment horizontal="right" vertical="center"/>
    </xf>
    <xf numFmtId="4" fontId="31" fillId="0" borderId="63" xfId="13" applyNumberFormat="1" applyFont="1" applyBorder="1" applyAlignment="1">
      <alignment horizontal="right" vertical="center"/>
    </xf>
    <xf numFmtId="0" fontId="31" fillId="11" borderId="11" xfId="13" applyFont="1" applyFill="1" applyBorder="1" applyAlignment="1">
      <alignment vertical="center"/>
    </xf>
    <xf numFmtId="0" fontId="31" fillId="11" borderId="12" xfId="13" applyFont="1" applyFill="1" applyBorder="1" applyAlignment="1">
      <alignment vertical="center"/>
    </xf>
    <xf numFmtId="4" fontId="30" fillId="8" borderId="4" xfId="13" applyNumberFormat="1" applyFont="1" applyFill="1" applyBorder="1" applyAlignment="1">
      <alignment vertical="center"/>
    </xf>
    <xf numFmtId="4" fontId="30" fillId="8" borderId="19" xfId="13" applyNumberFormat="1" applyFont="1" applyFill="1" applyBorder="1" applyAlignment="1">
      <alignment vertical="center"/>
    </xf>
    <xf numFmtId="0" fontId="31" fillId="0" borderId="4" xfId="13" applyFont="1" applyBorder="1" applyAlignment="1">
      <alignment vertical="center"/>
    </xf>
    <xf numFmtId="4" fontId="31" fillId="8" borderId="4" xfId="13" applyNumberFormat="1" applyFont="1" applyFill="1" applyBorder="1" applyAlignment="1">
      <alignment vertical="center"/>
    </xf>
    <xf numFmtId="4" fontId="31" fillId="8" borderId="19" xfId="13" applyNumberFormat="1" applyFont="1" applyFill="1" applyBorder="1" applyAlignment="1">
      <alignment vertical="center"/>
    </xf>
    <xf numFmtId="0" fontId="12" fillId="0" borderId="49" xfId="13" applyFont="1" applyBorder="1" applyAlignment="1">
      <alignment horizontal="center" vertical="center"/>
    </xf>
    <xf numFmtId="0" fontId="12" fillId="0" borderId="40" xfId="13" applyFont="1" applyBorder="1" applyAlignment="1">
      <alignment vertical="center"/>
    </xf>
    <xf numFmtId="4" fontId="30" fillId="8" borderId="40" xfId="13" applyNumberFormat="1" applyFont="1" applyFill="1" applyBorder="1" applyAlignment="1">
      <alignment vertical="center"/>
    </xf>
    <xf numFmtId="4" fontId="30" fillId="8" borderId="63" xfId="13" applyNumberFormat="1" applyFont="1" applyFill="1" applyBorder="1" applyAlignment="1">
      <alignment vertical="center"/>
    </xf>
    <xf numFmtId="0" fontId="31" fillId="11" borderId="5" xfId="13" applyFont="1" applyFill="1" applyBorder="1" applyAlignment="1">
      <alignment vertical="center"/>
    </xf>
    <xf numFmtId="0" fontId="31" fillId="11" borderId="7" xfId="13" applyFont="1" applyFill="1" applyBorder="1" applyAlignment="1">
      <alignment vertical="center"/>
    </xf>
    <xf numFmtId="4" fontId="31" fillId="11" borderId="7" xfId="13" applyNumberFormat="1" applyFont="1" applyFill="1" applyBorder="1" applyAlignment="1">
      <alignment vertical="center"/>
    </xf>
    <xf numFmtId="4" fontId="31" fillId="11" borderId="8" xfId="13" applyNumberFormat="1" applyFont="1" applyFill="1" applyBorder="1" applyAlignment="1">
      <alignment vertical="center"/>
    </xf>
    <xf numFmtId="0" fontId="6" fillId="0" borderId="0" xfId="6" applyFont="1" applyAlignment="1">
      <alignment horizontal="center" vertical="top"/>
    </xf>
    <xf numFmtId="0" fontId="7" fillId="2" borderId="4" xfId="6" applyFont="1" applyFill="1" applyBorder="1" applyAlignment="1">
      <alignment horizontal="center" vertical="center" wrapText="1"/>
    </xf>
    <xf numFmtId="0" fontId="10" fillId="3" borderId="5" xfId="25" applyNumberFormat="1" applyFont="1" applyFill="1" applyBorder="1" applyAlignment="1" applyProtection="1">
      <alignment horizontal="center" vertical="center" wrapText="1"/>
    </xf>
    <xf numFmtId="0" fontId="12" fillId="3" borderId="6" xfId="25" applyNumberFormat="1" applyFont="1" applyFill="1" applyBorder="1" applyAlignment="1" applyProtection="1">
      <alignment horizontal="center" vertical="center" wrapText="1"/>
    </xf>
    <xf numFmtId="0" fontId="12" fillId="3" borderId="5" xfId="25" applyNumberFormat="1" applyFont="1" applyFill="1" applyBorder="1" applyAlignment="1" applyProtection="1">
      <alignment horizontal="center" vertical="center" wrapText="1"/>
    </xf>
    <xf numFmtId="0" fontId="12" fillId="3" borderId="7" xfId="25" applyNumberFormat="1" applyFont="1" applyFill="1" applyBorder="1" applyAlignment="1" applyProtection="1">
      <alignment horizontal="center" vertical="center" wrapText="1"/>
    </xf>
    <xf numFmtId="0" fontId="12" fillId="3" borderId="8" xfId="25" applyNumberFormat="1" applyFont="1" applyFill="1" applyBorder="1" applyAlignment="1" applyProtection="1">
      <alignment horizontal="center" vertical="center" wrapText="1"/>
    </xf>
    <xf numFmtId="0" fontId="12" fillId="3" borderId="9" xfId="25" applyNumberFormat="1" applyFont="1" applyFill="1" applyBorder="1" applyAlignment="1" applyProtection="1">
      <alignment horizontal="center" vertical="center" wrapText="1"/>
    </xf>
    <xf numFmtId="0" fontId="13" fillId="3" borderId="9" xfId="25" applyNumberFormat="1" applyFont="1" applyFill="1" applyBorder="1" applyAlignment="1" applyProtection="1">
      <alignment horizontal="center" vertical="center" wrapText="1"/>
    </xf>
    <xf numFmtId="0" fontId="12" fillId="3" borderId="10" xfId="25" applyNumberFormat="1" applyFont="1" applyFill="1" applyBorder="1" applyAlignment="1" applyProtection="1">
      <alignment horizontal="center" vertical="center" wrapText="1"/>
    </xf>
    <xf numFmtId="0" fontId="8" fillId="4" borderId="8" xfId="25" applyNumberFormat="1" applyFont="1" applyFill="1" applyBorder="1" applyAlignment="1" applyProtection="1">
      <alignment horizontal="center" vertical="center" wrapText="1"/>
    </xf>
    <xf numFmtId="0" fontId="10" fillId="5" borderId="22" xfId="25" applyNumberFormat="1" applyFont="1" applyFill="1" applyBorder="1" applyAlignment="1" applyProtection="1">
      <alignment horizontal="center" vertical="center" wrapText="1"/>
    </xf>
    <xf numFmtId="164" fontId="10" fillId="5" borderId="28" xfId="4" applyFont="1" applyFill="1" applyBorder="1" applyAlignment="1" applyProtection="1">
      <alignment horizontal="center" vertical="center" wrapText="1"/>
    </xf>
    <xf numFmtId="0" fontId="10" fillId="5" borderId="4" xfId="25" applyNumberFormat="1" applyFont="1" applyFill="1" applyBorder="1" applyAlignment="1" applyProtection="1">
      <alignment horizontal="center" vertical="center" wrapText="1"/>
    </xf>
    <xf numFmtId="0" fontId="12" fillId="0" borderId="31" xfId="6" applyFont="1" applyBorder="1" applyAlignment="1">
      <alignment horizontal="left" vertical="center" wrapText="1"/>
    </xf>
    <xf numFmtId="0" fontId="10" fillId="5" borderId="32" xfId="25" applyNumberFormat="1" applyFont="1" applyFill="1" applyBorder="1" applyAlignment="1" applyProtection="1">
      <alignment horizontal="center" vertical="center" wrapText="1"/>
    </xf>
    <xf numFmtId="0" fontId="10" fillId="5" borderId="33" xfId="25" applyNumberFormat="1" applyFont="1" applyFill="1" applyBorder="1" applyAlignment="1" applyProtection="1">
      <alignment horizontal="center" vertical="center" wrapText="1"/>
    </xf>
    <xf numFmtId="0" fontId="10" fillId="5" borderId="34" xfId="25" applyNumberFormat="1" applyFont="1" applyFill="1" applyBorder="1" applyAlignment="1" applyProtection="1">
      <alignment horizontal="center" vertical="center" wrapText="1"/>
    </xf>
    <xf numFmtId="0" fontId="18" fillId="4" borderId="35" xfId="15" applyFont="1" applyFill="1" applyBorder="1" applyAlignment="1">
      <alignment horizontal="center" vertical="center" wrapText="1"/>
    </xf>
    <xf numFmtId="0" fontId="10" fillId="5" borderId="36" xfId="25" applyNumberFormat="1" applyFont="1" applyFill="1" applyBorder="1" applyAlignment="1" applyProtection="1">
      <alignment horizontal="center" vertical="center" wrapText="1"/>
    </xf>
    <xf numFmtId="0" fontId="19" fillId="0" borderId="4" xfId="0" applyFont="1" applyBorder="1" applyAlignment="1">
      <alignment horizontal="left" vertical="center" wrapText="1"/>
    </xf>
    <xf numFmtId="0" fontId="10" fillId="0" borderId="20" xfId="15" applyFont="1" applyBorder="1" applyAlignment="1">
      <alignment horizontal="center" vertical="center" wrapText="1"/>
    </xf>
    <xf numFmtId="0" fontId="10" fillId="5" borderId="11" xfId="25" applyNumberFormat="1" applyFont="1" applyFill="1" applyBorder="1" applyAlignment="1" applyProtection="1">
      <alignment horizontal="center" vertical="center" wrapText="1"/>
    </xf>
    <xf numFmtId="0" fontId="10" fillId="5" borderId="37" xfId="25" applyNumberFormat="1" applyFont="1" applyFill="1" applyBorder="1" applyAlignment="1" applyProtection="1">
      <alignment horizontal="right" vertical="center" wrapText="1"/>
    </xf>
    <xf numFmtId="0" fontId="10" fillId="5" borderId="22" xfId="25" applyNumberFormat="1" applyFont="1" applyFill="1" applyBorder="1" applyAlignment="1" applyProtection="1">
      <alignment horizontal="right" vertical="center" wrapText="1"/>
    </xf>
    <xf numFmtId="0" fontId="10" fillId="5" borderId="38" xfId="25" applyNumberFormat="1" applyFont="1" applyFill="1" applyBorder="1" applyAlignment="1" applyProtection="1">
      <alignment horizontal="center" vertical="center" wrapText="1"/>
    </xf>
    <xf numFmtId="0" fontId="10" fillId="5" borderId="39" xfId="25" applyNumberFormat="1" applyFont="1" applyFill="1" applyBorder="1" applyAlignment="1" applyProtection="1">
      <alignment horizontal="center" vertical="center" wrapText="1"/>
    </xf>
    <xf numFmtId="0" fontId="10" fillId="5" borderId="9" xfId="25" applyNumberFormat="1" applyFont="1" applyFill="1" applyBorder="1" applyAlignment="1" applyProtection="1">
      <alignment horizontal="center" vertical="center" wrapText="1"/>
    </xf>
    <xf numFmtId="0" fontId="4" fillId="0" borderId="4" xfId="6" applyFont="1" applyBorder="1" applyAlignment="1">
      <alignment horizontal="center"/>
    </xf>
    <xf numFmtId="0" fontId="22" fillId="0" borderId="0" xfId="0" applyFont="1" applyAlignment="1">
      <alignment horizontal="center" vertical="center"/>
    </xf>
    <xf numFmtId="0" fontId="12" fillId="11" borderId="4" xfId="6" applyFont="1" applyFill="1" applyBorder="1" applyAlignment="1">
      <alignment horizontal="center" vertical="center" wrapText="1"/>
    </xf>
    <xf numFmtId="0" fontId="8" fillId="11" borderId="4" xfId="6" applyFont="1" applyFill="1" applyBorder="1" applyAlignment="1">
      <alignment horizontal="center" vertical="center" wrapText="1"/>
    </xf>
    <xf numFmtId="0" fontId="8" fillId="0" borderId="40" xfId="6" applyFont="1" applyBorder="1" applyAlignment="1">
      <alignment horizontal="center" vertical="center"/>
    </xf>
    <xf numFmtId="0" fontId="8" fillId="11" borderId="4" xfId="6" applyFont="1" applyFill="1" applyBorder="1" applyAlignment="1">
      <alignment horizontal="center" vertical="center"/>
    </xf>
    <xf numFmtId="0" fontId="4" fillId="0" borderId="4" xfId="6" applyFont="1" applyBorder="1" applyAlignment="1">
      <alignment horizontal="left" vertical="center"/>
    </xf>
    <xf numFmtId="14" fontId="8" fillId="2" borderId="4" xfId="6" applyNumberFormat="1" applyFont="1" applyFill="1" applyBorder="1" applyAlignment="1" applyProtection="1">
      <alignment horizontal="center" vertical="center"/>
      <protection locked="0"/>
    </xf>
    <xf numFmtId="0" fontId="8" fillId="2" borderId="4" xfId="6" applyFont="1" applyFill="1" applyBorder="1" applyAlignment="1" applyProtection="1">
      <alignment horizontal="center" vertical="center"/>
      <protection locked="0"/>
    </xf>
    <xf numFmtId="0" fontId="4" fillId="0" borderId="4" xfId="6" applyFont="1" applyBorder="1" applyAlignment="1">
      <alignment horizontal="center" vertical="center"/>
    </xf>
    <xf numFmtId="0" fontId="4" fillId="0" borderId="18" xfId="6"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4" fillId="2" borderId="4" xfId="6" applyFont="1" applyFill="1" applyBorder="1" applyAlignment="1" applyProtection="1">
      <alignment horizontal="left" vertical="center" wrapText="1"/>
      <protection locked="0"/>
    </xf>
    <xf numFmtId="0" fontId="4" fillId="2" borderId="4" xfId="6" applyFont="1" applyFill="1" applyBorder="1" applyAlignment="1" applyProtection="1">
      <alignment horizontal="left" vertical="center"/>
      <protection locked="0"/>
    </xf>
    <xf numFmtId="0" fontId="26" fillId="11" borderId="47" xfId="0" applyFont="1" applyFill="1" applyBorder="1" applyAlignment="1">
      <alignment horizontal="center" vertical="center"/>
    </xf>
    <xf numFmtId="0" fontId="10" fillId="12" borderId="15" xfId="0" applyFont="1" applyFill="1" applyBorder="1" applyAlignment="1">
      <alignment horizontal="center" wrapText="1"/>
    </xf>
    <xf numFmtId="0" fontId="10" fillId="11" borderId="20" xfId="0" applyFont="1" applyFill="1" applyBorder="1" applyAlignment="1">
      <alignment horizontal="center" vertical="center"/>
    </xf>
    <xf numFmtId="0" fontId="28" fillId="11" borderId="19" xfId="0" applyFont="1" applyFill="1" applyBorder="1" applyAlignment="1">
      <alignment horizontal="left" vertical="center"/>
    </xf>
    <xf numFmtId="0" fontId="28" fillId="11" borderId="17" xfId="0" applyFont="1" applyFill="1" applyBorder="1" applyAlignment="1">
      <alignment horizontal="left" vertical="center"/>
    </xf>
    <xf numFmtId="0" fontId="28" fillId="11" borderId="20" xfId="0" applyFont="1" applyFill="1" applyBorder="1" applyAlignment="1">
      <alignment horizontal="left" vertical="center"/>
    </xf>
    <xf numFmtId="0" fontId="28" fillId="0" borderId="17" xfId="0" applyFont="1" applyBorder="1" applyAlignment="1">
      <alignment horizontal="left" vertical="center"/>
    </xf>
    <xf numFmtId="0" fontId="13" fillId="0" borderId="17" xfId="0" applyFont="1" applyBorder="1" applyAlignment="1">
      <alignment horizontal="left" vertical="center" wrapText="1"/>
    </xf>
    <xf numFmtId="0" fontId="13" fillId="0" borderId="17" xfId="0" applyFont="1" applyBorder="1" applyAlignment="1">
      <alignment horizontal="left" vertical="center"/>
    </xf>
    <xf numFmtId="0" fontId="29" fillId="0" borderId="17" xfId="0" applyFont="1" applyBorder="1" applyAlignment="1">
      <alignment horizontal="left" vertical="center"/>
    </xf>
    <xf numFmtId="0" fontId="32" fillId="14" borderId="35" xfId="5" applyFont="1" applyFill="1" applyBorder="1" applyAlignment="1">
      <alignment horizontal="center" vertical="center" wrapText="1"/>
    </xf>
    <xf numFmtId="0" fontId="21" fillId="0" borderId="17" xfId="5" applyFont="1" applyBorder="1" applyAlignment="1">
      <alignment horizontal="center" vertical="center" wrapText="1"/>
    </xf>
    <xf numFmtId="0" fontId="21" fillId="0" borderId="19" xfId="5" applyFont="1" applyBorder="1" applyAlignment="1">
      <alignment horizontal="center" vertical="center" wrapText="1"/>
    </xf>
    <xf numFmtId="0" fontId="28" fillId="11" borderId="20" xfId="0" applyFont="1" applyFill="1" applyBorder="1" applyAlignment="1">
      <alignment horizontal="center" vertical="center"/>
    </xf>
    <xf numFmtId="0" fontId="28" fillId="11" borderId="49" xfId="0" applyFont="1" applyFill="1" applyBorder="1" applyAlignment="1">
      <alignment horizontal="left" vertical="center"/>
    </xf>
    <xf numFmtId="0" fontId="23" fillId="13" borderId="50" xfId="0" applyFont="1" applyFill="1" applyBorder="1" applyAlignment="1">
      <alignment horizontal="justify" wrapText="1"/>
    </xf>
    <xf numFmtId="0" fontId="35" fillId="11" borderId="47" xfId="9" applyFont="1" applyFill="1" applyBorder="1" applyAlignment="1">
      <alignment horizontal="center" vertical="center"/>
    </xf>
    <xf numFmtId="0" fontId="8" fillId="12" borderId="15" xfId="0" applyFont="1" applyFill="1" applyBorder="1" applyAlignment="1">
      <alignment horizontal="center" vertical="center" wrapText="1"/>
    </xf>
    <xf numFmtId="0" fontId="36" fillId="11" borderId="17" xfId="15" applyFont="1" applyFill="1" applyBorder="1" applyAlignment="1">
      <alignment horizontal="center" vertical="center" wrapText="1"/>
    </xf>
    <xf numFmtId="0" fontId="10" fillId="11" borderId="4" xfId="15" applyFont="1" applyFill="1" applyBorder="1" applyAlignment="1">
      <alignment horizontal="center" vertical="center" wrapText="1"/>
    </xf>
    <xf numFmtId="0" fontId="10" fillId="11" borderId="4" xfId="15" applyFont="1" applyFill="1" applyBorder="1" applyAlignment="1">
      <alignment horizontal="center" vertical="center"/>
    </xf>
    <xf numFmtId="0" fontId="10" fillId="11" borderId="19" xfId="15" applyFont="1" applyFill="1" applyBorder="1" applyAlignment="1">
      <alignment horizontal="center" vertical="center" wrapText="1"/>
    </xf>
    <xf numFmtId="0" fontId="10" fillId="15" borderId="4" xfId="15" applyFont="1" applyFill="1" applyBorder="1" applyAlignment="1">
      <alignment horizontal="center" vertical="center" wrapText="1"/>
    </xf>
    <xf numFmtId="0" fontId="22" fillId="11" borderId="22" xfId="15" applyFont="1" applyFill="1" applyBorder="1" applyAlignment="1">
      <alignment horizontal="center" vertical="center"/>
    </xf>
    <xf numFmtId="0" fontId="24" fillId="11" borderId="3" xfId="9" applyFont="1" applyFill="1" applyBorder="1" applyAlignment="1">
      <alignment horizontal="center" vertical="center"/>
    </xf>
    <xf numFmtId="0" fontId="24" fillId="11" borderId="0" xfId="9" applyFont="1" applyFill="1" applyAlignment="1">
      <alignment horizontal="center" vertical="center"/>
    </xf>
    <xf numFmtId="0" fontId="24" fillId="11" borderId="46" xfId="9" applyFont="1" applyFill="1" applyBorder="1" applyAlignment="1">
      <alignment horizontal="center" vertical="center"/>
    </xf>
    <xf numFmtId="0" fontId="24" fillId="11" borderId="65" xfId="9" applyFont="1" applyFill="1" applyBorder="1" applyAlignment="1">
      <alignment horizontal="center" vertical="center"/>
    </xf>
    <xf numFmtId="0" fontId="24" fillId="11" borderId="42" xfId="9" applyFont="1" applyFill="1" applyBorder="1" applyAlignment="1">
      <alignment horizontal="center" vertical="center"/>
    </xf>
    <xf numFmtId="0" fontId="24" fillId="11" borderId="66" xfId="9" applyFont="1" applyFill="1" applyBorder="1" applyAlignment="1">
      <alignment horizontal="center" vertical="center"/>
    </xf>
    <xf numFmtId="49" fontId="8" fillId="11" borderId="22" xfId="15" applyNumberFormat="1" applyFont="1" applyFill="1" applyBorder="1" applyAlignment="1">
      <alignment horizontal="left" vertical="center" wrapText="1"/>
    </xf>
    <xf numFmtId="0" fontId="22" fillId="11" borderId="0" xfId="9" applyFont="1" applyFill="1" applyAlignment="1">
      <alignment horizontal="center" vertical="center"/>
    </xf>
    <xf numFmtId="0" fontId="10" fillId="12" borderId="15" xfId="0" applyFont="1" applyFill="1" applyBorder="1" applyAlignment="1">
      <alignment horizontal="center" vertical="center" wrapText="1"/>
    </xf>
    <xf numFmtId="0" fontId="10" fillId="0" borderId="20" xfId="15" applyFont="1" applyBorder="1" applyAlignment="1">
      <alignment horizontal="center" vertical="center"/>
    </xf>
    <xf numFmtId="0" fontId="10" fillId="12" borderId="4" xfId="15" applyFont="1" applyFill="1" applyBorder="1" applyAlignment="1">
      <alignment horizontal="center" vertical="center" wrapText="1"/>
    </xf>
    <xf numFmtId="0" fontId="37" fillId="5" borderId="4" xfId="25" applyNumberFormat="1" applyFont="1" applyFill="1" applyBorder="1" applyAlignment="1" applyProtection="1">
      <alignment horizontal="center" vertical="center" wrapText="1"/>
    </xf>
    <xf numFmtId="0" fontId="4" fillId="0" borderId="20" xfId="9" applyFont="1" applyBorder="1" applyAlignment="1">
      <alignment horizontal="left" vertical="center"/>
    </xf>
    <xf numFmtId="0" fontId="39" fillId="0" borderId="26" xfId="9" applyFont="1" applyBorder="1" applyAlignment="1">
      <alignment horizontal="center" vertical="center"/>
    </xf>
    <xf numFmtId="0" fontId="10" fillId="12" borderId="17" xfId="9" applyFont="1" applyFill="1" applyBorder="1" applyAlignment="1">
      <alignment horizontal="center" vertical="center" wrapText="1"/>
    </xf>
    <xf numFmtId="0" fontId="8" fillId="0" borderId="17" xfId="0" applyFont="1" applyBorder="1" applyAlignment="1">
      <alignment horizontal="center" vertical="center"/>
    </xf>
    <xf numFmtId="0" fontId="22" fillId="11" borderId="54" xfId="9" applyFont="1" applyFill="1" applyBorder="1" applyAlignment="1">
      <alignment horizontal="left" vertical="center"/>
    </xf>
    <xf numFmtId="0" fontId="10" fillId="12" borderId="49" xfId="9" applyFont="1" applyFill="1" applyBorder="1" applyAlignment="1">
      <alignment horizontal="center" vertical="center" wrapText="1"/>
    </xf>
    <xf numFmtId="4" fontId="10" fillId="0" borderId="17" xfId="9" applyNumberFormat="1" applyFont="1" applyBorder="1" applyAlignment="1">
      <alignment horizontal="center" vertical="center"/>
    </xf>
    <xf numFmtId="4" fontId="10" fillId="0" borderId="28" xfId="0" applyNumberFormat="1" applyFont="1" applyBorder="1" applyAlignment="1">
      <alignment horizontal="center" vertical="center"/>
    </xf>
    <xf numFmtId="0" fontId="24" fillId="16" borderId="20" xfId="6" applyFont="1" applyFill="1" applyBorder="1" applyAlignment="1">
      <alignment horizontal="center" vertical="center" wrapText="1"/>
    </xf>
    <xf numFmtId="0" fontId="8" fillId="0" borderId="20" xfId="6" applyFont="1" applyBorder="1" applyAlignment="1">
      <alignment horizontal="center" vertical="center" wrapText="1"/>
    </xf>
    <xf numFmtId="0" fontId="12" fillId="8" borderId="57" xfId="6" applyFont="1" applyFill="1" applyBorder="1" applyAlignment="1">
      <alignment horizontal="center" vertical="center"/>
    </xf>
    <xf numFmtId="0" fontId="22" fillId="11" borderId="60" xfId="6" applyFont="1" applyFill="1" applyBorder="1" applyAlignment="1">
      <alignment horizontal="center" vertical="center" wrapText="1"/>
    </xf>
    <xf numFmtId="0" fontId="10" fillId="11" borderId="50" xfId="6" applyFont="1" applyFill="1" applyBorder="1" applyAlignment="1">
      <alignment horizontal="center" vertical="center" textRotation="90"/>
    </xf>
    <xf numFmtId="0" fontId="8" fillId="11" borderId="47" xfId="6" applyFont="1" applyFill="1" applyBorder="1" applyAlignment="1">
      <alignment horizontal="center" vertical="center" wrapText="1"/>
    </xf>
    <xf numFmtId="0" fontId="22" fillId="11" borderId="54" xfId="6" applyFont="1" applyFill="1" applyBorder="1" applyAlignment="1">
      <alignment horizontal="center" vertical="center"/>
    </xf>
    <xf numFmtId="0" fontId="22" fillId="11" borderId="50" xfId="6" applyFont="1" applyFill="1" applyBorder="1" applyAlignment="1">
      <alignment horizontal="center" vertical="center" wrapText="1"/>
    </xf>
    <xf numFmtId="0" fontId="8" fillId="11" borderId="61" xfId="6" applyFont="1" applyFill="1" applyBorder="1" applyAlignment="1">
      <alignment horizontal="center" vertical="center" wrapText="1"/>
    </xf>
    <xf numFmtId="0" fontId="8" fillId="11" borderId="9" xfId="6" applyFont="1" applyFill="1" applyBorder="1" applyAlignment="1">
      <alignment horizontal="center" vertical="center" wrapText="1"/>
    </xf>
    <xf numFmtId="0" fontId="8" fillId="11" borderId="36" xfId="6" applyFont="1" applyFill="1" applyBorder="1" applyAlignment="1">
      <alignment horizontal="center" vertical="center" wrapText="1"/>
    </xf>
    <xf numFmtId="0" fontId="10" fillId="11" borderId="36" xfId="6" applyFont="1" applyFill="1" applyBorder="1" applyAlignment="1">
      <alignment horizontal="center" vertical="center" wrapText="1"/>
    </xf>
    <xf numFmtId="0" fontId="12" fillId="11" borderId="37" xfId="6" applyFont="1" applyFill="1" applyBorder="1" applyAlignment="1">
      <alignment horizontal="center" vertical="center" wrapText="1"/>
    </xf>
    <xf numFmtId="0" fontId="21" fillId="11" borderId="62" xfId="6" applyFont="1" applyFill="1" applyBorder="1" applyAlignment="1">
      <alignment horizontal="center" vertical="center" wrapText="1"/>
    </xf>
    <xf numFmtId="0" fontId="12" fillId="11" borderId="34" xfId="6" applyFont="1" applyFill="1" applyBorder="1" applyAlignment="1">
      <alignment horizontal="center" vertical="center" wrapText="1"/>
    </xf>
    <xf numFmtId="0" fontId="12" fillId="11" borderId="42" xfId="6" applyFont="1" applyFill="1" applyBorder="1" applyAlignment="1">
      <alignment horizontal="center" vertical="center" wrapText="1"/>
    </xf>
    <xf numFmtId="0" fontId="12" fillId="11" borderId="61" xfId="6" applyFont="1" applyFill="1" applyBorder="1" applyAlignment="1">
      <alignment horizontal="center" vertical="center" wrapText="1"/>
    </xf>
    <xf numFmtId="0" fontId="12" fillId="11" borderId="35" xfId="6" applyFont="1" applyFill="1" applyBorder="1" applyAlignment="1">
      <alignment horizontal="center" vertical="center" wrapText="1"/>
    </xf>
    <xf numFmtId="0" fontId="12" fillId="11" borderId="58" xfId="6" applyFont="1" applyFill="1" applyBorder="1" applyAlignment="1">
      <alignment horizontal="center" vertical="center" wrapText="1"/>
    </xf>
    <xf numFmtId="0" fontId="12" fillId="0" borderId="47" xfId="6" applyFont="1" applyBorder="1" applyAlignment="1">
      <alignment horizontal="left" vertical="center" wrapText="1"/>
    </xf>
    <xf numFmtId="0" fontId="12" fillId="0" borderId="50" xfId="6" applyFont="1" applyBorder="1" applyAlignment="1">
      <alignment horizontal="left" vertical="top" wrapText="1"/>
    </xf>
    <xf numFmtId="0" fontId="4" fillId="0" borderId="3" xfId="6" applyFont="1" applyBorder="1" applyAlignment="1">
      <alignment horizontal="left" vertical="center" wrapText="1"/>
    </xf>
    <xf numFmtId="0" fontId="8" fillId="0" borderId="62" xfId="6" applyFont="1" applyBorder="1" applyAlignment="1">
      <alignment horizontal="center" vertical="center"/>
    </xf>
    <xf numFmtId="0" fontId="22" fillId="11" borderId="9" xfId="6" applyFont="1" applyFill="1" applyBorder="1" applyAlignment="1">
      <alignment horizontal="center" vertical="center" wrapText="1"/>
    </xf>
    <xf numFmtId="0" fontId="22" fillId="11" borderId="9" xfId="6" applyFont="1" applyFill="1" applyBorder="1" applyAlignment="1">
      <alignment horizontal="left" vertical="center"/>
    </xf>
    <xf numFmtId="0" fontId="16" fillId="0" borderId="47" xfId="6" applyFont="1" applyBorder="1" applyAlignment="1">
      <alignment horizontal="left"/>
    </xf>
    <xf numFmtId="0" fontId="22" fillId="11" borderId="9" xfId="9" applyFont="1" applyFill="1" applyBorder="1" applyAlignment="1">
      <alignment horizontal="center" vertical="center" wrapText="1"/>
    </xf>
    <xf numFmtId="0" fontId="22" fillId="11" borderId="47" xfId="9" applyFont="1" applyFill="1" applyBorder="1" applyAlignment="1">
      <alignment horizontal="center" vertical="center"/>
    </xf>
    <xf numFmtId="0" fontId="5" fillId="0" borderId="50" xfId="9" applyFont="1" applyBorder="1" applyAlignment="1">
      <alignment horizontal="left" vertical="center" wrapText="1"/>
    </xf>
    <xf numFmtId="0" fontId="10" fillId="0" borderId="35" xfId="9" applyFont="1" applyBorder="1" applyAlignment="1">
      <alignment horizontal="left" vertical="center" wrapText="1"/>
    </xf>
    <xf numFmtId="4" fontId="29" fillId="11" borderId="9" xfId="9" applyNumberFormat="1" applyFont="1" applyFill="1" applyBorder="1" applyAlignment="1">
      <alignment horizontal="center" vertical="center" wrapText="1"/>
    </xf>
    <xf numFmtId="0" fontId="10" fillId="11" borderId="68" xfId="9" applyFont="1" applyFill="1" applyBorder="1" applyAlignment="1">
      <alignment horizontal="left" vertical="center" wrapText="1"/>
    </xf>
    <xf numFmtId="0" fontId="10" fillId="11" borderId="35" xfId="9" applyFont="1" applyFill="1" applyBorder="1" applyAlignment="1">
      <alignment horizontal="center" vertical="center"/>
    </xf>
    <xf numFmtId="0" fontId="13" fillId="0" borderId="4" xfId="9" applyFont="1" applyBorder="1" applyAlignment="1">
      <alignment horizontal="center" vertical="center"/>
    </xf>
    <xf numFmtId="4" fontId="13" fillId="0" borderId="19" xfId="9" applyNumberFormat="1" applyFont="1" applyBorder="1" applyAlignment="1">
      <alignment horizontal="center" vertical="center" wrapText="1"/>
    </xf>
    <xf numFmtId="0" fontId="12" fillId="0" borderId="49" xfId="9" applyFont="1" applyBorder="1" applyAlignment="1">
      <alignment horizontal="center" vertical="center"/>
    </xf>
    <xf numFmtId="0" fontId="12" fillId="0" borderId="4" xfId="9" applyFont="1" applyBorder="1" applyAlignment="1" applyProtection="1">
      <alignment horizontal="left" vertical="center" wrapText="1"/>
      <protection locked="0"/>
    </xf>
    <xf numFmtId="0" fontId="10" fillId="11" borderId="4" xfId="9" applyFont="1" applyFill="1" applyBorder="1" applyAlignment="1">
      <alignment horizontal="left" vertical="center"/>
    </xf>
    <xf numFmtId="0" fontId="12" fillId="0" borderId="56" xfId="9" applyFont="1" applyBorder="1" applyAlignment="1">
      <alignment horizontal="left" vertical="center"/>
    </xf>
    <xf numFmtId="9" fontId="10" fillId="11" borderId="58" xfId="17" applyFont="1" applyFill="1" applyBorder="1" applyAlignment="1" applyProtection="1">
      <alignment horizontal="left" vertical="center"/>
    </xf>
    <xf numFmtId="0" fontId="10" fillId="11" borderId="15" xfId="9" applyFont="1" applyFill="1" applyBorder="1" applyAlignment="1">
      <alignment horizontal="center" vertical="center"/>
    </xf>
    <xf numFmtId="0" fontId="12" fillId="0" borderId="17" xfId="9" applyFont="1" applyBorder="1" applyAlignment="1">
      <alignment horizontal="center" vertical="center"/>
    </xf>
    <xf numFmtId="0" fontId="12" fillId="0" borderId="4" xfId="9" applyFont="1" applyBorder="1" applyAlignment="1">
      <alignment horizontal="center" vertical="center"/>
    </xf>
    <xf numFmtId="4" fontId="12" fillId="0" borderId="19" xfId="9" applyNumberFormat="1" applyFont="1" applyBorder="1" applyAlignment="1">
      <alignment horizontal="center" vertical="center"/>
    </xf>
    <xf numFmtId="0" fontId="12" fillId="0" borderId="17" xfId="9" applyFont="1" applyBorder="1" applyAlignment="1">
      <alignment horizontal="left" vertical="center"/>
    </xf>
    <xf numFmtId="0" fontId="12" fillId="0" borderId="17" xfId="9" applyFont="1" applyBorder="1" applyAlignment="1">
      <alignment horizontal="left" vertical="center" wrapText="1"/>
    </xf>
    <xf numFmtId="0" fontId="12" fillId="0" borderId="49" xfId="9" applyFont="1" applyBorder="1" applyAlignment="1">
      <alignment horizontal="left" vertical="center"/>
    </xf>
    <xf numFmtId="0" fontId="10" fillId="11" borderId="5" xfId="9" applyFont="1" applyFill="1" applyBorder="1" applyAlignment="1">
      <alignment horizontal="left" vertical="center"/>
    </xf>
    <xf numFmtId="4" fontId="12" fillId="0" borderId="48" xfId="9" applyNumberFormat="1" applyFont="1" applyBorder="1" applyAlignment="1">
      <alignment horizontal="center" vertical="center" wrapText="1"/>
    </xf>
    <xf numFmtId="0" fontId="12" fillId="0" borderId="17" xfId="9" applyFont="1" applyBorder="1" applyAlignment="1">
      <alignment vertical="center"/>
    </xf>
    <xf numFmtId="0" fontId="10" fillId="11" borderId="54" xfId="9" applyFont="1" applyFill="1" applyBorder="1" applyAlignment="1">
      <alignment horizontal="left" vertical="center"/>
    </xf>
    <xf numFmtId="0" fontId="10" fillId="11" borderId="36" xfId="9" applyFont="1" applyFill="1" applyBorder="1" applyAlignment="1">
      <alignment horizontal="center" vertical="center"/>
    </xf>
    <xf numFmtId="4" fontId="10" fillId="12" borderId="23" xfId="17" applyNumberFormat="1" applyFont="1" applyFill="1" applyBorder="1" applyAlignment="1" applyProtection="1">
      <alignment horizontal="center" vertical="center" wrapText="1"/>
    </xf>
    <xf numFmtId="0" fontId="10" fillId="11" borderId="49" xfId="9" applyFont="1" applyFill="1" applyBorder="1" applyAlignment="1">
      <alignment horizontal="center" vertical="center"/>
    </xf>
    <xf numFmtId="0" fontId="10" fillId="11" borderId="17" xfId="9" applyFont="1" applyFill="1" applyBorder="1" applyAlignment="1">
      <alignment vertical="center"/>
    </xf>
    <xf numFmtId="0" fontId="10" fillId="11" borderId="17" xfId="9" applyFont="1" applyFill="1" applyBorder="1" applyAlignment="1">
      <alignment vertical="center" wrapText="1"/>
    </xf>
    <xf numFmtId="0" fontId="10" fillId="11" borderId="22" xfId="0" applyFont="1" applyFill="1" applyBorder="1" applyAlignment="1">
      <alignment vertical="center"/>
    </xf>
    <xf numFmtId="0" fontId="42" fillId="11" borderId="50" xfId="13" applyFont="1" applyFill="1" applyBorder="1" applyAlignment="1">
      <alignment horizontal="center" vertical="center" wrapText="1"/>
    </xf>
    <xf numFmtId="0" fontId="29" fillId="8" borderId="9" xfId="13" applyFont="1" applyFill="1" applyBorder="1" applyAlignment="1">
      <alignment horizontal="center" vertical="center"/>
    </xf>
    <xf numFmtId="10" fontId="31" fillId="8" borderId="36" xfId="13" applyNumberFormat="1" applyFont="1" applyFill="1" applyBorder="1" applyAlignment="1">
      <alignment horizontal="center" vertical="center"/>
    </xf>
    <xf numFmtId="0" fontId="31" fillId="8" borderId="36" xfId="13" applyFont="1" applyFill="1" applyBorder="1" applyAlignment="1">
      <alignment horizontal="left" vertical="center" wrapText="1"/>
    </xf>
    <xf numFmtId="0" fontId="43" fillId="8" borderId="36" xfId="13" applyFont="1" applyFill="1" applyBorder="1" applyAlignment="1">
      <alignment horizontal="center" vertical="center"/>
    </xf>
    <xf numFmtId="0" fontId="44" fillId="18" borderId="7" xfId="13" applyFont="1" applyFill="1" applyBorder="1" applyAlignment="1">
      <alignment horizontal="left" vertical="center"/>
    </xf>
    <xf numFmtId="0" fontId="12" fillId="0" borderId="12" xfId="13" applyFont="1" applyBorder="1" applyAlignment="1">
      <alignment horizontal="left" vertical="center"/>
    </xf>
    <xf numFmtId="0" fontId="12" fillId="0" borderId="4" xfId="13" applyFont="1" applyBorder="1" applyAlignment="1">
      <alignment horizontal="left" vertical="center"/>
    </xf>
    <xf numFmtId="0" fontId="31" fillId="0" borderId="17" xfId="13" applyFont="1" applyBorder="1" applyAlignment="1">
      <alignment horizontal="left" vertical="center" wrapText="1"/>
    </xf>
    <xf numFmtId="0" fontId="31" fillId="11" borderId="19" xfId="13" applyFont="1" applyFill="1" applyBorder="1" applyAlignment="1">
      <alignment horizontal="center" vertical="center"/>
    </xf>
    <xf numFmtId="0" fontId="31" fillId="0" borderId="17" xfId="13" applyFont="1" applyBorder="1" applyAlignment="1">
      <alignment horizontal="left" vertical="center"/>
    </xf>
    <xf numFmtId="0" fontId="31" fillId="11" borderId="4" xfId="13" applyFont="1" applyFill="1" applyBorder="1" applyAlignment="1">
      <alignment horizontal="left" vertical="center" wrapText="1"/>
    </xf>
    <xf numFmtId="0" fontId="12" fillId="0" borderId="4" xfId="13" applyFont="1" applyBorder="1" applyAlignment="1">
      <alignment horizontal="left" vertical="center" wrapText="1"/>
    </xf>
    <xf numFmtId="0" fontId="10" fillId="0" borderId="4" xfId="13" applyFont="1" applyBorder="1" applyAlignment="1">
      <alignment horizontal="left" vertical="center" wrapText="1"/>
    </xf>
    <xf numFmtId="0" fontId="31" fillId="11" borderId="9" xfId="13" applyFont="1" applyFill="1" applyBorder="1" applyAlignment="1">
      <alignment horizontal="center" vertical="center"/>
    </xf>
    <xf numFmtId="0" fontId="31" fillId="8" borderId="9" xfId="13" applyFont="1" applyFill="1" applyBorder="1" applyAlignment="1">
      <alignment horizontal="center" vertical="center"/>
    </xf>
    <xf numFmtId="0" fontId="31" fillId="11" borderId="14" xfId="13" applyFont="1" applyFill="1" applyBorder="1" applyAlignment="1">
      <alignment horizontal="center" vertical="center"/>
    </xf>
    <xf numFmtId="0" fontId="22" fillId="15" borderId="4" xfId="0" applyFont="1" applyFill="1" applyBorder="1" applyAlignment="1">
      <alignment horizontal="center" vertical="center" wrapText="1"/>
    </xf>
    <xf numFmtId="0" fontId="29" fillId="0" borderId="21" xfId="0" applyFont="1" applyBorder="1" applyAlignment="1">
      <alignment horizontal="left" vertical="center"/>
    </xf>
    <xf numFmtId="0" fontId="10" fillId="15" borderId="4" xfId="0" applyFont="1" applyFill="1" applyBorder="1" applyAlignment="1">
      <alignment horizontal="center" vertical="center" wrapText="1"/>
    </xf>
    <xf numFmtId="0" fontId="32" fillId="15" borderId="4" xfId="0" applyFont="1" applyFill="1" applyBorder="1" applyAlignment="1">
      <alignment horizontal="center" vertical="center"/>
    </xf>
  </cellXfs>
  <cellStyles count="30">
    <cellStyle name="Excel Built-in Explanatory Text" xfId="28" xr:uid="{00000000-0005-0000-0000-00001E000000}"/>
    <cellStyle name="Excel Built-in Explanatory Text 2" xfId="29" xr:uid="{00000000-0005-0000-0000-00001F000000}"/>
    <cellStyle name="Moeda" xfId="2" builtinId="4"/>
    <cellStyle name="Moeda 8" xfId="4" xr:uid="{00000000-0005-0000-0000-000006000000}"/>
    <cellStyle name="Normal" xfId="0" builtinId="0"/>
    <cellStyle name="Normal 12" xfId="5" xr:uid="{00000000-0005-0000-0000-000007000000}"/>
    <cellStyle name="Normal 2" xfId="6" xr:uid="{00000000-0005-0000-0000-000008000000}"/>
    <cellStyle name="Normal 2 2" xfId="7" xr:uid="{00000000-0005-0000-0000-000009000000}"/>
    <cellStyle name="Normal 2 2 2" xfId="8" xr:uid="{00000000-0005-0000-0000-00000A000000}"/>
    <cellStyle name="Normal 3" xfId="9" xr:uid="{00000000-0005-0000-0000-00000B000000}"/>
    <cellStyle name="Normal 3 3" xfId="10" xr:uid="{00000000-0005-0000-0000-00000C000000}"/>
    <cellStyle name="Normal 4" xfId="11" xr:uid="{00000000-0005-0000-0000-00000D000000}"/>
    <cellStyle name="Normal 7 2" xfId="12" xr:uid="{00000000-0005-0000-0000-00000E000000}"/>
    <cellStyle name="Normal 8" xfId="13" xr:uid="{00000000-0005-0000-0000-00000F000000}"/>
    <cellStyle name="Normal 9" xfId="14" xr:uid="{00000000-0005-0000-0000-000010000000}"/>
    <cellStyle name="Normal_Plan1" xfId="15" xr:uid="{00000000-0005-0000-0000-000011000000}"/>
    <cellStyle name="Porcentagem" xfId="3" builtinId="5"/>
    <cellStyle name="Porcentagem 12" xfId="16" xr:uid="{00000000-0005-0000-0000-000012000000}"/>
    <cellStyle name="Porcentagem 2" xfId="17" xr:uid="{00000000-0005-0000-0000-000013000000}"/>
    <cellStyle name="Porcentagem 4" xfId="18" xr:uid="{00000000-0005-0000-0000-000014000000}"/>
    <cellStyle name="Porcentagem 4 3" xfId="19" xr:uid="{00000000-0005-0000-0000-000015000000}"/>
    <cellStyle name="Separador de milhares 2 2" xfId="20" xr:uid="{00000000-0005-0000-0000-000016000000}"/>
    <cellStyle name="Separador de milhares 2 2 2" xfId="21" xr:uid="{00000000-0005-0000-0000-000017000000}"/>
    <cellStyle name="Separador de milhares 3" xfId="22" xr:uid="{00000000-0005-0000-0000-000018000000}"/>
    <cellStyle name="Separador de milhares 3 3" xfId="23" xr:uid="{00000000-0005-0000-0000-000019000000}"/>
    <cellStyle name="Separador de milhares 4 3" xfId="24" xr:uid="{00000000-0005-0000-0000-00001A000000}"/>
    <cellStyle name="Texto Explicativo 4" xfId="25" xr:uid="{00000000-0005-0000-0000-00001B000000}"/>
    <cellStyle name="Vírgula" xfId="1" builtinId="3"/>
    <cellStyle name="Vírgula 2" xfId="26" xr:uid="{00000000-0005-0000-0000-00001C000000}"/>
    <cellStyle name="Vírgula 4" xfId="27" xr:uid="{00000000-0005-0000-0000-00001D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2F2F2"/>
      <rgbColor rgb="FF0066CC"/>
      <rgbColor rgb="FFBDD7EE"/>
      <rgbColor rgb="FF000080"/>
      <rgbColor rgb="FFFF00FF"/>
      <rgbColor rgb="FFFFF2CC"/>
      <rgbColor rgb="FF00FFFF"/>
      <rgbColor rgb="FF800080"/>
      <rgbColor rgb="FFC00000"/>
      <rgbColor rgb="FF008080"/>
      <rgbColor rgb="FF0000FF"/>
      <rgbColor rgb="FF00B0F0"/>
      <rgbColor rgb="FFC6EFCE"/>
      <rgbColor rgb="FFCCFFCC"/>
      <rgbColor rgb="FFFFFF99"/>
      <rgbColor rgb="FFADB9CA"/>
      <rgbColor rgb="FFFFC7CE"/>
      <rgbColor rgb="FFBFBFBF"/>
      <rgbColor rgb="FFF8CBAD"/>
      <rgbColor rgb="FF3366CC"/>
      <rgbColor rgb="FF33CCCC"/>
      <rgbColor rgb="FF99CC00"/>
      <rgbColor rgb="FFF2DCDB"/>
      <rgbColor rgb="FFFF9900"/>
      <rgbColor rgb="FFFF6600"/>
      <rgbColor rgb="FF606060"/>
      <rgbColor rgb="FFDCE6F2"/>
      <rgbColor rgb="FF10243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38160</xdr:colOff>
      <xdr:row>0</xdr:row>
      <xdr:rowOff>76320</xdr:rowOff>
    </xdr:from>
    <xdr:to>
      <xdr:col>1</xdr:col>
      <xdr:colOff>3240</xdr:colOff>
      <xdr:row>2</xdr:row>
      <xdr:rowOff>84960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8160" y="76320"/>
          <a:ext cx="411480" cy="475200"/>
        </a:xfrm>
        <a:prstGeom prst="rect">
          <a:avLst/>
        </a:prstGeom>
        <a:noFill/>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580320</xdr:colOff>
      <xdr:row>2</xdr:row>
      <xdr:rowOff>132840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171360" y="38160"/>
          <a:ext cx="408960" cy="437760"/>
        </a:xfrm>
        <a:prstGeom prst="rect">
          <a:avLst/>
        </a:prstGeom>
        <a:noFill/>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580320</xdr:colOff>
      <xdr:row>2</xdr:row>
      <xdr:rowOff>132840</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a:stretch/>
      </xdr:blipFill>
      <xdr:spPr>
        <a:xfrm>
          <a:off x="171360" y="38160"/>
          <a:ext cx="408960" cy="437760"/>
        </a:xfrm>
        <a:prstGeom prst="rect">
          <a:avLst/>
        </a:prstGeom>
        <a:noFill/>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399600</xdr:colOff>
      <xdr:row>2</xdr:row>
      <xdr:rowOff>28080</xdr:rowOff>
    </xdr:to>
    <xdr:pic>
      <xdr:nvPicPr>
        <xdr:cNvPr id="11" name="Picture 1">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a:stretch/>
      </xdr:blipFill>
      <xdr:spPr>
        <a:xfrm>
          <a:off x="95400" y="57240"/>
          <a:ext cx="304200" cy="313920"/>
        </a:xfrm>
        <a:prstGeom prst="rect">
          <a:avLst/>
        </a:prstGeom>
        <a:noFill/>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142920</xdr:colOff>
      <xdr:row>0</xdr:row>
      <xdr:rowOff>38160</xdr:rowOff>
    </xdr:from>
    <xdr:to>
      <xdr:col>0</xdr:col>
      <xdr:colOff>456480</xdr:colOff>
      <xdr:row>2</xdr:row>
      <xdr:rowOff>132840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a:stretch/>
      </xdr:blipFill>
      <xdr:spPr>
        <a:xfrm>
          <a:off x="142920" y="38160"/>
          <a:ext cx="313560" cy="4564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66960</xdr:colOff>
      <xdr:row>0</xdr:row>
      <xdr:rowOff>114480</xdr:rowOff>
    </xdr:from>
    <xdr:to>
      <xdr:col>0</xdr:col>
      <xdr:colOff>375945</xdr:colOff>
      <xdr:row>2</xdr:row>
      <xdr:rowOff>83415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66960" y="114480"/>
          <a:ext cx="307080" cy="31392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112680</xdr:colOff>
      <xdr:row>0</xdr:row>
      <xdr:rowOff>56160</xdr:rowOff>
    </xdr:from>
    <xdr:to>
      <xdr:col>0</xdr:col>
      <xdr:colOff>570960</xdr:colOff>
      <xdr:row>2</xdr:row>
      <xdr:rowOff>204120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12680" y="56160"/>
          <a:ext cx="458280" cy="50976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47520</xdr:colOff>
      <xdr:row>0</xdr:row>
      <xdr:rowOff>0</xdr:rowOff>
    </xdr:from>
    <xdr:to>
      <xdr:col>0</xdr:col>
      <xdr:colOff>456480</xdr:colOff>
      <xdr:row>2</xdr:row>
      <xdr:rowOff>94680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47520" y="0"/>
          <a:ext cx="408960" cy="45648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38880</xdr:colOff>
      <xdr:row>0</xdr:row>
      <xdr:rowOff>111960</xdr:rowOff>
    </xdr:from>
    <xdr:to>
      <xdr:col>0</xdr:col>
      <xdr:colOff>329040</xdr:colOff>
      <xdr:row>2</xdr:row>
      <xdr:rowOff>43920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38880" y="111960"/>
          <a:ext cx="290160" cy="34164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38160</xdr:colOff>
      <xdr:row>0</xdr:row>
      <xdr:rowOff>85680</xdr:rowOff>
    </xdr:from>
    <xdr:to>
      <xdr:col>0</xdr:col>
      <xdr:colOff>342720</xdr:colOff>
      <xdr:row>2</xdr:row>
      <xdr:rowOff>9000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38160" y="85680"/>
          <a:ext cx="304560" cy="285120"/>
        </a:xfrm>
        <a:prstGeom prst="rect">
          <a:avLst/>
        </a:prstGeom>
        <a:noFill/>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217080</xdr:colOff>
      <xdr:row>0</xdr:row>
      <xdr:rowOff>90360</xdr:rowOff>
    </xdr:from>
    <xdr:to>
      <xdr:col>0</xdr:col>
      <xdr:colOff>647280</xdr:colOff>
      <xdr:row>2</xdr:row>
      <xdr:rowOff>133200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217080" y="90360"/>
          <a:ext cx="430200" cy="404640"/>
        </a:xfrm>
        <a:prstGeom prst="rect">
          <a:avLst/>
        </a:prstGeom>
        <a:noFill/>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257040</xdr:colOff>
      <xdr:row>0</xdr:row>
      <xdr:rowOff>66600</xdr:rowOff>
    </xdr:from>
    <xdr:to>
      <xdr:col>0</xdr:col>
      <xdr:colOff>666000</xdr:colOff>
      <xdr:row>2</xdr:row>
      <xdr:rowOff>104040</xdr:rowOff>
    </xdr:to>
    <xdr:pic>
      <xdr:nvPicPr>
        <xdr:cNvPr id="7" name="Picture 1">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257040" y="66600"/>
          <a:ext cx="408960" cy="399240"/>
        </a:xfrm>
        <a:prstGeom prst="rect">
          <a:avLst/>
        </a:prstGeom>
        <a:noFill/>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171360</xdr:colOff>
      <xdr:row>0</xdr:row>
      <xdr:rowOff>38160</xdr:rowOff>
    </xdr:from>
    <xdr:to>
      <xdr:col>0</xdr:col>
      <xdr:colOff>580320</xdr:colOff>
      <xdr:row>2</xdr:row>
      <xdr:rowOff>132840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171360" y="38160"/>
          <a:ext cx="408960" cy="437760"/>
        </a:xfrm>
        <a:prstGeom prst="rect">
          <a:avLst/>
        </a:prstGeom>
        <a:noFill/>
        <a:ln w="0">
          <a:noFill/>
        </a:ln>
      </xdr:spPr>
    </xdr:pic>
    <xdr:clientData/>
  </xdr:twoCellAnchor>
</xdr:wsDr>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99"/>
  </sheetPr>
  <dimension ref="A1:U115"/>
  <sheetViews>
    <sheetView showGridLines="0" zoomScaleNormal="100" workbookViewId="0">
      <selection activeCell="A4" sqref="A4:XFD115"/>
    </sheetView>
  </sheetViews>
  <sheetFormatPr defaultColWidth="9.109375" defaultRowHeight="14.25" customHeight="1" x14ac:dyDescent="0.3"/>
  <cols>
    <col min="1" max="1" width="6.33203125" style="1" customWidth="1"/>
    <col min="2" max="2" width="41.44140625" style="1" customWidth="1"/>
    <col min="3" max="3" width="7.88671875" style="1" customWidth="1"/>
    <col min="4" max="4" width="16.33203125" style="1" customWidth="1"/>
    <col min="5" max="5" width="12.88671875" style="1" customWidth="1"/>
    <col min="6" max="6" width="16.33203125" style="1" customWidth="1"/>
    <col min="7" max="7" width="17.6640625" style="1" customWidth="1"/>
    <col min="8" max="8" width="20" style="1" customWidth="1"/>
    <col min="9" max="10" width="16.33203125" style="1" customWidth="1"/>
    <col min="11" max="12" width="13.88671875" style="2" customWidth="1"/>
    <col min="13" max="13" width="14.33203125" style="2" customWidth="1"/>
    <col min="14" max="14" width="15.44140625" style="1" customWidth="1"/>
    <col min="15" max="15" width="12.88671875" style="1" customWidth="1"/>
    <col min="16" max="16" width="16.44140625" style="1" customWidth="1"/>
    <col min="17" max="17" width="13.5546875" style="1" customWidth="1"/>
    <col min="18" max="18" width="10.109375" style="3" customWidth="1"/>
    <col min="19" max="19" width="13.33203125" style="3" customWidth="1"/>
    <col min="20" max="20" width="13.88671875" style="3" customWidth="1"/>
    <col min="21" max="21" width="13.6640625" style="3" customWidth="1"/>
    <col min="22" max="254" width="9.109375" style="1"/>
    <col min="255" max="255" width="6.33203125" style="1" customWidth="1"/>
    <col min="256" max="256" width="41.44140625" style="1" customWidth="1"/>
    <col min="257" max="257" width="7.88671875" style="1" customWidth="1"/>
    <col min="258" max="258" width="16.33203125" style="1" customWidth="1"/>
    <col min="259" max="259" width="12.88671875" style="1" customWidth="1"/>
    <col min="260" max="261" width="16.33203125" style="1" customWidth="1"/>
    <col min="262" max="262" width="13.33203125" style="1" customWidth="1"/>
    <col min="263" max="264" width="16.33203125" style="1" customWidth="1"/>
    <col min="265" max="266" width="13.88671875" style="1" customWidth="1"/>
    <col min="267" max="267" width="13" style="1" customWidth="1"/>
    <col min="268" max="268" width="13.5546875" style="1" customWidth="1"/>
    <col min="269" max="269" width="12.88671875" style="1" customWidth="1"/>
    <col min="270" max="270" width="14.109375" style="1" customWidth="1"/>
    <col min="271" max="271" width="12" style="1" customWidth="1"/>
    <col min="272" max="272" width="13" style="1" customWidth="1"/>
    <col min="273" max="273" width="11.88671875" style="1" customWidth="1"/>
    <col min="274" max="274" width="13.33203125" style="1" customWidth="1"/>
    <col min="275" max="275" width="12.33203125" style="1" customWidth="1"/>
    <col min="276" max="276" width="12.44140625" style="1" customWidth="1"/>
    <col min="277" max="277" width="10.5546875" style="1" customWidth="1"/>
    <col min="278" max="510" width="9.109375" style="1"/>
    <col min="511" max="511" width="6.33203125" style="1" customWidth="1"/>
    <col min="512" max="512" width="41.44140625" style="1" customWidth="1"/>
    <col min="513" max="513" width="7.88671875" style="1" customWidth="1"/>
    <col min="514" max="514" width="16.33203125" style="1" customWidth="1"/>
    <col min="515" max="515" width="12.88671875" style="1" customWidth="1"/>
    <col min="516" max="517" width="16.33203125" style="1" customWidth="1"/>
    <col min="518" max="518" width="13.33203125" style="1" customWidth="1"/>
    <col min="519" max="520" width="16.33203125" style="1" customWidth="1"/>
    <col min="521" max="522" width="13.88671875" style="1" customWidth="1"/>
    <col min="523" max="523" width="13" style="1" customWidth="1"/>
    <col min="524" max="524" width="13.5546875" style="1" customWidth="1"/>
    <col min="525" max="525" width="12.88671875" style="1" customWidth="1"/>
    <col min="526" max="526" width="14.109375" style="1" customWidth="1"/>
    <col min="527" max="527" width="12" style="1" customWidth="1"/>
    <col min="528" max="528" width="13" style="1" customWidth="1"/>
    <col min="529" max="529" width="11.88671875" style="1" customWidth="1"/>
    <col min="530" max="530" width="13.33203125" style="1" customWidth="1"/>
    <col min="531" max="531" width="12.33203125" style="1" customWidth="1"/>
    <col min="532" max="532" width="12.44140625" style="1" customWidth="1"/>
    <col min="533" max="533" width="10.5546875" style="1" customWidth="1"/>
    <col min="534" max="766" width="9.109375" style="1"/>
    <col min="767" max="767" width="6.33203125" style="1" customWidth="1"/>
    <col min="768" max="768" width="41.44140625" style="1" customWidth="1"/>
    <col min="769" max="769" width="7.88671875" style="1" customWidth="1"/>
    <col min="770" max="770" width="16.33203125" style="1" customWidth="1"/>
    <col min="771" max="771" width="12.88671875" style="1" customWidth="1"/>
    <col min="772" max="773" width="16.33203125" style="1" customWidth="1"/>
    <col min="774" max="774" width="13.33203125" style="1" customWidth="1"/>
    <col min="775" max="776" width="16.33203125" style="1" customWidth="1"/>
    <col min="777" max="778" width="13.88671875" style="1" customWidth="1"/>
    <col min="779" max="779" width="13" style="1" customWidth="1"/>
    <col min="780" max="780" width="13.5546875" style="1" customWidth="1"/>
    <col min="781" max="781" width="12.88671875" style="1" customWidth="1"/>
    <col min="782" max="782" width="14.109375" style="1" customWidth="1"/>
    <col min="783" max="783" width="12" style="1" customWidth="1"/>
    <col min="784" max="784" width="13" style="1" customWidth="1"/>
    <col min="785" max="785" width="11.88671875" style="1" customWidth="1"/>
    <col min="786" max="786" width="13.33203125" style="1" customWidth="1"/>
    <col min="787" max="787" width="12.33203125" style="1" customWidth="1"/>
    <col min="788" max="788" width="12.44140625" style="1" customWidth="1"/>
    <col min="789" max="789" width="10.5546875" style="1" customWidth="1"/>
    <col min="790" max="1022" width="9.109375" style="1"/>
    <col min="1023" max="1023" width="6.33203125" style="1" customWidth="1"/>
    <col min="1024" max="1024" width="41.44140625" style="1" customWidth="1"/>
    <col min="1025" max="1025" width="7.88671875" style="1" customWidth="1"/>
    <col min="1026" max="1026" width="16.33203125" style="1" customWidth="1"/>
    <col min="1027" max="1027" width="12.88671875" style="1" customWidth="1"/>
    <col min="1028" max="1029" width="16.33203125" style="1" customWidth="1"/>
    <col min="1030" max="1030" width="13.33203125" style="1" customWidth="1"/>
    <col min="1031" max="1032" width="16.33203125" style="1" customWidth="1"/>
    <col min="1033" max="1034" width="13.88671875" style="1" customWidth="1"/>
    <col min="1035" max="1035" width="13" style="1" customWidth="1"/>
    <col min="1036" max="1036" width="13.5546875" style="1" customWidth="1"/>
    <col min="1037" max="1037" width="12.88671875" style="1" customWidth="1"/>
    <col min="1038" max="1038" width="14.109375" style="1" customWidth="1"/>
    <col min="1039" max="1039" width="12" style="1" customWidth="1"/>
    <col min="1040" max="1040" width="13" style="1" customWidth="1"/>
    <col min="1041" max="1041" width="11.88671875" style="1" customWidth="1"/>
    <col min="1042" max="1042" width="13.33203125" style="1" customWidth="1"/>
    <col min="1043" max="1043" width="12.33203125" style="1" customWidth="1"/>
    <col min="1044" max="1044" width="12.44140625" style="1" customWidth="1"/>
    <col min="1045" max="1045" width="10.5546875" style="1" customWidth="1"/>
    <col min="1046" max="1278" width="9.109375" style="1"/>
    <col min="1279" max="1279" width="6.33203125" style="1" customWidth="1"/>
    <col min="1280" max="1280" width="41.44140625" style="1" customWidth="1"/>
    <col min="1281" max="1281" width="7.88671875" style="1" customWidth="1"/>
    <col min="1282" max="1282" width="16.33203125" style="1" customWidth="1"/>
    <col min="1283" max="1283" width="12.88671875" style="1" customWidth="1"/>
    <col min="1284" max="1285" width="16.33203125" style="1" customWidth="1"/>
    <col min="1286" max="1286" width="13.33203125" style="1" customWidth="1"/>
    <col min="1287" max="1288" width="16.33203125" style="1" customWidth="1"/>
    <col min="1289" max="1290" width="13.88671875" style="1" customWidth="1"/>
    <col min="1291" max="1291" width="13" style="1" customWidth="1"/>
    <col min="1292" max="1292" width="13.5546875" style="1" customWidth="1"/>
    <col min="1293" max="1293" width="12.88671875" style="1" customWidth="1"/>
    <col min="1294" max="1294" width="14.109375" style="1" customWidth="1"/>
    <col min="1295" max="1295" width="12" style="1" customWidth="1"/>
    <col min="1296" max="1296" width="13" style="1" customWidth="1"/>
    <col min="1297" max="1297" width="11.88671875" style="1" customWidth="1"/>
    <col min="1298" max="1298" width="13.33203125" style="1" customWidth="1"/>
    <col min="1299" max="1299" width="12.33203125" style="1" customWidth="1"/>
    <col min="1300" max="1300" width="12.44140625" style="1" customWidth="1"/>
    <col min="1301" max="1301" width="10.5546875" style="1" customWidth="1"/>
    <col min="1302" max="1534" width="9.109375" style="1"/>
    <col min="1535" max="1535" width="6.33203125" style="1" customWidth="1"/>
    <col min="1536" max="1536" width="41.44140625" style="1" customWidth="1"/>
    <col min="1537" max="1537" width="7.88671875" style="1" customWidth="1"/>
    <col min="1538" max="1538" width="16.33203125" style="1" customWidth="1"/>
    <col min="1539" max="1539" width="12.88671875" style="1" customWidth="1"/>
    <col min="1540" max="1541" width="16.33203125" style="1" customWidth="1"/>
    <col min="1542" max="1542" width="13.33203125" style="1" customWidth="1"/>
    <col min="1543" max="1544" width="16.33203125" style="1" customWidth="1"/>
    <col min="1545" max="1546" width="13.88671875" style="1" customWidth="1"/>
    <col min="1547" max="1547" width="13" style="1" customWidth="1"/>
    <col min="1548" max="1548" width="13.5546875" style="1" customWidth="1"/>
    <col min="1549" max="1549" width="12.88671875" style="1" customWidth="1"/>
    <col min="1550" max="1550" width="14.109375" style="1" customWidth="1"/>
    <col min="1551" max="1551" width="12" style="1" customWidth="1"/>
    <col min="1552" max="1552" width="13" style="1" customWidth="1"/>
    <col min="1553" max="1553" width="11.88671875" style="1" customWidth="1"/>
    <col min="1554" max="1554" width="13.33203125" style="1" customWidth="1"/>
    <col min="1555" max="1555" width="12.33203125" style="1" customWidth="1"/>
    <col min="1556" max="1556" width="12.44140625" style="1" customWidth="1"/>
    <col min="1557" max="1557" width="10.5546875" style="1" customWidth="1"/>
    <col min="1558" max="1790" width="9.109375" style="1"/>
    <col min="1791" max="1791" width="6.33203125" style="1" customWidth="1"/>
    <col min="1792" max="1792" width="41.44140625" style="1" customWidth="1"/>
    <col min="1793" max="1793" width="7.88671875" style="1" customWidth="1"/>
    <col min="1794" max="1794" width="16.33203125" style="1" customWidth="1"/>
    <col min="1795" max="1795" width="12.88671875" style="1" customWidth="1"/>
    <col min="1796" max="1797" width="16.33203125" style="1" customWidth="1"/>
    <col min="1798" max="1798" width="13.33203125" style="1" customWidth="1"/>
    <col min="1799" max="1800" width="16.33203125" style="1" customWidth="1"/>
    <col min="1801" max="1802" width="13.88671875" style="1" customWidth="1"/>
    <col min="1803" max="1803" width="13" style="1" customWidth="1"/>
    <col min="1804" max="1804" width="13.5546875" style="1" customWidth="1"/>
    <col min="1805" max="1805" width="12.88671875" style="1" customWidth="1"/>
    <col min="1806" max="1806" width="14.109375" style="1" customWidth="1"/>
    <col min="1807" max="1807" width="12" style="1" customWidth="1"/>
    <col min="1808" max="1808" width="13" style="1" customWidth="1"/>
    <col min="1809" max="1809" width="11.88671875" style="1" customWidth="1"/>
    <col min="1810" max="1810" width="13.33203125" style="1" customWidth="1"/>
    <col min="1811" max="1811" width="12.33203125" style="1" customWidth="1"/>
    <col min="1812" max="1812" width="12.44140625" style="1" customWidth="1"/>
    <col min="1813" max="1813" width="10.5546875" style="1" customWidth="1"/>
    <col min="1814" max="2046" width="9.109375" style="1"/>
    <col min="2047" max="2047" width="6.33203125" style="1" customWidth="1"/>
    <col min="2048" max="2048" width="41.44140625" style="1" customWidth="1"/>
    <col min="2049" max="2049" width="7.88671875" style="1" customWidth="1"/>
    <col min="2050" max="2050" width="16.33203125" style="1" customWidth="1"/>
    <col min="2051" max="2051" width="12.88671875" style="1" customWidth="1"/>
    <col min="2052" max="2053" width="16.33203125" style="1" customWidth="1"/>
    <col min="2054" max="2054" width="13.33203125" style="1" customWidth="1"/>
    <col min="2055" max="2056" width="16.33203125" style="1" customWidth="1"/>
    <col min="2057" max="2058" width="13.88671875" style="1" customWidth="1"/>
    <col min="2059" max="2059" width="13" style="1" customWidth="1"/>
    <col min="2060" max="2060" width="13.5546875" style="1" customWidth="1"/>
    <col min="2061" max="2061" width="12.88671875" style="1" customWidth="1"/>
    <col min="2062" max="2062" width="14.109375" style="1" customWidth="1"/>
    <col min="2063" max="2063" width="12" style="1" customWidth="1"/>
    <col min="2064" max="2064" width="13" style="1" customWidth="1"/>
    <col min="2065" max="2065" width="11.88671875" style="1" customWidth="1"/>
    <col min="2066" max="2066" width="13.33203125" style="1" customWidth="1"/>
    <col min="2067" max="2067" width="12.33203125" style="1" customWidth="1"/>
    <col min="2068" max="2068" width="12.44140625" style="1" customWidth="1"/>
    <col min="2069" max="2069" width="10.5546875" style="1" customWidth="1"/>
    <col min="2070" max="2302" width="9.109375" style="1"/>
    <col min="2303" max="2303" width="6.33203125" style="1" customWidth="1"/>
    <col min="2304" max="2304" width="41.44140625" style="1" customWidth="1"/>
    <col min="2305" max="2305" width="7.88671875" style="1" customWidth="1"/>
    <col min="2306" max="2306" width="16.33203125" style="1" customWidth="1"/>
    <col min="2307" max="2307" width="12.88671875" style="1" customWidth="1"/>
    <col min="2308" max="2309" width="16.33203125" style="1" customWidth="1"/>
    <col min="2310" max="2310" width="13.33203125" style="1" customWidth="1"/>
    <col min="2311" max="2312" width="16.33203125" style="1" customWidth="1"/>
    <col min="2313" max="2314" width="13.88671875" style="1" customWidth="1"/>
    <col min="2315" max="2315" width="13" style="1" customWidth="1"/>
    <col min="2316" max="2316" width="13.5546875" style="1" customWidth="1"/>
    <col min="2317" max="2317" width="12.88671875" style="1" customWidth="1"/>
    <col min="2318" max="2318" width="14.109375" style="1" customWidth="1"/>
    <col min="2319" max="2319" width="12" style="1" customWidth="1"/>
    <col min="2320" max="2320" width="13" style="1" customWidth="1"/>
    <col min="2321" max="2321" width="11.88671875" style="1" customWidth="1"/>
    <col min="2322" max="2322" width="13.33203125" style="1" customWidth="1"/>
    <col min="2323" max="2323" width="12.33203125" style="1" customWidth="1"/>
    <col min="2324" max="2324" width="12.44140625" style="1" customWidth="1"/>
    <col min="2325" max="2325" width="10.5546875" style="1" customWidth="1"/>
    <col min="2326" max="2558" width="9.109375" style="1"/>
    <col min="2559" max="2559" width="6.33203125" style="1" customWidth="1"/>
    <col min="2560" max="2560" width="41.44140625" style="1" customWidth="1"/>
    <col min="2561" max="2561" width="7.88671875" style="1" customWidth="1"/>
    <col min="2562" max="2562" width="16.33203125" style="1" customWidth="1"/>
    <col min="2563" max="2563" width="12.88671875" style="1" customWidth="1"/>
    <col min="2564" max="2565" width="16.33203125" style="1" customWidth="1"/>
    <col min="2566" max="2566" width="13.33203125" style="1" customWidth="1"/>
    <col min="2567" max="2568" width="16.33203125" style="1" customWidth="1"/>
    <col min="2569" max="2570" width="13.88671875" style="1" customWidth="1"/>
    <col min="2571" max="2571" width="13" style="1" customWidth="1"/>
    <col min="2572" max="2572" width="13.5546875" style="1" customWidth="1"/>
    <col min="2573" max="2573" width="12.88671875" style="1" customWidth="1"/>
    <col min="2574" max="2574" width="14.109375" style="1" customWidth="1"/>
    <col min="2575" max="2575" width="12" style="1" customWidth="1"/>
    <col min="2576" max="2576" width="13" style="1" customWidth="1"/>
    <col min="2577" max="2577" width="11.88671875" style="1" customWidth="1"/>
    <col min="2578" max="2578" width="13.33203125" style="1" customWidth="1"/>
    <col min="2579" max="2579" width="12.33203125" style="1" customWidth="1"/>
    <col min="2580" max="2580" width="12.44140625" style="1" customWidth="1"/>
    <col min="2581" max="2581" width="10.5546875" style="1" customWidth="1"/>
    <col min="2582" max="2814" width="9.109375" style="1"/>
    <col min="2815" max="2815" width="6.33203125" style="1" customWidth="1"/>
    <col min="2816" max="2816" width="41.44140625" style="1" customWidth="1"/>
    <col min="2817" max="2817" width="7.88671875" style="1" customWidth="1"/>
    <col min="2818" max="2818" width="16.33203125" style="1" customWidth="1"/>
    <col min="2819" max="2819" width="12.88671875" style="1" customWidth="1"/>
    <col min="2820" max="2821" width="16.33203125" style="1" customWidth="1"/>
    <col min="2822" max="2822" width="13.33203125" style="1" customWidth="1"/>
    <col min="2823" max="2824" width="16.33203125" style="1" customWidth="1"/>
    <col min="2825" max="2826" width="13.88671875" style="1" customWidth="1"/>
    <col min="2827" max="2827" width="13" style="1" customWidth="1"/>
    <col min="2828" max="2828" width="13.5546875" style="1" customWidth="1"/>
    <col min="2829" max="2829" width="12.88671875" style="1" customWidth="1"/>
    <col min="2830" max="2830" width="14.109375" style="1" customWidth="1"/>
    <col min="2831" max="2831" width="12" style="1" customWidth="1"/>
    <col min="2832" max="2832" width="13" style="1" customWidth="1"/>
    <col min="2833" max="2833" width="11.88671875" style="1" customWidth="1"/>
    <col min="2834" max="2834" width="13.33203125" style="1" customWidth="1"/>
    <col min="2835" max="2835" width="12.33203125" style="1" customWidth="1"/>
    <col min="2836" max="2836" width="12.44140625" style="1" customWidth="1"/>
    <col min="2837" max="2837" width="10.5546875" style="1" customWidth="1"/>
    <col min="2838" max="3070" width="9.109375" style="1"/>
    <col min="3071" max="3071" width="6.33203125" style="1" customWidth="1"/>
    <col min="3072" max="3072" width="41.44140625" style="1" customWidth="1"/>
    <col min="3073" max="3073" width="7.88671875" style="1" customWidth="1"/>
    <col min="3074" max="3074" width="16.33203125" style="1" customWidth="1"/>
    <col min="3075" max="3075" width="12.88671875" style="1" customWidth="1"/>
    <col min="3076" max="3077" width="16.33203125" style="1" customWidth="1"/>
    <col min="3078" max="3078" width="13.33203125" style="1" customWidth="1"/>
    <col min="3079" max="3080" width="16.33203125" style="1" customWidth="1"/>
    <col min="3081" max="3082" width="13.88671875" style="1" customWidth="1"/>
    <col min="3083" max="3083" width="13" style="1" customWidth="1"/>
    <col min="3084" max="3084" width="13.5546875" style="1" customWidth="1"/>
    <col min="3085" max="3085" width="12.88671875" style="1" customWidth="1"/>
    <col min="3086" max="3086" width="14.109375" style="1" customWidth="1"/>
    <col min="3087" max="3087" width="12" style="1" customWidth="1"/>
    <col min="3088" max="3088" width="13" style="1" customWidth="1"/>
    <col min="3089" max="3089" width="11.88671875" style="1" customWidth="1"/>
    <col min="3090" max="3090" width="13.33203125" style="1" customWidth="1"/>
    <col min="3091" max="3091" width="12.33203125" style="1" customWidth="1"/>
    <col min="3092" max="3092" width="12.44140625" style="1" customWidth="1"/>
    <col min="3093" max="3093" width="10.5546875" style="1" customWidth="1"/>
    <col min="3094" max="3326" width="9.109375" style="1"/>
    <col min="3327" max="3327" width="6.33203125" style="1" customWidth="1"/>
    <col min="3328" max="3328" width="41.44140625" style="1" customWidth="1"/>
    <col min="3329" max="3329" width="7.88671875" style="1" customWidth="1"/>
    <col min="3330" max="3330" width="16.33203125" style="1" customWidth="1"/>
    <col min="3331" max="3331" width="12.88671875" style="1" customWidth="1"/>
    <col min="3332" max="3333" width="16.33203125" style="1" customWidth="1"/>
    <col min="3334" max="3334" width="13.33203125" style="1" customWidth="1"/>
    <col min="3335" max="3336" width="16.33203125" style="1" customWidth="1"/>
    <col min="3337" max="3338" width="13.88671875" style="1" customWidth="1"/>
    <col min="3339" max="3339" width="13" style="1" customWidth="1"/>
    <col min="3340" max="3340" width="13.5546875" style="1" customWidth="1"/>
    <col min="3341" max="3341" width="12.88671875" style="1" customWidth="1"/>
    <col min="3342" max="3342" width="14.109375" style="1" customWidth="1"/>
    <col min="3343" max="3343" width="12" style="1" customWidth="1"/>
    <col min="3344" max="3344" width="13" style="1" customWidth="1"/>
    <col min="3345" max="3345" width="11.88671875" style="1" customWidth="1"/>
    <col min="3346" max="3346" width="13.33203125" style="1" customWidth="1"/>
    <col min="3347" max="3347" width="12.33203125" style="1" customWidth="1"/>
    <col min="3348" max="3348" width="12.44140625" style="1" customWidth="1"/>
    <col min="3349" max="3349" width="10.5546875" style="1" customWidth="1"/>
    <col min="3350" max="3582" width="9.109375" style="1"/>
    <col min="3583" max="3583" width="6.33203125" style="1" customWidth="1"/>
    <col min="3584" max="3584" width="41.44140625" style="1" customWidth="1"/>
    <col min="3585" max="3585" width="7.88671875" style="1" customWidth="1"/>
    <col min="3586" max="3586" width="16.33203125" style="1" customWidth="1"/>
    <col min="3587" max="3587" width="12.88671875" style="1" customWidth="1"/>
    <col min="3588" max="3589" width="16.33203125" style="1" customWidth="1"/>
    <col min="3590" max="3590" width="13.33203125" style="1" customWidth="1"/>
    <col min="3591" max="3592" width="16.33203125" style="1" customWidth="1"/>
    <col min="3593" max="3594" width="13.88671875" style="1" customWidth="1"/>
    <col min="3595" max="3595" width="13" style="1" customWidth="1"/>
    <col min="3596" max="3596" width="13.5546875" style="1" customWidth="1"/>
    <col min="3597" max="3597" width="12.88671875" style="1" customWidth="1"/>
    <col min="3598" max="3598" width="14.109375" style="1" customWidth="1"/>
    <col min="3599" max="3599" width="12" style="1" customWidth="1"/>
    <col min="3600" max="3600" width="13" style="1" customWidth="1"/>
    <col min="3601" max="3601" width="11.88671875" style="1" customWidth="1"/>
    <col min="3602" max="3602" width="13.33203125" style="1" customWidth="1"/>
    <col min="3603" max="3603" width="12.33203125" style="1" customWidth="1"/>
    <col min="3604" max="3604" width="12.44140625" style="1" customWidth="1"/>
    <col min="3605" max="3605" width="10.5546875" style="1" customWidth="1"/>
    <col min="3606" max="3838" width="9.109375" style="1"/>
    <col min="3839" max="3839" width="6.33203125" style="1" customWidth="1"/>
    <col min="3840" max="3840" width="41.44140625" style="1" customWidth="1"/>
    <col min="3841" max="3841" width="7.88671875" style="1" customWidth="1"/>
    <col min="3842" max="3842" width="16.33203125" style="1" customWidth="1"/>
    <col min="3843" max="3843" width="12.88671875" style="1" customWidth="1"/>
    <col min="3844" max="3845" width="16.33203125" style="1" customWidth="1"/>
    <col min="3846" max="3846" width="13.33203125" style="1" customWidth="1"/>
    <col min="3847" max="3848" width="16.33203125" style="1" customWidth="1"/>
    <col min="3849" max="3850" width="13.88671875" style="1" customWidth="1"/>
    <col min="3851" max="3851" width="13" style="1" customWidth="1"/>
    <col min="3852" max="3852" width="13.5546875" style="1" customWidth="1"/>
    <col min="3853" max="3853" width="12.88671875" style="1" customWidth="1"/>
    <col min="3854" max="3854" width="14.109375" style="1" customWidth="1"/>
    <col min="3855" max="3855" width="12" style="1" customWidth="1"/>
    <col min="3856" max="3856" width="13" style="1" customWidth="1"/>
    <col min="3857" max="3857" width="11.88671875" style="1" customWidth="1"/>
    <col min="3858" max="3858" width="13.33203125" style="1" customWidth="1"/>
    <col min="3859" max="3859" width="12.33203125" style="1" customWidth="1"/>
    <col min="3860" max="3860" width="12.44140625" style="1" customWidth="1"/>
    <col min="3861" max="3861" width="10.5546875" style="1" customWidth="1"/>
    <col min="3862" max="4094" width="9.109375" style="1"/>
    <col min="4095" max="4095" width="6.33203125" style="1" customWidth="1"/>
    <col min="4096" max="4096" width="41.44140625" style="1" customWidth="1"/>
    <col min="4097" max="4097" width="7.88671875" style="1" customWidth="1"/>
    <col min="4098" max="4098" width="16.33203125" style="1" customWidth="1"/>
    <col min="4099" max="4099" width="12.88671875" style="1" customWidth="1"/>
    <col min="4100" max="4101" width="16.33203125" style="1" customWidth="1"/>
    <col min="4102" max="4102" width="13.33203125" style="1" customWidth="1"/>
    <col min="4103" max="4104" width="16.33203125" style="1" customWidth="1"/>
    <col min="4105" max="4106" width="13.88671875" style="1" customWidth="1"/>
    <col min="4107" max="4107" width="13" style="1" customWidth="1"/>
    <col min="4108" max="4108" width="13.5546875" style="1" customWidth="1"/>
    <col min="4109" max="4109" width="12.88671875" style="1" customWidth="1"/>
    <col min="4110" max="4110" width="14.109375" style="1" customWidth="1"/>
    <col min="4111" max="4111" width="12" style="1" customWidth="1"/>
    <col min="4112" max="4112" width="13" style="1" customWidth="1"/>
    <col min="4113" max="4113" width="11.88671875" style="1" customWidth="1"/>
    <col min="4114" max="4114" width="13.33203125" style="1" customWidth="1"/>
    <col min="4115" max="4115" width="12.33203125" style="1" customWidth="1"/>
    <col min="4116" max="4116" width="12.44140625" style="1" customWidth="1"/>
    <col min="4117" max="4117" width="10.5546875" style="1" customWidth="1"/>
    <col min="4118" max="4350" width="9.109375" style="1"/>
    <col min="4351" max="4351" width="6.33203125" style="1" customWidth="1"/>
    <col min="4352" max="4352" width="41.44140625" style="1" customWidth="1"/>
    <col min="4353" max="4353" width="7.88671875" style="1" customWidth="1"/>
    <col min="4354" max="4354" width="16.33203125" style="1" customWidth="1"/>
    <col min="4355" max="4355" width="12.88671875" style="1" customWidth="1"/>
    <col min="4356" max="4357" width="16.33203125" style="1" customWidth="1"/>
    <col min="4358" max="4358" width="13.33203125" style="1" customWidth="1"/>
    <col min="4359" max="4360" width="16.33203125" style="1" customWidth="1"/>
    <col min="4361" max="4362" width="13.88671875" style="1" customWidth="1"/>
    <col min="4363" max="4363" width="13" style="1" customWidth="1"/>
    <col min="4364" max="4364" width="13.5546875" style="1" customWidth="1"/>
    <col min="4365" max="4365" width="12.88671875" style="1" customWidth="1"/>
    <col min="4366" max="4366" width="14.109375" style="1" customWidth="1"/>
    <col min="4367" max="4367" width="12" style="1" customWidth="1"/>
    <col min="4368" max="4368" width="13" style="1" customWidth="1"/>
    <col min="4369" max="4369" width="11.88671875" style="1" customWidth="1"/>
    <col min="4370" max="4370" width="13.33203125" style="1" customWidth="1"/>
    <col min="4371" max="4371" width="12.33203125" style="1" customWidth="1"/>
    <col min="4372" max="4372" width="12.44140625" style="1" customWidth="1"/>
    <col min="4373" max="4373" width="10.5546875" style="1" customWidth="1"/>
    <col min="4374" max="4606" width="9.109375" style="1"/>
    <col min="4607" max="4607" width="6.33203125" style="1" customWidth="1"/>
    <col min="4608" max="4608" width="41.44140625" style="1" customWidth="1"/>
    <col min="4609" max="4609" width="7.88671875" style="1" customWidth="1"/>
    <col min="4610" max="4610" width="16.33203125" style="1" customWidth="1"/>
    <col min="4611" max="4611" width="12.88671875" style="1" customWidth="1"/>
    <col min="4612" max="4613" width="16.33203125" style="1" customWidth="1"/>
    <col min="4614" max="4614" width="13.33203125" style="1" customWidth="1"/>
    <col min="4615" max="4616" width="16.33203125" style="1" customWidth="1"/>
    <col min="4617" max="4618" width="13.88671875" style="1" customWidth="1"/>
    <col min="4619" max="4619" width="13" style="1" customWidth="1"/>
    <col min="4620" max="4620" width="13.5546875" style="1" customWidth="1"/>
    <col min="4621" max="4621" width="12.88671875" style="1" customWidth="1"/>
    <col min="4622" max="4622" width="14.109375" style="1" customWidth="1"/>
    <col min="4623" max="4623" width="12" style="1" customWidth="1"/>
    <col min="4624" max="4624" width="13" style="1" customWidth="1"/>
    <col min="4625" max="4625" width="11.88671875" style="1" customWidth="1"/>
    <col min="4626" max="4626" width="13.33203125" style="1" customWidth="1"/>
    <col min="4627" max="4627" width="12.33203125" style="1" customWidth="1"/>
    <col min="4628" max="4628" width="12.44140625" style="1" customWidth="1"/>
    <col min="4629" max="4629" width="10.5546875" style="1" customWidth="1"/>
    <col min="4630" max="4862" width="9.109375" style="1"/>
    <col min="4863" max="4863" width="6.33203125" style="1" customWidth="1"/>
    <col min="4864" max="4864" width="41.44140625" style="1" customWidth="1"/>
    <col min="4865" max="4865" width="7.88671875" style="1" customWidth="1"/>
    <col min="4866" max="4866" width="16.33203125" style="1" customWidth="1"/>
    <col min="4867" max="4867" width="12.88671875" style="1" customWidth="1"/>
    <col min="4868" max="4869" width="16.33203125" style="1" customWidth="1"/>
    <col min="4870" max="4870" width="13.33203125" style="1" customWidth="1"/>
    <col min="4871" max="4872" width="16.33203125" style="1" customWidth="1"/>
    <col min="4873" max="4874" width="13.88671875" style="1" customWidth="1"/>
    <col min="4875" max="4875" width="13" style="1" customWidth="1"/>
    <col min="4876" max="4876" width="13.5546875" style="1" customWidth="1"/>
    <col min="4877" max="4877" width="12.88671875" style="1" customWidth="1"/>
    <col min="4878" max="4878" width="14.109375" style="1" customWidth="1"/>
    <col min="4879" max="4879" width="12" style="1" customWidth="1"/>
    <col min="4880" max="4880" width="13" style="1" customWidth="1"/>
    <col min="4881" max="4881" width="11.88671875" style="1" customWidth="1"/>
    <col min="4882" max="4882" width="13.33203125" style="1" customWidth="1"/>
    <col min="4883" max="4883" width="12.33203125" style="1" customWidth="1"/>
    <col min="4884" max="4884" width="12.44140625" style="1" customWidth="1"/>
    <col min="4885" max="4885" width="10.5546875" style="1" customWidth="1"/>
    <col min="4886" max="5118" width="9.109375" style="1"/>
    <col min="5119" max="5119" width="6.33203125" style="1" customWidth="1"/>
    <col min="5120" max="5120" width="41.44140625" style="1" customWidth="1"/>
    <col min="5121" max="5121" width="7.88671875" style="1" customWidth="1"/>
    <col min="5122" max="5122" width="16.33203125" style="1" customWidth="1"/>
    <col min="5123" max="5123" width="12.88671875" style="1" customWidth="1"/>
    <col min="5124" max="5125" width="16.33203125" style="1" customWidth="1"/>
    <col min="5126" max="5126" width="13.33203125" style="1" customWidth="1"/>
    <col min="5127" max="5128" width="16.33203125" style="1" customWidth="1"/>
    <col min="5129" max="5130" width="13.88671875" style="1" customWidth="1"/>
    <col min="5131" max="5131" width="13" style="1" customWidth="1"/>
    <col min="5132" max="5132" width="13.5546875" style="1" customWidth="1"/>
    <col min="5133" max="5133" width="12.88671875" style="1" customWidth="1"/>
    <col min="5134" max="5134" width="14.109375" style="1" customWidth="1"/>
    <col min="5135" max="5135" width="12" style="1" customWidth="1"/>
    <col min="5136" max="5136" width="13" style="1" customWidth="1"/>
    <col min="5137" max="5137" width="11.88671875" style="1" customWidth="1"/>
    <col min="5138" max="5138" width="13.33203125" style="1" customWidth="1"/>
    <col min="5139" max="5139" width="12.33203125" style="1" customWidth="1"/>
    <col min="5140" max="5140" width="12.44140625" style="1" customWidth="1"/>
    <col min="5141" max="5141" width="10.5546875" style="1" customWidth="1"/>
    <col min="5142" max="5374" width="9.109375" style="1"/>
    <col min="5375" max="5375" width="6.33203125" style="1" customWidth="1"/>
    <col min="5376" max="5376" width="41.44140625" style="1" customWidth="1"/>
    <col min="5377" max="5377" width="7.88671875" style="1" customWidth="1"/>
    <col min="5378" max="5378" width="16.33203125" style="1" customWidth="1"/>
    <col min="5379" max="5379" width="12.88671875" style="1" customWidth="1"/>
    <col min="5380" max="5381" width="16.33203125" style="1" customWidth="1"/>
    <col min="5382" max="5382" width="13.33203125" style="1" customWidth="1"/>
    <col min="5383" max="5384" width="16.33203125" style="1" customWidth="1"/>
    <col min="5385" max="5386" width="13.88671875" style="1" customWidth="1"/>
    <col min="5387" max="5387" width="13" style="1" customWidth="1"/>
    <col min="5388" max="5388" width="13.5546875" style="1" customWidth="1"/>
    <col min="5389" max="5389" width="12.88671875" style="1" customWidth="1"/>
    <col min="5390" max="5390" width="14.109375" style="1" customWidth="1"/>
    <col min="5391" max="5391" width="12" style="1" customWidth="1"/>
    <col min="5392" max="5392" width="13" style="1" customWidth="1"/>
    <col min="5393" max="5393" width="11.88671875" style="1" customWidth="1"/>
    <col min="5394" max="5394" width="13.33203125" style="1" customWidth="1"/>
    <col min="5395" max="5395" width="12.33203125" style="1" customWidth="1"/>
    <col min="5396" max="5396" width="12.44140625" style="1" customWidth="1"/>
    <col min="5397" max="5397" width="10.5546875" style="1" customWidth="1"/>
    <col min="5398" max="5630" width="9.109375" style="1"/>
    <col min="5631" max="5631" width="6.33203125" style="1" customWidth="1"/>
    <col min="5632" max="5632" width="41.44140625" style="1" customWidth="1"/>
    <col min="5633" max="5633" width="7.88671875" style="1" customWidth="1"/>
    <col min="5634" max="5634" width="16.33203125" style="1" customWidth="1"/>
    <col min="5635" max="5635" width="12.88671875" style="1" customWidth="1"/>
    <col min="5636" max="5637" width="16.33203125" style="1" customWidth="1"/>
    <col min="5638" max="5638" width="13.33203125" style="1" customWidth="1"/>
    <col min="5639" max="5640" width="16.33203125" style="1" customWidth="1"/>
    <col min="5641" max="5642" width="13.88671875" style="1" customWidth="1"/>
    <col min="5643" max="5643" width="13" style="1" customWidth="1"/>
    <col min="5644" max="5644" width="13.5546875" style="1" customWidth="1"/>
    <col min="5645" max="5645" width="12.88671875" style="1" customWidth="1"/>
    <col min="5646" max="5646" width="14.109375" style="1" customWidth="1"/>
    <col min="5647" max="5647" width="12" style="1" customWidth="1"/>
    <col min="5648" max="5648" width="13" style="1" customWidth="1"/>
    <col min="5649" max="5649" width="11.88671875" style="1" customWidth="1"/>
    <col min="5650" max="5650" width="13.33203125" style="1" customWidth="1"/>
    <col min="5651" max="5651" width="12.33203125" style="1" customWidth="1"/>
    <col min="5652" max="5652" width="12.44140625" style="1" customWidth="1"/>
    <col min="5653" max="5653" width="10.5546875" style="1" customWidth="1"/>
    <col min="5654" max="5886" width="9.109375" style="1"/>
    <col min="5887" max="5887" width="6.33203125" style="1" customWidth="1"/>
    <col min="5888" max="5888" width="41.44140625" style="1" customWidth="1"/>
    <col min="5889" max="5889" width="7.88671875" style="1" customWidth="1"/>
    <col min="5890" max="5890" width="16.33203125" style="1" customWidth="1"/>
    <col min="5891" max="5891" width="12.88671875" style="1" customWidth="1"/>
    <col min="5892" max="5893" width="16.33203125" style="1" customWidth="1"/>
    <col min="5894" max="5894" width="13.33203125" style="1" customWidth="1"/>
    <col min="5895" max="5896" width="16.33203125" style="1" customWidth="1"/>
    <col min="5897" max="5898" width="13.88671875" style="1" customWidth="1"/>
    <col min="5899" max="5899" width="13" style="1" customWidth="1"/>
    <col min="5900" max="5900" width="13.5546875" style="1" customWidth="1"/>
    <col min="5901" max="5901" width="12.88671875" style="1" customWidth="1"/>
    <col min="5902" max="5902" width="14.109375" style="1" customWidth="1"/>
    <col min="5903" max="5903" width="12" style="1" customWidth="1"/>
    <col min="5904" max="5904" width="13" style="1" customWidth="1"/>
    <col min="5905" max="5905" width="11.88671875" style="1" customWidth="1"/>
    <col min="5906" max="5906" width="13.33203125" style="1" customWidth="1"/>
    <col min="5907" max="5907" width="12.33203125" style="1" customWidth="1"/>
    <col min="5908" max="5908" width="12.44140625" style="1" customWidth="1"/>
    <col min="5909" max="5909" width="10.5546875" style="1" customWidth="1"/>
    <col min="5910" max="6142" width="9.109375" style="1"/>
    <col min="6143" max="6143" width="6.33203125" style="1" customWidth="1"/>
    <col min="6144" max="6144" width="41.44140625" style="1" customWidth="1"/>
    <col min="6145" max="6145" width="7.88671875" style="1" customWidth="1"/>
    <col min="6146" max="6146" width="16.33203125" style="1" customWidth="1"/>
    <col min="6147" max="6147" width="12.88671875" style="1" customWidth="1"/>
    <col min="6148" max="6149" width="16.33203125" style="1" customWidth="1"/>
    <col min="6150" max="6150" width="13.33203125" style="1" customWidth="1"/>
    <col min="6151" max="6152" width="16.33203125" style="1" customWidth="1"/>
    <col min="6153" max="6154" width="13.88671875" style="1" customWidth="1"/>
    <col min="6155" max="6155" width="13" style="1" customWidth="1"/>
    <col min="6156" max="6156" width="13.5546875" style="1" customWidth="1"/>
    <col min="6157" max="6157" width="12.88671875" style="1" customWidth="1"/>
    <col min="6158" max="6158" width="14.109375" style="1" customWidth="1"/>
    <col min="6159" max="6159" width="12" style="1" customWidth="1"/>
    <col min="6160" max="6160" width="13" style="1" customWidth="1"/>
    <col min="6161" max="6161" width="11.88671875" style="1" customWidth="1"/>
    <col min="6162" max="6162" width="13.33203125" style="1" customWidth="1"/>
    <col min="6163" max="6163" width="12.33203125" style="1" customWidth="1"/>
    <col min="6164" max="6164" width="12.44140625" style="1" customWidth="1"/>
    <col min="6165" max="6165" width="10.5546875" style="1" customWidth="1"/>
    <col min="6166" max="6398" width="9.109375" style="1"/>
    <col min="6399" max="6399" width="6.33203125" style="1" customWidth="1"/>
    <col min="6400" max="6400" width="41.44140625" style="1" customWidth="1"/>
    <col min="6401" max="6401" width="7.88671875" style="1" customWidth="1"/>
    <col min="6402" max="6402" width="16.33203125" style="1" customWidth="1"/>
    <col min="6403" max="6403" width="12.88671875" style="1" customWidth="1"/>
    <col min="6404" max="6405" width="16.33203125" style="1" customWidth="1"/>
    <col min="6406" max="6406" width="13.33203125" style="1" customWidth="1"/>
    <col min="6407" max="6408" width="16.33203125" style="1" customWidth="1"/>
    <col min="6409" max="6410" width="13.88671875" style="1" customWidth="1"/>
    <col min="6411" max="6411" width="13" style="1" customWidth="1"/>
    <col min="6412" max="6412" width="13.5546875" style="1" customWidth="1"/>
    <col min="6413" max="6413" width="12.88671875" style="1" customWidth="1"/>
    <col min="6414" max="6414" width="14.109375" style="1" customWidth="1"/>
    <col min="6415" max="6415" width="12" style="1" customWidth="1"/>
    <col min="6416" max="6416" width="13" style="1" customWidth="1"/>
    <col min="6417" max="6417" width="11.88671875" style="1" customWidth="1"/>
    <col min="6418" max="6418" width="13.33203125" style="1" customWidth="1"/>
    <col min="6419" max="6419" width="12.33203125" style="1" customWidth="1"/>
    <col min="6420" max="6420" width="12.44140625" style="1" customWidth="1"/>
    <col min="6421" max="6421" width="10.5546875" style="1" customWidth="1"/>
    <col min="6422" max="6654" width="9.109375" style="1"/>
    <col min="6655" max="6655" width="6.33203125" style="1" customWidth="1"/>
    <col min="6656" max="6656" width="41.44140625" style="1" customWidth="1"/>
    <col min="6657" max="6657" width="7.88671875" style="1" customWidth="1"/>
    <col min="6658" max="6658" width="16.33203125" style="1" customWidth="1"/>
    <col min="6659" max="6659" width="12.88671875" style="1" customWidth="1"/>
    <col min="6660" max="6661" width="16.33203125" style="1" customWidth="1"/>
    <col min="6662" max="6662" width="13.33203125" style="1" customWidth="1"/>
    <col min="6663" max="6664" width="16.33203125" style="1" customWidth="1"/>
    <col min="6665" max="6666" width="13.88671875" style="1" customWidth="1"/>
    <col min="6667" max="6667" width="13" style="1" customWidth="1"/>
    <col min="6668" max="6668" width="13.5546875" style="1" customWidth="1"/>
    <col min="6669" max="6669" width="12.88671875" style="1" customWidth="1"/>
    <col min="6670" max="6670" width="14.109375" style="1" customWidth="1"/>
    <col min="6671" max="6671" width="12" style="1" customWidth="1"/>
    <col min="6672" max="6672" width="13" style="1" customWidth="1"/>
    <col min="6673" max="6673" width="11.88671875" style="1" customWidth="1"/>
    <col min="6674" max="6674" width="13.33203125" style="1" customWidth="1"/>
    <col min="6675" max="6675" width="12.33203125" style="1" customWidth="1"/>
    <col min="6676" max="6676" width="12.44140625" style="1" customWidth="1"/>
    <col min="6677" max="6677" width="10.5546875" style="1" customWidth="1"/>
    <col min="6678" max="6910" width="9.109375" style="1"/>
    <col min="6911" max="6911" width="6.33203125" style="1" customWidth="1"/>
    <col min="6912" max="6912" width="41.44140625" style="1" customWidth="1"/>
    <col min="6913" max="6913" width="7.88671875" style="1" customWidth="1"/>
    <col min="6914" max="6914" width="16.33203125" style="1" customWidth="1"/>
    <col min="6915" max="6915" width="12.88671875" style="1" customWidth="1"/>
    <col min="6916" max="6917" width="16.33203125" style="1" customWidth="1"/>
    <col min="6918" max="6918" width="13.33203125" style="1" customWidth="1"/>
    <col min="6919" max="6920" width="16.33203125" style="1" customWidth="1"/>
    <col min="6921" max="6922" width="13.88671875" style="1" customWidth="1"/>
    <col min="6923" max="6923" width="13" style="1" customWidth="1"/>
    <col min="6924" max="6924" width="13.5546875" style="1" customWidth="1"/>
    <col min="6925" max="6925" width="12.88671875" style="1" customWidth="1"/>
    <col min="6926" max="6926" width="14.109375" style="1" customWidth="1"/>
    <col min="6927" max="6927" width="12" style="1" customWidth="1"/>
    <col min="6928" max="6928" width="13" style="1" customWidth="1"/>
    <col min="6929" max="6929" width="11.88671875" style="1" customWidth="1"/>
    <col min="6930" max="6930" width="13.33203125" style="1" customWidth="1"/>
    <col min="6931" max="6931" width="12.33203125" style="1" customWidth="1"/>
    <col min="6932" max="6932" width="12.44140625" style="1" customWidth="1"/>
    <col min="6933" max="6933" width="10.5546875" style="1" customWidth="1"/>
    <col min="6934" max="7166" width="9.109375" style="1"/>
    <col min="7167" max="7167" width="6.33203125" style="1" customWidth="1"/>
    <col min="7168" max="7168" width="41.44140625" style="1" customWidth="1"/>
    <col min="7169" max="7169" width="7.88671875" style="1" customWidth="1"/>
    <col min="7170" max="7170" width="16.33203125" style="1" customWidth="1"/>
    <col min="7171" max="7171" width="12.88671875" style="1" customWidth="1"/>
    <col min="7172" max="7173" width="16.33203125" style="1" customWidth="1"/>
    <col min="7174" max="7174" width="13.33203125" style="1" customWidth="1"/>
    <col min="7175" max="7176" width="16.33203125" style="1" customWidth="1"/>
    <col min="7177" max="7178" width="13.88671875" style="1" customWidth="1"/>
    <col min="7179" max="7179" width="13" style="1" customWidth="1"/>
    <col min="7180" max="7180" width="13.5546875" style="1" customWidth="1"/>
    <col min="7181" max="7181" width="12.88671875" style="1" customWidth="1"/>
    <col min="7182" max="7182" width="14.109375" style="1" customWidth="1"/>
    <col min="7183" max="7183" width="12" style="1" customWidth="1"/>
    <col min="7184" max="7184" width="13" style="1" customWidth="1"/>
    <col min="7185" max="7185" width="11.88671875" style="1" customWidth="1"/>
    <col min="7186" max="7186" width="13.33203125" style="1" customWidth="1"/>
    <col min="7187" max="7187" width="12.33203125" style="1" customWidth="1"/>
    <col min="7188" max="7188" width="12.44140625" style="1" customWidth="1"/>
    <col min="7189" max="7189" width="10.5546875" style="1" customWidth="1"/>
    <col min="7190" max="7422" width="9.109375" style="1"/>
    <col min="7423" max="7423" width="6.33203125" style="1" customWidth="1"/>
    <col min="7424" max="7424" width="41.44140625" style="1" customWidth="1"/>
    <col min="7425" max="7425" width="7.88671875" style="1" customWidth="1"/>
    <col min="7426" max="7426" width="16.33203125" style="1" customWidth="1"/>
    <col min="7427" max="7427" width="12.88671875" style="1" customWidth="1"/>
    <col min="7428" max="7429" width="16.33203125" style="1" customWidth="1"/>
    <col min="7430" max="7430" width="13.33203125" style="1" customWidth="1"/>
    <col min="7431" max="7432" width="16.33203125" style="1" customWidth="1"/>
    <col min="7433" max="7434" width="13.88671875" style="1" customWidth="1"/>
    <col min="7435" max="7435" width="13" style="1" customWidth="1"/>
    <col min="7436" max="7436" width="13.5546875" style="1" customWidth="1"/>
    <col min="7437" max="7437" width="12.88671875" style="1" customWidth="1"/>
    <col min="7438" max="7438" width="14.109375" style="1" customWidth="1"/>
    <col min="7439" max="7439" width="12" style="1" customWidth="1"/>
    <col min="7440" max="7440" width="13" style="1" customWidth="1"/>
    <col min="7441" max="7441" width="11.88671875" style="1" customWidth="1"/>
    <col min="7442" max="7442" width="13.33203125" style="1" customWidth="1"/>
    <col min="7443" max="7443" width="12.33203125" style="1" customWidth="1"/>
    <col min="7444" max="7444" width="12.44140625" style="1" customWidth="1"/>
    <col min="7445" max="7445" width="10.5546875" style="1" customWidth="1"/>
    <col min="7446" max="7678" width="9.109375" style="1"/>
    <col min="7679" max="7679" width="6.33203125" style="1" customWidth="1"/>
    <col min="7680" max="7680" width="41.44140625" style="1" customWidth="1"/>
    <col min="7681" max="7681" width="7.88671875" style="1" customWidth="1"/>
    <col min="7682" max="7682" width="16.33203125" style="1" customWidth="1"/>
    <col min="7683" max="7683" width="12.88671875" style="1" customWidth="1"/>
    <col min="7684" max="7685" width="16.33203125" style="1" customWidth="1"/>
    <col min="7686" max="7686" width="13.33203125" style="1" customWidth="1"/>
    <col min="7687" max="7688" width="16.33203125" style="1" customWidth="1"/>
    <col min="7689" max="7690" width="13.88671875" style="1" customWidth="1"/>
    <col min="7691" max="7691" width="13" style="1" customWidth="1"/>
    <col min="7692" max="7692" width="13.5546875" style="1" customWidth="1"/>
    <col min="7693" max="7693" width="12.88671875" style="1" customWidth="1"/>
    <col min="7694" max="7694" width="14.109375" style="1" customWidth="1"/>
    <col min="7695" max="7695" width="12" style="1" customWidth="1"/>
    <col min="7696" max="7696" width="13" style="1" customWidth="1"/>
    <col min="7697" max="7697" width="11.88671875" style="1" customWidth="1"/>
    <col min="7698" max="7698" width="13.33203125" style="1" customWidth="1"/>
    <col min="7699" max="7699" width="12.33203125" style="1" customWidth="1"/>
    <col min="7700" max="7700" width="12.44140625" style="1" customWidth="1"/>
    <col min="7701" max="7701" width="10.5546875" style="1" customWidth="1"/>
    <col min="7702" max="7934" width="9.109375" style="1"/>
    <col min="7935" max="7935" width="6.33203125" style="1" customWidth="1"/>
    <col min="7936" max="7936" width="41.44140625" style="1" customWidth="1"/>
    <col min="7937" max="7937" width="7.88671875" style="1" customWidth="1"/>
    <col min="7938" max="7938" width="16.33203125" style="1" customWidth="1"/>
    <col min="7939" max="7939" width="12.88671875" style="1" customWidth="1"/>
    <col min="7940" max="7941" width="16.33203125" style="1" customWidth="1"/>
    <col min="7942" max="7942" width="13.33203125" style="1" customWidth="1"/>
    <col min="7943" max="7944" width="16.33203125" style="1" customWidth="1"/>
    <col min="7945" max="7946" width="13.88671875" style="1" customWidth="1"/>
    <col min="7947" max="7947" width="13" style="1" customWidth="1"/>
    <col min="7948" max="7948" width="13.5546875" style="1" customWidth="1"/>
    <col min="7949" max="7949" width="12.88671875" style="1" customWidth="1"/>
    <col min="7950" max="7950" width="14.109375" style="1" customWidth="1"/>
    <col min="7951" max="7951" width="12" style="1" customWidth="1"/>
    <col min="7952" max="7952" width="13" style="1" customWidth="1"/>
    <col min="7953" max="7953" width="11.88671875" style="1" customWidth="1"/>
    <col min="7954" max="7954" width="13.33203125" style="1" customWidth="1"/>
    <col min="7955" max="7955" width="12.33203125" style="1" customWidth="1"/>
    <col min="7956" max="7956" width="12.44140625" style="1" customWidth="1"/>
    <col min="7957" max="7957" width="10.5546875" style="1" customWidth="1"/>
    <col min="7958" max="8190" width="9.109375" style="1"/>
    <col min="8191" max="8191" width="6.33203125" style="1" customWidth="1"/>
    <col min="8192" max="8192" width="41.44140625" style="1" customWidth="1"/>
    <col min="8193" max="8193" width="7.88671875" style="1" customWidth="1"/>
    <col min="8194" max="8194" width="16.33203125" style="1" customWidth="1"/>
    <col min="8195" max="8195" width="12.88671875" style="1" customWidth="1"/>
    <col min="8196" max="8197" width="16.33203125" style="1" customWidth="1"/>
    <col min="8198" max="8198" width="13.33203125" style="1" customWidth="1"/>
    <col min="8199" max="8200" width="16.33203125" style="1" customWidth="1"/>
    <col min="8201" max="8202" width="13.88671875" style="1" customWidth="1"/>
    <col min="8203" max="8203" width="13" style="1" customWidth="1"/>
    <col min="8204" max="8204" width="13.5546875" style="1" customWidth="1"/>
    <col min="8205" max="8205" width="12.88671875" style="1" customWidth="1"/>
    <col min="8206" max="8206" width="14.109375" style="1" customWidth="1"/>
    <col min="8207" max="8207" width="12" style="1" customWidth="1"/>
    <col min="8208" max="8208" width="13" style="1" customWidth="1"/>
    <col min="8209" max="8209" width="11.88671875" style="1" customWidth="1"/>
    <col min="8210" max="8210" width="13.33203125" style="1" customWidth="1"/>
    <col min="8211" max="8211" width="12.33203125" style="1" customWidth="1"/>
    <col min="8212" max="8212" width="12.44140625" style="1" customWidth="1"/>
    <col min="8213" max="8213" width="10.5546875" style="1" customWidth="1"/>
    <col min="8214" max="8446" width="9.109375" style="1"/>
    <col min="8447" max="8447" width="6.33203125" style="1" customWidth="1"/>
    <col min="8448" max="8448" width="41.44140625" style="1" customWidth="1"/>
    <col min="8449" max="8449" width="7.88671875" style="1" customWidth="1"/>
    <col min="8450" max="8450" width="16.33203125" style="1" customWidth="1"/>
    <col min="8451" max="8451" width="12.88671875" style="1" customWidth="1"/>
    <col min="8452" max="8453" width="16.33203125" style="1" customWidth="1"/>
    <col min="8454" max="8454" width="13.33203125" style="1" customWidth="1"/>
    <col min="8455" max="8456" width="16.33203125" style="1" customWidth="1"/>
    <col min="8457" max="8458" width="13.88671875" style="1" customWidth="1"/>
    <col min="8459" max="8459" width="13" style="1" customWidth="1"/>
    <col min="8460" max="8460" width="13.5546875" style="1" customWidth="1"/>
    <col min="8461" max="8461" width="12.88671875" style="1" customWidth="1"/>
    <col min="8462" max="8462" width="14.109375" style="1" customWidth="1"/>
    <col min="8463" max="8463" width="12" style="1" customWidth="1"/>
    <col min="8464" max="8464" width="13" style="1" customWidth="1"/>
    <col min="8465" max="8465" width="11.88671875" style="1" customWidth="1"/>
    <col min="8466" max="8466" width="13.33203125" style="1" customWidth="1"/>
    <col min="8467" max="8467" width="12.33203125" style="1" customWidth="1"/>
    <col min="8468" max="8468" width="12.44140625" style="1" customWidth="1"/>
    <col min="8469" max="8469" width="10.5546875" style="1" customWidth="1"/>
    <col min="8470" max="8702" width="9.109375" style="1"/>
    <col min="8703" max="8703" width="6.33203125" style="1" customWidth="1"/>
    <col min="8704" max="8704" width="41.44140625" style="1" customWidth="1"/>
    <col min="8705" max="8705" width="7.88671875" style="1" customWidth="1"/>
    <col min="8706" max="8706" width="16.33203125" style="1" customWidth="1"/>
    <col min="8707" max="8707" width="12.88671875" style="1" customWidth="1"/>
    <col min="8708" max="8709" width="16.33203125" style="1" customWidth="1"/>
    <col min="8710" max="8710" width="13.33203125" style="1" customWidth="1"/>
    <col min="8711" max="8712" width="16.33203125" style="1" customWidth="1"/>
    <col min="8713" max="8714" width="13.88671875" style="1" customWidth="1"/>
    <col min="8715" max="8715" width="13" style="1" customWidth="1"/>
    <col min="8716" max="8716" width="13.5546875" style="1" customWidth="1"/>
    <col min="8717" max="8717" width="12.88671875" style="1" customWidth="1"/>
    <col min="8718" max="8718" width="14.109375" style="1" customWidth="1"/>
    <col min="8719" max="8719" width="12" style="1" customWidth="1"/>
    <col min="8720" max="8720" width="13" style="1" customWidth="1"/>
    <col min="8721" max="8721" width="11.88671875" style="1" customWidth="1"/>
    <col min="8722" max="8722" width="13.33203125" style="1" customWidth="1"/>
    <col min="8723" max="8723" width="12.33203125" style="1" customWidth="1"/>
    <col min="8724" max="8724" width="12.44140625" style="1" customWidth="1"/>
    <col min="8725" max="8725" width="10.5546875" style="1" customWidth="1"/>
    <col min="8726" max="8958" width="9.109375" style="1"/>
    <col min="8959" max="8959" width="6.33203125" style="1" customWidth="1"/>
    <col min="8960" max="8960" width="41.44140625" style="1" customWidth="1"/>
    <col min="8961" max="8961" width="7.88671875" style="1" customWidth="1"/>
    <col min="8962" max="8962" width="16.33203125" style="1" customWidth="1"/>
    <col min="8963" max="8963" width="12.88671875" style="1" customWidth="1"/>
    <col min="8964" max="8965" width="16.33203125" style="1" customWidth="1"/>
    <col min="8966" max="8966" width="13.33203125" style="1" customWidth="1"/>
    <col min="8967" max="8968" width="16.33203125" style="1" customWidth="1"/>
    <col min="8969" max="8970" width="13.88671875" style="1" customWidth="1"/>
    <col min="8971" max="8971" width="13" style="1" customWidth="1"/>
    <col min="8972" max="8972" width="13.5546875" style="1" customWidth="1"/>
    <col min="8973" max="8973" width="12.88671875" style="1" customWidth="1"/>
    <col min="8974" max="8974" width="14.109375" style="1" customWidth="1"/>
    <col min="8975" max="8975" width="12" style="1" customWidth="1"/>
    <col min="8976" max="8976" width="13" style="1" customWidth="1"/>
    <col min="8977" max="8977" width="11.88671875" style="1" customWidth="1"/>
    <col min="8978" max="8978" width="13.33203125" style="1" customWidth="1"/>
    <col min="8979" max="8979" width="12.33203125" style="1" customWidth="1"/>
    <col min="8980" max="8980" width="12.44140625" style="1" customWidth="1"/>
    <col min="8981" max="8981" width="10.5546875" style="1" customWidth="1"/>
    <col min="8982" max="9214" width="9.109375" style="1"/>
    <col min="9215" max="9215" width="6.33203125" style="1" customWidth="1"/>
    <col min="9216" max="9216" width="41.44140625" style="1" customWidth="1"/>
    <col min="9217" max="9217" width="7.88671875" style="1" customWidth="1"/>
    <col min="9218" max="9218" width="16.33203125" style="1" customWidth="1"/>
    <col min="9219" max="9219" width="12.88671875" style="1" customWidth="1"/>
    <col min="9220" max="9221" width="16.33203125" style="1" customWidth="1"/>
    <col min="9222" max="9222" width="13.33203125" style="1" customWidth="1"/>
    <col min="9223" max="9224" width="16.33203125" style="1" customWidth="1"/>
    <col min="9225" max="9226" width="13.88671875" style="1" customWidth="1"/>
    <col min="9227" max="9227" width="13" style="1" customWidth="1"/>
    <col min="9228" max="9228" width="13.5546875" style="1" customWidth="1"/>
    <col min="9229" max="9229" width="12.88671875" style="1" customWidth="1"/>
    <col min="9230" max="9230" width="14.109375" style="1" customWidth="1"/>
    <col min="9231" max="9231" width="12" style="1" customWidth="1"/>
    <col min="9232" max="9232" width="13" style="1" customWidth="1"/>
    <col min="9233" max="9233" width="11.88671875" style="1" customWidth="1"/>
    <col min="9234" max="9234" width="13.33203125" style="1" customWidth="1"/>
    <col min="9235" max="9235" width="12.33203125" style="1" customWidth="1"/>
    <col min="9236" max="9236" width="12.44140625" style="1" customWidth="1"/>
    <col min="9237" max="9237" width="10.5546875" style="1" customWidth="1"/>
    <col min="9238" max="9470" width="9.109375" style="1"/>
    <col min="9471" max="9471" width="6.33203125" style="1" customWidth="1"/>
    <col min="9472" max="9472" width="41.44140625" style="1" customWidth="1"/>
    <col min="9473" max="9473" width="7.88671875" style="1" customWidth="1"/>
    <col min="9474" max="9474" width="16.33203125" style="1" customWidth="1"/>
    <col min="9475" max="9475" width="12.88671875" style="1" customWidth="1"/>
    <col min="9476" max="9477" width="16.33203125" style="1" customWidth="1"/>
    <col min="9478" max="9478" width="13.33203125" style="1" customWidth="1"/>
    <col min="9479" max="9480" width="16.33203125" style="1" customWidth="1"/>
    <col min="9481" max="9482" width="13.88671875" style="1" customWidth="1"/>
    <col min="9483" max="9483" width="13" style="1" customWidth="1"/>
    <col min="9484" max="9484" width="13.5546875" style="1" customWidth="1"/>
    <col min="9485" max="9485" width="12.88671875" style="1" customWidth="1"/>
    <col min="9486" max="9486" width="14.109375" style="1" customWidth="1"/>
    <col min="9487" max="9487" width="12" style="1" customWidth="1"/>
    <col min="9488" max="9488" width="13" style="1" customWidth="1"/>
    <col min="9489" max="9489" width="11.88671875" style="1" customWidth="1"/>
    <col min="9490" max="9490" width="13.33203125" style="1" customWidth="1"/>
    <col min="9491" max="9491" width="12.33203125" style="1" customWidth="1"/>
    <col min="9492" max="9492" width="12.44140625" style="1" customWidth="1"/>
    <col min="9493" max="9493" width="10.5546875" style="1" customWidth="1"/>
    <col min="9494" max="9726" width="9.109375" style="1"/>
    <col min="9727" max="9727" width="6.33203125" style="1" customWidth="1"/>
    <col min="9728" max="9728" width="41.44140625" style="1" customWidth="1"/>
    <col min="9729" max="9729" width="7.88671875" style="1" customWidth="1"/>
    <col min="9730" max="9730" width="16.33203125" style="1" customWidth="1"/>
    <col min="9731" max="9731" width="12.88671875" style="1" customWidth="1"/>
    <col min="9732" max="9733" width="16.33203125" style="1" customWidth="1"/>
    <col min="9734" max="9734" width="13.33203125" style="1" customWidth="1"/>
    <col min="9735" max="9736" width="16.33203125" style="1" customWidth="1"/>
    <col min="9737" max="9738" width="13.88671875" style="1" customWidth="1"/>
    <col min="9739" max="9739" width="13" style="1" customWidth="1"/>
    <col min="9740" max="9740" width="13.5546875" style="1" customWidth="1"/>
    <col min="9741" max="9741" width="12.88671875" style="1" customWidth="1"/>
    <col min="9742" max="9742" width="14.109375" style="1" customWidth="1"/>
    <col min="9743" max="9743" width="12" style="1" customWidth="1"/>
    <col min="9744" max="9744" width="13" style="1" customWidth="1"/>
    <col min="9745" max="9745" width="11.88671875" style="1" customWidth="1"/>
    <col min="9746" max="9746" width="13.33203125" style="1" customWidth="1"/>
    <col min="9747" max="9747" width="12.33203125" style="1" customWidth="1"/>
    <col min="9748" max="9748" width="12.44140625" style="1" customWidth="1"/>
    <col min="9749" max="9749" width="10.5546875" style="1" customWidth="1"/>
    <col min="9750" max="9982" width="9.109375" style="1"/>
    <col min="9983" max="9983" width="6.33203125" style="1" customWidth="1"/>
    <col min="9984" max="9984" width="41.44140625" style="1" customWidth="1"/>
    <col min="9985" max="9985" width="7.88671875" style="1" customWidth="1"/>
    <col min="9986" max="9986" width="16.33203125" style="1" customWidth="1"/>
    <col min="9987" max="9987" width="12.88671875" style="1" customWidth="1"/>
    <col min="9988" max="9989" width="16.33203125" style="1" customWidth="1"/>
    <col min="9990" max="9990" width="13.33203125" style="1" customWidth="1"/>
    <col min="9991" max="9992" width="16.33203125" style="1" customWidth="1"/>
    <col min="9993" max="9994" width="13.88671875" style="1" customWidth="1"/>
    <col min="9995" max="9995" width="13" style="1" customWidth="1"/>
    <col min="9996" max="9996" width="13.5546875" style="1" customWidth="1"/>
    <col min="9997" max="9997" width="12.88671875" style="1" customWidth="1"/>
    <col min="9998" max="9998" width="14.109375" style="1" customWidth="1"/>
    <col min="9999" max="9999" width="12" style="1" customWidth="1"/>
    <col min="10000" max="10000" width="13" style="1" customWidth="1"/>
    <col min="10001" max="10001" width="11.88671875" style="1" customWidth="1"/>
    <col min="10002" max="10002" width="13.33203125" style="1" customWidth="1"/>
    <col min="10003" max="10003" width="12.33203125" style="1" customWidth="1"/>
    <col min="10004" max="10004" width="12.44140625" style="1" customWidth="1"/>
    <col min="10005" max="10005" width="10.5546875" style="1" customWidth="1"/>
    <col min="10006" max="10238" width="9.109375" style="1"/>
    <col min="10239" max="10239" width="6.33203125" style="1" customWidth="1"/>
    <col min="10240" max="10240" width="41.44140625" style="1" customWidth="1"/>
    <col min="10241" max="10241" width="7.88671875" style="1" customWidth="1"/>
    <col min="10242" max="10242" width="16.33203125" style="1" customWidth="1"/>
    <col min="10243" max="10243" width="12.88671875" style="1" customWidth="1"/>
    <col min="10244" max="10245" width="16.33203125" style="1" customWidth="1"/>
    <col min="10246" max="10246" width="13.33203125" style="1" customWidth="1"/>
    <col min="10247" max="10248" width="16.33203125" style="1" customWidth="1"/>
    <col min="10249" max="10250" width="13.88671875" style="1" customWidth="1"/>
    <col min="10251" max="10251" width="13" style="1" customWidth="1"/>
    <col min="10252" max="10252" width="13.5546875" style="1" customWidth="1"/>
    <col min="10253" max="10253" width="12.88671875" style="1" customWidth="1"/>
    <col min="10254" max="10254" width="14.109375" style="1" customWidth="1"/>
    <col min="10255" max="10255" width="12" style="1" customWidth="1"/>
    <col min="10256" max="10256" width="13" style="1" customWidth="1"/>
    <col min="10257" max="10257" width="11.88671875" style="1" customWidth="1"/>
    <col min="10258" max="10258" width="13.33203125" style="1" customWidth="1"/>
    <col min="10259" max="10259" width="12.33203125" style="1" customWidth="1"/>
    <col min="10260" max="10260" width="12.44140625" style="1" customWidth="1"/>
    <col min="10261" max="10261" width="10.5546875" style="1" customWidth="1"/>
    <col min="10262" max="10494" width="9.109375" style="1"/>
    <col min="10495" max="10495" width="6.33203125" style="1" customWidth="1"/>
    <col min="10496" max="10496" width="41.44140625" style="1" customWidth="1"/>
    <col min="10497" max="10497" width="7.88671875" style="1" customWidth="1"/>
    <col min="10498" max="10498" width="16.33203125" style="1" customWidth="1"/>
    <col min="10499" max="10499" width="12.88671875" style="1" customWidth="1"/>
    <col min="10500" max="10501" width="16.33203125" style="1" customWidth="1"/>
    <col min="10502" max="10502" width="13.33203125" style="1" customWidth="1"/>
    <col min="10503" max="10504" width="16.33203125" style="1" customWidth="1"/>
    <col min="10505" max="10506" width="13.88671875" style="1" customWidth="1"/>
    <col min="10507" max="10507" width="13" style="1" customWidth="1"/>
    <col min="10508" max="10508" width="13.5546875" style="1" customWidth="1"/>
    <col min="10509" max="10509" width="12.88671875" style="1" customWidth="1"/>
    <col min="10510" max="10510" width="14.109375" style="1" customWidth="1"/>
    <col min="10511" max="10511" width="12" style="1" customWidth="1"/>
    <col min="10512" max="10512" width="13" style="1" customWidth="1"/>
    <col min="10513" max="10513" width="11.88671875" style="1" customWidth="1"/>
    <col min="10514" max="10514" width="13.33203125" style="1" customWidth="1"/>
    <col min="10515" max="10515" width="12.33203125" style="1" customWidth="1"/>
    <col min="10516" max="10516" width="12.44140625" style="1" customWidth="1"/>
    <col min="10517" max="10517" width="10.5546875" style="1" customWidth="1"/>
    <col min="10518" max="10750" width="9.109375" style="1"/>
    <col min="10751" max="10751" width="6.33203125" style="1" customWidth="1"/>
    <col min="10752" max="10752" width="41.44140625" style="1" customWidth="1"/>
    <col min="10753" max="10753" width="7.88671875" style="1" customWidth="1"/>
    <col min="10754" max="10754" width="16.33203125" style="1" customWidth="1"/>
    <col min="10755" max="10755" width="12.88671875" style="1" customWidth="1"/>
    <col min="10756" max="10757" width="16.33203125" style="1" customWidth="1"/>
    <col min="10758" max="10758" width="13.33203125" style="1" customWidth="1"/>
    <col min="10759" max="10760" width="16.33203125" style="1" customWidth="1"/>
    <col min="10761" max="10762" width="13.88671875" style="1" customWidth="1"/>
    <col min="10763" max="10763" width="13" style="1" customWidth="1"/>
    <col min="10764" max="10764" width="13.5546875" style="1" customWidth="1"/>
    <col min="10765" max="10765" width="12.88671875" style="1" customWidth="1"/>
    <col min="10766" max="10766" width="14.109375" style="1" customWidth="1"/>
    <col min="10767" max="10767" width="12" style="1" customWidth="1"/>
    <col min="10768" max="10768" width="13" style="1" customWidth="1"/>
    <col min="10769" max="10769" width="11.88671875" style="1" customWidth="1"/>
    <col min="10770" max="10770" width="13.33203125" style="1" customWidth="1"/>
    <col min="10771" max="10771" width="12.33203125" style="1" customWidth="1"/>
    <col min="10772" max="10772" width="12.44140625" style="1" customWidth="1"/>
    <col min="10773" max="10773" width="10.5546875" style="1" customWidth="1"/>
    <col min="10774" max="11006" width="9.109375" style="1"/>
    <col min="11007" max="11007" width="6.33203125" style="1" customWidth="1"/>
    <col min="11008" max="11008" width="41.44140625" style="1" customWidth="1"/>
    <col min="11009" max="11009" width="7.88671875" style="1" customWidth="1"/>
    <col min="11010" max="11010" width="16.33203125" style="1" customWidth="1"/>
    <col min="11011" max="11011" width="12.88671875" style="1" customWidth="1"/>
    <col min="11012" max="11013" width="16.33203125" style="1" customWidth="1"/>
    <col min="11014" max="11014" width="13.33203125" style="1" customWidth="1"/>
    <col min="11015" max="11016" width="16.33203125" style="1" customWidth="1"/>
    <col min="11017" max="11018" width="13.88671875" style="1" customWidth="1"/>
    <col min="11019" max="11019" width="13" style="1" customWidth="1"/>
    <col min="11020" max="11020" width="13.5546875" style="1" customWidth="1"/>
    <col min="11021" max="11021" width="12.88671875" style="1" customWidth="1"/>
    <col min="11022" max="11022" width="14.109375" style="1" customWidth="1"/>
    <col min="11023" max="11023" width="12" style="1" customWidth="1"/>
    <col min="11024" max="11024" width="13" style="1" customWidth="1"/>
    <col min="11025" max="11025" width="11.88671875" style="1" customWidth="1"/>
    <col min="11026" max="11026" width="13.33203125" style="1" customWidth="1"/>
    <col min="11027" max="11027" width="12.33203125" style="1" customWidth="1"/>
    <col min="11028" max="11028" width="12.44140625" style="1" customWidth="1"/>
    <col min="11029" max="11029" width="10.5546875" style="1" customWidth="1"/>
    <col min="11030" max="11262" width="9.109375" style="1"/>
    <col min="11263" max="11263" width="6.33203125" style="1" customWidth="1"/>
    <col min="11264" max="11264" width="41.44140625" style="1" customWidth="1"/>
    <col min="11265" max="11265" width="7.88671875" style="1" customWidth="1"/>
    <col min="11266" max="11266" width="16.33203125" style="1" customWidth="1"/>
    <col min="11267" max="11267" width="12.88671875" style="1" customWidth="1"/>
    <col min="11268" max="11269" width="16.33203125" style="1" customWidth="1"/>
    <col min="11270" max="11270" width="13.33203125" style="1" customWidth="1"/>
    <col min="11271" max="11272" width="16.33203125" style="1" customWidth="1"/>
    <col min="11273" max="11274" width="13.88671875" style="1" customWidth="1"/>
    <col min="11275" max="11275" width="13" style="1" customWidth="1"/>
    <col min="11276" max="11276" width="13.5546875" style="1" customWidth="1"/>
    <col min="11277" max="11277" width="12.88671875" style="1" customWidth="1"/>
    <col min="11278" max="11278" width="14.109375" style="1" customWidth="1"/>
    <col min="11279" max="11279" width="12" style="1" customWidth="1"/>
    <col min="11280" max="11280" width="13" style="1" customWidth="1"/>
    <col min="11281" max="11281" width="11.88671875" style="1" customWidth="1"/>
    <col min="11282" max="11282" width="13.33203125" style="1" customWidth="1"/>
    <col min="11283" max="11283" width="12.33203125" style="1" customWidth="1"/>
    <col min="11284" max="11284" width="12.44140625" style="1" customWidth="1"/>
    <col min="11285" max="11285" width="10.5546875" style="1" customWidth="1"/>
    <col min="11286" max="11518" width="9.109375" style="1"/>
    <col min="11519" max="11519" width="6.33203125" style="1" customWidth="1"/>
    <col min="11520" max="11520" width="41.44140625" style="1" customWidth="1"/>
    <col min="11521" max="11521" width="7.88671875" style="1" customWidth="1"/>
    <col min="11522" max="11522" width="16.33203125" style="1" customWidth="1"/>
    <col min="11523" max="11523" width="12.88671875" style="1" customWidth="1"/>
    <col min="11524" max="11525" width="16.33203125" style="1" customWidth="1"/>
    <col min="11526" max="11526" width="13.33203125" style="1" customWidth="1"/>
    <col min="11527" max="11528" width="16.33203125" style="1" customWidth="1"/>
    <col min="11529" max="11530" width="13.88671875" style="1" customWidth="1"/>
    <col min="11531" max="11531" width="13" style="1" customWidth="1"/>
    <col min="11532" max="11532" width="13.5546875" style="1" customWidth="1"/>
    <col min="11533" max="11533" width="12.88671875" style="1" customWidth="1"/>
    <col min="11534" max="11534" width="14.109375" style="1" customWidth="1"/>
    <col min="11535" max="11535" width="12" style="1" customWidth="1"/>
    <col min="11536" max="11536" width="13" style="1" customWidth="1"/>
    <col min="11537" max="11537" width="11.88671875" style="1" customWidth="1"/>
    <col min="11538" max="11538" width="13.33203125" style="1" customWidth="1"/>
    <col min="11539" max="11539" width="12.33203125" style="1" customWidth="1"/>
    <col min="11540" max="11540" width="12.44140625" style="1" customWidth="1"/>
    <col min="11541" max="11541" width="10.5546875" style="1" customWidth="1"/>
    <col min="11542" max="11774" width="9.109375" style="1"/>
    <col min="11775" max="11775" width="6.33203125" style="1" customWidth="1"/>
    <col min="11776" max="11776" width="41.44140625" style="1" customWidth="1"/>
    <col min="11777" max="11777" width="7.88671875" style="1" customWidth="1"/>
    <col min="11778" max="11778" width="16.33203125" style="1" customWidth="1"/>
    <col min="11779" max="11779" width="12.88671875" style="1" customWidth="1"/>
    <col min="11780" max="11781" width="16.33203125" style="1" customWidth="1"/>
    <col min="11782" max="11782" width="13.33203125" style="1" customWidth="1"/>
    <col min="11783" max="11784" width="16.33203125" style="1" customWidth="1"/>
    <col min="11785" max="11786" width="13.88671875" style="1" customWidth="1"/>
    <col min="11787" max="11787" width="13" style="1" customWidth="1"/>
    <col min="11788" max="11788" width="13.5546875" style="1" customWidth="1"/>
    <col min="11789" max="11789" width="12.88671875" style="1" customWidth="1"/>
    <col min="11790" max="11790" width="14.109375" style="1" customWidth="1"/>
    <col min="11791" max="11791" width="12" style="1" customWidth="1"/>
    <col min="11792" max="11792" width="13" style="1" customWidth="1"/>
    <col min="11793" max="11793" width="11.88671875" style="1" customWidth="1"/>
    <col min="11794" max="11794" width="13.33203125" style="1" customWidth="1"/>
    <col min="11795" max="11795" width="12.33203125" style="1" customWidth="1"/>
    <col min="11796" max="11796" width="12.44140625" style="1" customWidth="1"/>
    <col min="11797" max="11797" width="10.5546875" style="1" customWidth="1"/>
    <col min="11798" max="12030" width="9.109375" style="1"/>
    <col min="12031" max="12031" width="6.33203125" style="1" customWidth="1"/>
    <col min="12032" max="12032" width="41.44140625" style="1" customWidth="1"/>
    <col min="12033" max="12033" width="7.88671875" style="1" customWidth="1"/>
    <col min="12034" max="12034" width="16.33203125" style="1" customWidth="1"/>
    <col min="12035" max="12035" width="12.88671875" style="1" customWidth="1"/>
    <col min="12036" max="12037" width="16.33203125" style="1" customWidth="1"/>
    <col min="12038" max="12038" width="13.33203125" style="1" customWidth="1"/>
    <col min="12039" max="12040" width="16.33203125" style="1" customWidth="1"/>
    <col min="12041" max="12042" width="13.88671875" style="1" customWidth="1"/>
    <col min="12043" max="12043" width="13" style="1" customWidth="1"/>
    <col min="12044" max="12044" width="13.5546875" style="1" customWidth="1"/>
    <col min="12045" max="12045" width="12.88671875" style="1" customWidth="1"/>
    <col min="12046" max="12046" width="14.109375" style="1" customWidth="1"/>
    <col min="12047" max="12047" width="12" style="1" customWidth="1"/>
    <col min="12048" max="12048" width="13" style="1" customWidth="1"/>
    <col min="12049" max="12049" width="11.88671875" style="1" customWidth="1"/>
    <col min="12050" max="12050" width="13.33203125" style="1" customWidth="1"/>
    <col min="12051" max="12051" width="12.33203125" style="1" customWidth="1"/>
    <col min="12052" max="12052" width="12.44140625" style="1" customWidth="1"/>
    <col min="12053" max="12053" width="10.5546875" style="1" customWidth="1"/>
    <col min="12054" max="12286" width="9.109375" style="1"/>
    <col min="12287" max="12287" width="6.33203125" style="1" customWidth="1"/>
    <col min="12288" max="12288" width="41.44140625" style="1" customWidth="1"/>
    <col min="12289" max="12289" width="7.88671875" style="1" customWidth="1"/>
    <col min="12290" max="12290" width="16.33203125" style="1" customWidth="1"/>
    <col min="12291" max="12291" width="12.88671875" style="1" customWidth="1"/>
    <col min="12292" max="12293" width="16.33203125" style="1" customWidth="1"/>
    <col min="12294" max="12294" width="13.33203125" style="1" customWidth="1"/>
    <col min="12295" max="12296" width="16.33203125" style="1" customWidth="1"/>
    <col min="12297" max="12298" width="13.88671875" style="1" customWidth="1"/>
    <col min="12299" max="12299" width="13" style="1" customWidth="1"/>
    <col min="12300" max="12300" width="13.5546875" style="1" customWidth="1"/>
    <col min="12301" max="12301" width="12.88671875" style="1" customWidth="1"/>
    <col min="12302" max="12302" width="14.109375" style="1" customWidth="1"/>
    <col min="12303" max="12303" width="12" style="1" customWidth="1"/>
    <col min="12304" max="12304" width="13" style="1" customWidth="1"/>
    <col min="12305" max="12305" width="11.88671875" style="1" customWidth="1"/>
    <col min="12306" max="12306" width="13.33203125" style="1" customWidth="1"/>
    <col min="12307" max="12307" width="12.33203125" style="1" customWidth="1"/>
    <col min="12308" max="12308" width="12.44140625" style="1" customWidth="1"/>
    <col min="12309" max="12309" width="10.5546875" style="1" customWidth="1"/>
    <col min="12310" max="12542" width="9.109375" style="1"/>
    <col min="12543" max="12543" width="6.33203125" style="1" customWidth="1"/>
    <col min="12544" max="12544" width="41.44140625" style="1" customWidth="1"/>
    <col min="12545" max="12545" width="7.88671875" style="1" customWidth="1"/>
    <col min="12546" max="12546" width="16.33203125" style="1" customWidth="1"/>
    <col min="12547" max="12547" width="12.88671875" style="1" customWidth="1"/>
    <col min="12548" max="12549" width="16.33203125" style="1" customWidth="1"/>
    <col min="12550" max="12550" width="13.33203125" style="1" customWidth="1"/>
    <col min="12551" max="12552" width="16.33203125" style="1" customWidth="1"/>
    <col min="12553" max="12554" width="13.88671875" style="1" customWidth="1"/>
    <col min="12555" max="12555" width="13" style="1" customWidth="1"/>
    <col min="12556" max="12556" width="13.5546875" style="1" customWidth="1"/>
    <col min="12557" max="12557" width="12.88671875" style="1" customWidth="1"/>
    <col min="12558" max="12558" width="14.109375" style="1" customWidth="1"/>
    <col min="12559" max="12559" width="12" style="1" customWidth="1"/>
    <col min="12560" max="12560" width="13" style="1" customWidth="1"/>
    <col min="12561" max="12561" width="11.88671875" style="1" customWidth="1"/>
    <col min="12562" max="12562" width="13.33203125" style="1" customWidth="1"/>
    <col min="12563" max="12563" width="12.33203125" style="1" customWidth="1"/>
    <col min="12564" max="12564" width="12.44140625" style="1" customWidth="1"/>
    <col min="12565" max="12565" width="10.5546875" style="1" customWidth="1"/>
    <col min="12566" max="12798" width="9.109375" style="1"/>
    <col min="12799" max="12799" width="6.33203125" style="1" customWidth="1"/>
    <col min="12800" max="12800" width="41.44140625" style="1" customWidth="1"/>
    <col min="12801" max="12801" width="7.88671875" style="1" customWidth="1"/>
    <col min="12802" max="12802" width="16.33203125" style="1" customWidth="1"/>
    <col min="12803" max="12803" width="12.88671875" style="1" customWidth="1"/>
    <col min="12804" max="12805" width="16.33203125" style="1" customWidth="1"/>
    <col min="12806" max="12806" width="13.33203125" style="1" customWidth="1"/>
    <col min="12807" max="12808" width="16.33203125" style="1" customWidth="1"/>
    <col min="12809" max="12810" width="13.88671875" style="1" customWidth="1"/>
    <col min="12811" max="12811" width="13" style="1" customWidth="1"/>
    <col min="12812" max="12812" width="13.5546875" style="1" customWidth="1"/>
    <col min="12813" max="12813" width="12.88671875" style="1" customWidth="1"/>
    <col min="12814" max="12814" width="14.109375" style="1" customWidth="1"/>
    <col min="12815" max="12815" width="12" style="1" customWidth="1"/>
    <col min="12816" max="12816" width="13" style="1" customWidth="1"/>
    <col min="12817" max="12817" width="11.88671875" style="1" customWidth="1"/>
    <col min="12818" max="12818" width="13.33203125" style="1" customWidth="1"/>
    <col min="12819" max="12819" width="12.33203125" style="1" customWidth="1"/>
    <col min="12820" max="12820" width="12.44140625" style="1" customWidth="1"/>
    <col min="12821" max="12821" width="10.5546875" style="1" customWidth="1"/>
    <col min="12822" max="13054" width="9.109375" style="1"/>
    <col min="13055" max="13055" width="6.33203125" style="1" customWidth="1"/>
    <col min="13056" max="13056" width="41.44140625" style="1" customWidth="1"/>
    <col min="13057" max="13057" width="7.88671875" style="1" customWidth="1"/>
    <col min="13058" max="13058" width="16.33203125" style="1" customWidth="1"/>
    <col min="13059" max="13059" width="12.88671875" style="1" customWidth="1"/>
    <col min="13060" max="13061" width="16.33203125" style="1" customWidth="1"/>
    <col min="13062" max="13062" width="13.33203125" style="1" customWidth="1"/>
    <col min="13063" max="13064" width="16.33203125" style="1" customWidth="1"/>
    <col min="13065" max="13066" width="13.88671875" style="1" customWidth="1"/>
    <col min="13067" max="13067" width="13" style="1" customWidth="1"/>
    <col min="13068" max="13068" width="13.5546875" style="1" customWidth="1"/>
    <col min="13069" max="13069" width="12.88671875" style="1" customWidth="1"/>
    <col min="13070" max="13070" width="14.109375" style="1" customWidth="1"/>
    <col min="13071" max="13071" width="12" style="1" customWidth="1"/>
    <col min="13072" max="13072" width="13" style="1" customWidth="1"/>
    <col min="13073" max="13073" width="11.88671875" style="1" customWidth="1"/>
    <col min="13074" max="13074" width="13.33203125" style="1" customWidth="1"/>
    <col min="13075" max="13075" width="12.33203125" style="1" customWidth="1"/>
    <col min="13076" max="13076" width="12.44140625" style="1" customWidth="1"/>
    <col min="13077" max="13077" width="10.5546875" style="1" customWidth="1"/>
    <col min="13078" max="13310" width="9.109375" style="1"/>
    <col min="13311" max="13311" width="6.33203125" style="1" customWidth="1"/>
    <col min="13312" max="13312" width="41.44140625" style="1" customWidth="1"/>
    <col min="13313" max="13313" width="7.88671875" style="1" customWidth="1"/>
    <col min="13314" max="13314" width="16.33203125" style="1" customWidth="1"/>
    <col min="13315" max="13315" width="12.88671875" style="1" customWidth="1"/>
    <col min="13316" max="13317" width="16.33203125" style="1" customWidth="1"/>
    <col min="13318" max="13318" width="13.33203125" style="1" customWidth="1"/>
    <col min="13319" max="13320" width="16.33203125" style="1" customWidth="1"/>
    <col min="13321" max="13322" width="13.88671875" style="1" customWidth="1"/>
    <col min="13323" max="13323" width="13" style="1" customWidth="1"/>
    <col min="13324" max="13324" width="13.5546875" style="1" customWidth="1"/>
    <col min="13325" max="13325" width="12.88671875" style="1" customWidth="1"/>
    <col min="13326" max="13326" width="14.109375" style="1" customWidth="1"/>
    <col min="13327" max="13327" width="12" style="1" customWidth="1"/>
    <col min="13328" max="13328" width="13" style="1" customWidth="1"/>
    <col min="13329" max="13329" width="11.88671875" style="1" customWidth="1"/>
    <col min="13330" max="13330" width="13.33203125" style="1" customWidth="1"/>
    <col min="13331" max="13331" width="12.33203125" style="1" customWidth="1"/>
    <col min="13332" max="13332" width="12.44140625" style="1" customWidth="1"/>
    <col min="13333" max="13333" width="10.5546875" style="1" customWidth="1"/>
    <col min="13334" max="13566" width="9.109375" style="1"/>
    <col min="13567" max="13567" width="6.33203125" style="1" customWidth="1"/>
    <col min="13568" max="13568" width="41.44140625" style="1" customWidth="1"/>
    <col min="13569" max="13569" width="7.88671875" style="1" customWidth="1"/>
    <col min="13570" max="13570" width="16.33203125" style="1" customWidth="1"/>
    <col min="13571" max="13571" width="12.88671875" style="1" customWidth="1"/>
    <col min="13572" max="13573" width="16.33203125" style="1" customWidth="1"/>
    <col min="13574" max="13574" width="13.33203125" style="1" customWidth="1"/>
    <col min="13575" max="13576" width="16.33203125" style="1" customWidth="1"/>
    <col min="13577" max="13578" width="13.88671875" style="1" customWidth="1"/>
    <col min="13579" max="13579" width="13" style="1" customWidth="1"/>
    <col min="13580" max="13580" width="13.5546875" style="1" customWidth="1"/>
    <col min="13581" max="13581" width="12.88671875" style="1" customWidth="1"/>
    <col min="13582" max="13582" width="14.109375" style="1" customWidth="1"/>
    <col min="13583" max="13583" width="12" style="1" customWidth="1"/>
    <col min="13584" max="13584" width="13" style="1" customWidth="1"/>
    <col min="13585" max="13585" width="11.88671875" style="1" customWidth="1"/>
    <col min="13586" max="13586" width="13.33203125" style="1" customWidth="1"/>
    <col min="13587" max="13587" width="12.33203125" style="1" customWidth="1"/>
    <col min="13588" max="13588" width="12.44140625" style="1" customWidth="1"/>
    <col min="13589" max="13589" width="10.5546875" style="1" customWidth="1"/>
    <col min="13590" max="13822" width="9.109375" style="1"/>
    <col min="13823" max="13823" width="6.33203125" style="1" customWidth="1"/>
    <col min="13824" max="13824" width="41.44140625" style="1" customWidth="1"/>
    <col min="13825" max="13825" width="7.88671875" style="1" customWidth="1"/>
    <col min="13826" max="13826" width="16.33203125" style="1" customWidth="1"/>
    <col min="13827" max="13827" width="12.88671875" style="1" customWidth="1"/>
    <col min="13828" max="13829" width="16.33203125" style="1" customWidth="1"/>
    <col min="13830" max="13830" width="13.33203125" style="1" customWidth="1"/>
    <col min="13831" max="13832" width="16.33203125" style="1" customWidth="1"/>
    <col min="13833" max="13834" width="13.88671875" style="1" customWidth="1"/>
    <col min="13835" max="13835" width="13" style="1" customWidth="1"/>
    <col min="13836" max="13836" width="13.5546875" style="1" customWidth="1"/>
    <col min="13837" max="13837" width="12.88671875" style="1" customWidth="1"/>
    <col min="13838" max="13838" width="14.109375" style="1" customWidth="1"/>
    <col min="13839" max="13839" width="12" style="1" customWidth="1"/>
    <col min="13840" max="13840" width="13" style="1" customWidth="1"/>
    <col min="13841" max="13841" width="11.88671875" style="1" customWidth="1"/>
    <col min="13842" max="13842" width="13.33203125" style="1" customWidth="1"/>
    <col min="13843" max="13843" width="12.33203125" style="1" customWidth="1"/>
    <col min="13844" max="13844" width="12.44140625" style="1" customWidth="1"/>
    <col min="13845" max="13845" width="10.5546875" style="1" customWidth="1"/>
    <col min="13846" max="14078" width="9.109375" style="1"/>
    <col min="14079" max="14079" width="6.33203125" style="1" customWidth="1"/>
    <col min="14080" max="14080" width="41.44140625" style="1" customWidth="1"/>
    <col min="14081" max="14081" width="7.88671875" style="1" customWidth="1"/>
    <col min="14082" max="14082" width="16.33203125" style="1" customWidth="1"/>
    <col min="14083" max="14083" width="12.88671875" style="1" customWidth="1"/>
    <col min="14084" max="14085" width="16.33203125" style="1" customWidth="1"/>
    <col min="14086" max="14086" width="13.33203125" style="1" customWidth="1"/>
    <col min="14087" max="14088" width="16.33203125" style="1" customWidth="1"/>
    <col min="14089" max="14090" width="13.88671875" style="1" customWidth="1"/>
    <col min="14091" max="14091" width="13" style="1" customWidth="1"/>
    <col min="14092" max="14092" width="13.5546875" style="1" customWidth="1"/>
    <col min="14093" max="14093" width="12.88671875" style="1" customWidth="1"/>
    <col min="14094" max="14094" width="14.109375" style="1" customWidth="1"/>
    <col min="14095" max="14095" width="12" style="1" customWidth="1"/>
    <col min="14096" max="14096" width="13" style="1" customWidth="1"/>
    <col min="14097" max="14097" width="11.88671875" style="1" customWidth="1"/>
    <col min="14098" max="14098" width="13.33203125" style="1" customWidth="1"/>
    <col min="14099" max="14099" width="12.33203125" style="1" customWidth="1"/>
    <col min="14100" max="14100" width="12.44140625" style="1" customWidth="1"/>
    <col min="14101" max="14101" width="10.5546875" style="1" customWidth="1"/>
    <col min="14102" max="14334" width="9.109375" style="1"/>
    <col min="14335" max="14335" width="6.33203125" style="1" customWidth="1"/>
    <col min="14336" max="14336" width="41.44140625" style="1" customWidth="1"/>
    <col min="14337" max="14337" width="7.88671875" style="1" customWidth="1"/>
    <col min="14338" max="14338" width="16.33203125" style="1" customWidth="1"/>
    <col min="14339" max="14339" width="12.88671875" style="1" customWidth="1"/>
    <col min="14340" max="14341" width="16.33203125" style="1" customWidth="1"/>
    <col min="14342" max="14342" width="13.33203125" style="1" customWidth="1"/>
    <col min="14343" max="14344" width="16.33203125" style="1" customWidth="1"/>
    <col min="14345" max="14346" width="13.88671875" style="1" customWidth="1"/>
    <col min="14347" max="14347" width="13" style="1" customWidth="1"/>
    <col min="14348" max="14348" width="13.5546875" style="1" customWidth="1"/>
    <col min="14349" max="14349" width="12.88671875" style="1" customWidth="1"/>
    <col min="14350" max="14350" width="14.109375" style="1" customWidth="1"/>
    <col min="14351" max="14351" width="12" style="1" customWidth="1"/>
    <col min="14352" max="14352" width="13" style="1" customWidth="1"/>
    <col min="14353" max="14353" width="11.88671875" style="1" customWidth="1"/>
    <col min="14354" max="14354" width="13.33203125" style="1" customWidth="1"/>
    <col min="14355" max="14355" width="12.33203125" style="1" customWidth="1"/>
    <col min="14356" max="14356" width="12.44140625" style="1" customWidth="1"/>
    <col min="14357" max="14357" width="10.5546875" style="1" customWidth="1"/>
    <col min="14358" max="14590" width="9.109375" style="1"/>
    <col min="14591" max="14591" width="6.33203125" style="1" customWidth="1"/>
    <col min="14592" max="14592" width="41.44140625" style="1" customWidth="1"/>
    <col min="14593" max="14593" width="7.88671875" style="1" customWidth="1"/>
    <col min="14594" max="14594" width="16.33203125" style="1" customWidth="1"/>
    <col min="14595" max="14595" width="12.88671875" style="1" customWidth="1"/>
    <col min="14596" max="14597" width="16.33203125" style="1" customWidth="1"/>
    <col min="14598" max="14598" width="13.33203125" style="1" customWidth="1"/>
    <col min="14599" max="14600" width="16.33203125" style="1" customWidth="1"/>
    <col min="14601" max="14602" width="13.88671875" style="1" customWidth="1"/>
    <col min="14603" max="14603" width="13" style="1" customWidth="1"/>
    <col min="14604" max="14604" width="13.5546875" style="1" customWidth="1"/>
    <col min="14605" max="14605" width="12.88671875" style="1" customWidth="1"/>
    <col min="14606" max="14606" width="14.109375" style="1" customWidth="1"/>
    <col min="14607" max="14607" width="12" style="1" customWidth="1"/>
    <col min="14608" max="14608" width="13" style="1" customWidth="1"/>
    <col min="14609" max="14609" width="11.88671875" style="1" customWidth="1"/>
    <col min="14610" max="14610" width="13.33203125" style="1" customWidth="1"/>
    <col min="14611" max="14611" width="12.33203125" style="1" customWidth="1"/>
    <col min="14612" max="14612" width="12.44140625" style="1" customWidth="1"/>
    <col min="14613" max="14613" width="10.5546875" style="1" customWidth="1"/>
    <col min="14614" max="14846" width="9.109375" style="1"/>
    <col min="14847" max="14847" width="6.33203125" style="1" customWidth="1"/>
    <col min="14848" max="14848" width="41.44140625" style="1" customWidth="1"/>
    <col min="14849" max="14849" width="7.88671875" style="1" customWidth="1"/>
    <col min="14850" max="14850" width="16.33203125" style="1" customWidth="1"/>
    <col min="14851" max="14851" width="12.88671875" style="1" customWidth="1"/>
    <col min="14852" max="14853" width="16.33203125" style="1" customWidth="1"/>
    <col min="14854" max="14854" width="13.33203125" style="1" customWidth="1"/>
    <col min="14855" max="14856" width="16.33203125" style="1" customWidth="1"/>
    <col min="14857" max="14858" width="13.88671875" style="1" customWidth="1"/>
    <col min="14859" max="14859" width="13" style="1" customWidth="1"/>
    <col min="14860" max="14860" width="13.5546875" style="1" customWidth="1"/>
    <col min="14861" max="14861" width="12.88671875" style="1" customWidth="1"/>
    <col min="14862" max="14862" width="14.109375" style="1" customWidth="1"/>
    <col min="14863" max="14863" width="12" style="1" customWidth="1"/>
    <col min="14864" max="14864" width="13" style="1" customWidth="1"/>
    <col min="14865" max="14865" width="11.88671875" style="1" customWidth="1"/>
    <col min="14866" max="14866" width="13.33203125" style="1" customWidth="1"/>
    <col min="14867" max="14867" width="12.33203125" style="1" customWidth="1"/>
    <col min="14868" max="14868" width="12.44140625" style="1" customWidth="1"/>
    <col min="14869" max="14869" width="10.5546875" style="1" customWidth="1"/>
    <col min="14870" max="15102" width="9.109375" style="1"/>
    <col min="15103" max="15103" width="6.33203125" style="1" customWidth="1"/>
    <col min="15104" max="15104" width="41.44140625" style="1" customWidth="1"/>
    <col min="15105" max="15105" width="7.88671875" style="1" customWidth="1"/>
    <col min="15106" max="15106" width="16.33203125" style="1" customWidth="1"/>
    <col min="15107" max="15107" width="12.88671875" style="1" customWidth="1"/>
    <col min="15108" max="15109" width="16.33203125" style="1" customWidth="1"/>
    <col min="15110" max="15110" width="13.33203125" style="1" customWidth="1"/>
    <col min="15111" max="15112" width="16.33203125" style="1" customWidth="1"/>
    <col min="15113" max="15114" width="13.88671875" style="1" customWidth="1"/>
    <col min="15115" max="15115" width="13" style="1" customWidth="1"/>
    <col min="15116" max="15116" width="13.5546875" style="1" customWidth="1"/>
    <col min="15117" max="15117" width="12.88671875" style="1" customWidth="1"/>
    <col min="15118" max="15118" width="14.109375" style="1" customWidth="1"/>
    <col min="15119" max="15119" width="12" style="1" customWidth="1"/>
    <col min="15120" max="15120" width="13" style="1" customWidth="1"/>
    <col min="15121" max="15121" width="11.88671875" style="1" customWidth="1"/>
    <col min="15122" max="15122" width="13.33203125" style="1" customWidth="1"/>
    <col min="15123" max="15123" width="12.33203125" style="1" customWidth="1"/>
    <col min="15124" max="15124" width="12.44140625" style="1" customWidth="1"/>
    <col min="15125" max="15125" width="10.5546875" style="1" customWidth="1"/>
    <col min="15126" max="15358" width="9.109375" style="1"/>
    <col min="15359" max="15359" width="6.33203125" style="1" customWidth="1"/>
    <col min="15360" max="15360" width="41.44140625" style="1" customWidth="1"/>
    <col min="15361" max="15361" width="7.88671875" style="1" customWidth="1"/>
    <col min="15362" max="15362" width="16.33203125" style="1" customWidth="1"/>
    <col min="15363" max="15363" width="12.88671875" style="1" customWidth="1"/>
    <col min="15364" max="15365" width="16.33203125" style="1" customWidth="1"/>
    <col min="15366" max="15366" width="13.33203125" style="1" customWidth="1"/>
    <col min="15367" max="15368" width="16.33203125" style="1" customWidth="1"/>
    <col min="15369" max="15370" width="13.88671875" style="1" customWidth="1"/>
    <col min="15371" max="15371" width="13" style="1" customWidth="1"/>
    <col min="15372" max="15372" width="13.5546875" style="1" customWidth="1"/>
    <col min="15373" max="15373" width="12.88671875" style="1" customWidth="1"/>
    <col min="15374" max="15374" width="14.109375" style="1" customWidth="1"/>
    <col min="15375" max="15375" width="12" style="1" customWidth="1"/>
    <col min="15376" max="15376" width="13" style="1" customWidth="1"/>
    <col min="15377" max="15377" width="11.88671875" style="1" customWidth="1"/>
    <col min="15378" max="15378" width="13.33203125" style="1" customWidth="1"/>
    <col min="15379" max="15379" width="12.33203125" style="1" customWidth="1"/>
    <col min="15380" max="15380" width="12.44140625" style="1" customWidth="1"/>
    <col min="15381" max="15381" width="10.5546875" style="1" customWidth="1"/>
    <col min="15382" max="15614" width="9.109375" style="1"/>
    <col min="15615" max="15615" width="6.33203125" style="1" customWidth="1"/>
    <col min="15616" max="15616" width="41.44140625" style="1" customWidth="1"/>
    <col min="15617" max="15617" width="7.88671875" style="1" customWidth="1"/>
    <col min="15618" max="15618" width="16.33203125" style="1" customWidth="1"/>
    <col min="15619" max="15619" width="12.88671875" style="1" customWidth="1"/>
    <col min="15620" max="15621" width="16.33203125" style="1" customWidth="1"/>
    <col min="15622" max="15622" width="13.33203125" style="1" customWidth="1"/>
    <col min="15623" max="15624" width="16.33203125" style="1" customWidth="1"/>
    <col min="15625" max="15626" width="13.88671875" style="1" customWidth="1"/>
    <col min="15627" max="15627" width="13" style="1" customWidth="1"/>
    <col min="15628" max="15628" width="13.5546875" style="1" customWidth="1"/>
    <col min="15629" max="15629" width="12.88671875" style="1" customWidth="1"/>
    <col min="15630" max="15630" width="14.109375" style="1" customWidth="1"/>
    <col min="15631" max="15631" width="12" style="1" customWidth="1"/>
    <col min="15632" max="15632" width="13" style="1" customWidth="1"/>
    <col min="15633" max="15633" width="11.88671875" style="1" customWidth="1"/>
    <col min="15634" max="15634" width="13.33203125" style="1" customWidth="1"/>
    <col min="15635" max="15635" width="12.33203125" style="1" customWidth="1"/>
    <col min="15636" max="15636" width="12.44140625" style="1" customWidth="1"/>
    <col min="15637" max="15637" width="10.5546875" style="1" customWidth="1"/>
    <col min="15638" max="15870" width="9.109375" style="1"/>
    <col min="15871" max="15871" width="6.33203125" style="1" customWidth="1"/>
    <col min="15872" max="15872" width="41.44140625" style="1" customWidth="1"/>
    <col min="15873" max="15873" width="7.88671875" style="1" customWidth="1"/>
    <col min="15874" max="15874" width="16.33203125" style="1" customWidth="1"/>
    <col min="15875" max="15875" width="12.88671875" style="1" customWidth="1"/>
    <col min="15876" max="15877" width="16.33203125" style="1" customWidth="1"/>
    <col min="15878" max="15878" width="13.33203125" style="1" customWidth="1"/>
    <col min="15879" max="15880" width="16.33203125" style="1" customWidth="1"/>
    <col min="15881" max="15882" width="13.88671875" style="1" customWidth="1"/>
    <col min="15883" max="15883" width="13" style="1" customWidth="1"/>
    <col min="15884" max="15884" width="13.5546875" style="1" customWidth="1"/>
    <col min="15885" max="15885" width="12.88671875" style="1" customWidth="1"/>
    <col min="15886" max="15886" width="14.109375" style="1" customWidth="1"/>
    <col min="15887" max="15887" width="12" style="1" customWidth="1"/>
    <col min="15888" max="15888" width="13" style="1" customWidth="1"/>
    <col min="15889" max="15889" width="11.88671875" style="1" customWidth="1"/>
    <col min="15890" max="15890" width="13.33203125" style="1" customWidth="1"/>
    <col min="15891" max="15891" width="12.33203125" style="1" customWidth="1"/>
    <col min="15892" max="15892" width="12.44140625" style="1" customWidth="1"/>
    <col min="15893" max="15893" width="10.5546875" style="1" customWidth="1"/>
    <col min="15894" max="16126" width="9.109375" style="1"/>
    <col min="16127" max="16127" width="6.33203125" style="1" customWidth="1"/>
    <col min="16128" max="16128" width="41.44140625" style="1" customWidth="1"/>
    <col min="16129" max="16129" width="7.88671875" style="1" customWidth="1"/>
    <col min="16130" max="16130" width="16.33203125" style="1" customWidth="1"/>
    <col min="16131" max="16131" width="12.88671875" style="1" customWidth="1"/>
    <col min="16132" max="16133" width="16.33203125" style="1" customWidth="1"/>
    <col min="16134" max="16134" width="13.33203125" style="1" customWidth="1"/>
    <col min="16135" max="16136" width="16.33203125" style="1" customWidth="1"/>
    <col min="16137" max="16138" width="13.88671875" style="1" customWidth="1"/>
    <col min="16139" max="16139" width="13" style="1" customWidth="1"/>
    <col min="16140" max="16140" width="13.5546875" style="1" customWidth="1"/>
    <col min="16141" max="16141" width="12.88671875" style="1" customWidth="1"/>
    <col min="16142" max="16142" width="14.109375" style="1" customWidth="1"/>
    <col min="16143" max="16143" width="12" style="1" customWidth="1"/>
    <col min="16144" max="16144" width="13" style="1" customWidth="1"/>
    <col min="16145" max="16145" width="11.88671875" style="1" customWidth="1"/>
    <col min="16146" max="16146" width="13.33203125" style="1" customWidth="1"/>
    <col min="16147" max="16147" width="12.33203125" style="1" customWidth="1"/>
    <col min="16148" max="16148" width="12.44140625" style="1" customWidth="1"/>
    <col min="16149" max="16149" width="10.5546875" style="1" customWidth="1"/>
    <col min="16150" max="16384" width="9.109375" style="1"/>
  </cols>
  <sheetData>
    <row r="1" spans="1:21" ht="17.25" customHeight="1" x14ac:dyDescent="0.3">
      <c r="A1" s="4"/>
      <c r="B1" s="5" t="str">
        <f>INSTRUÇÕES!B1</f>
        <v>Tribunal Regional Federal da 6ª Região</v>
      </c>
      <c r="S1" s="6"/>
      <c r="T1" s="6"/>
      <c r="U1" s="6"/>
    </row>
    <row r="2" spans="1:21" s="10" customFormat="1" ht="19.5" customHeight="1" x14ac:dyDescent="0.3">
      <c r="A2" s="7"/>
      <c r="B2" s="8" t="str">
        <f>INSTRUÇÕES!B2</f>
        <v>Seção Judiciária de Minas Gerais</v>
      </c>
      <c r="C2" s="588" t="s">
        <v>0</v>
      </c>
      <c r="D2" s="588"/>
      <c r="E2" s="588"/>
      <c r="F2" s="588"/>
      <c r="G2" s="588"/>
      <c r="H2" s="588"/>
      <c r="I2" s="588"/>
      <c r="J2" s="588"/>
      <c r="K2" s="588"/>
      <c r="L2" s="588"/>
      <c r="M2" s="588"/>
      <c r="N2" s="588"/>
      <c r="O2" s="588"/>
      <c r="P2" s="588"/>
      <c r="Q2" s="588"/>
      <c r="R2" s="588"/>
      <c r="S2" s="9"/>
      <c r="T2" s="9"/>
      <c r="U2" s="9"/>
    </row>
    <row r="3" spans="1:21" s="10" customFormat="1" ht="23.4" x14ac:dyDescent="0.3">
      <c r="A3" s="7"/>
      <c r="B3" s="11" t="str">
        <f>INSTRUÇÕES!B3</f>
        <v>Subseção Judiciária de Manhuaçu</v>
      </c>
      <c r="C3" s="588" t="s">
        <v>1</v>
      </c>
      <c r="D3" s="588"/>
      <c r="E3" s="588"/>
      <c r="F3" s="588"/>
      <c r="G3" s="588"/>
      <c r="H3" s="588"/>
      <c r="I3" s="588"/>
      <c r="J3" s="588"/>
      <c r="K3" s="588"/>
      <c r="L3" s="588"/>
      <c r="M3" s="588"/>
      <c r="N3" s="588"/>
      <c r="O3" s="588"/>
      <c r="P3" s="588"/>
      <c r="Q3" s="588"/>
      <c r="R3" s="588"/>
    </row>
    <row r="4" spans="1:21" s="16" customFormat="1" ht="23.25" hidden="1" customHeight="1" x14ac:dyDescent="0.3">
      <c r="A4" s="589" t="s">
        <v>2</v>
      </c>
      <c r="B4" s="589"/>
      <c r="C4" s="589"/>
      <c r="D4" s="12" t="s">
        <v>3</v>
      </c>
      <c r="E4" s="18">
        <f>VLOOKUP(D4,B98:C101,2,FALSE())</f>
        <v>30</v>
      </c>
      <c r="F4" s="13" t="str">
        <f>VLOOKUP(D4,B99:D101,3,FALSE())</f>
        <v>Obs: Desconto atualmente aplicado (30 dias corridos).</v>
      </c>
      <c r="G4" s="13"/>
      <c r="H4" s="13"/>
      <c r="I4" s="13"/>
      <c r="J4" s="14"/>
      <c r="K4" s="14"/>
      <c r="L4" s="14"/>
      <c r="M4" s="14"/>
      <c r="N4" s="14"/>
      <c r="O4" s="15"/>
      <c r="R4" s="17"/>
      <c r="S4" s="17"/>
      <c r="T4" s="17"/>
      <c r="U4" s="17"/>
    </row>
    <row r="5" spans="1:21" s="16" customFormat="1" ht="12" hidden="1" customHeight="1" x14ac:dyDescent="0.3">
      <c r="A5" s="14"/>
      <c r="B5" s="14"/>
      <c r="C5" s="14"/>
      <c r="D5" s="14"/>
      <c r="E5" s="14"/>
      <c r="F5" s="14"/>
      <c r="G5" s="14"/>
      <c r="H5" s="14"/>
      <c r="I5" s="14"/>
      <c r="J5" s="14"/>
      <c r="K5" s="14"/>
      <c r="L5" s="14"/>
      <c r="M5" s="14"/>
      <c r="N5" s="14"/>
      <c r="O5" s="15"/>
      <c r="R5" s="17"/>
      <c r="S5" s="17"/>
      <c r="T5" s="17"/>
      <c r="U5" s="17"/>
    </row>
    <row r="6" spans="1:21" s="16" customFormat="1" ht="31.5" hidden="1" customHeight="1" x14ac:dyDescent="0.3">
      <c r="A6" s="590" t="s">
        <v>4</v>
      </c>
      <c r="B6" s="590"/>
      <c r="C6" s="590"/>
      <c r="D6" s="591" t="s">
        <v>5</v>
      </c>
      <c r="E6" s="592" t="s">
        <v>6</v>
      </c>
      <c r="F6" s="593" t="s">
        <v>7</v>
      </c>
      <c r="G6" s="593" t="s">
        <v>8</v>
      </c>
      <c r="H6" s="591" t="s">
        <v>9</v>
      </c>
      <c r="I6" s="592" t="s">
        <v>10</v>
      </c>
      <c r="J6" s="593" t="s">
        <v>582</v>
      </c>
      <c r="K6" s="594" t="s">
        <v>11</v>
      </c>
      <c r="L6" s="595" t="s">
        <v>12</v>
      </c>
      <c r="M6" s="595" t="s">
        <v>13</v>
      </c>
      <c r="N6" s="596" t="s">
        <v>14</v>
      </c>
      <c r="O6" s="597" t="s">
        <v>15</v>
      </c>
      <c r="P6" s="593" t="s">
        <v>16</v>
      </c>
      <c r="Q6" s="593" t="s">
        <v>17</v>
      </c>
      <c r="R6" s="592" t="s">
        <v>580</v>
      </c>
      <c r="S6" s="598" t="s">
        <v>18</v>
      </c>
      <c r="T6" s="598"/>
      <c r="U6" s="598"/>
    </row>
    <row r="7" spans="1:21" s="16" customFormat="1" ht="31.5" hidden="1" customHeight="1" x14ac:dyDescent="0.3">
      <c r="A7" s="590"/>
      <c r="B7" s="590"/>
      <c r="C7" s="590"/>
      <c r="D7" s="591"/>
      <c r="E7" s="592"/>
      <c r="F7" s="593"/>
      <c r="G7" s="593"/>
      <c r="H7" s="591"/>
      <c r="I7" s="592"/>
      <c r="J7" s="593"/>
      <c r="K7" s="594"/>
      <c r="L7" s="595"/>
      <c r="M7" s="595"/>
      <c r="N7" s="596"/>
      <c r="O7" s="597"/>
      <c r="P7" s="593"/>
      <c r="Q7" s="593"/>
      <c r="R7" s="592"/>
      <c r="S7" s="598"/>
      <c r="T7" s="598"/>
      <c r="U7" s="598"/>
    </row>
    <row r="8" spans="1:21" s="16" customFormat="1" ht="31.5" hidden="1" customHeight="1" x14ac:dyDescent="0.3">
      <c r="A8" s="590"/>
      <c r="B8" s="590"/>
      <c r="C8" s="590"/>
      <c r="D8" s="591"/>
      <c r="E8" s="592"/>
      <c r="F8" s="593"/>
      <c r="G8" s="593"/>
      <c r="H8" s="591"/>
      <c r="I8" s="592"/>
      <c r="J8" s="593"/>
      <c r="K8" s="594"/>
      <c r="L8" s="595"/>
      <c r="M8" s="595"/>
      <c r="N8" s="596"/>
      <c r="O8" s="597"/>
      <c r="P8" s="593"/>
      <c r="Q8" s="593"/>
      <c r="R8" s="592"/>
      <c r="S8" s="598"/>
      <c r="T8" s="598"/>
      <c r="U8" s="598"/>
    </row>
    <row r="9" spans="1:21" s="16" customFormat="1" ht="55.2" hidden="1" x14ac:dyDescent="0.3">
      <c r="A9" s="19" t="s">
        <v>19</v>
      </c>
      <c r="B9" s="20" t="s">
        <v>20</v>
      </c>
      <c r="C9" s="20" t="s">
        <v>21</v>
      </c>
      <c r="D9" s="21" t="s">
        <v>22</v>
      </c>
      <c r="E9" s="19" t="s">
        <v>23</v>
      </c>
      <c r="F9" s="20" t="s">
        <v>24</v>
      </c>
      <c r="G9" s="20" t="s">
        <v>25</v>
      </c>
      <c r="H9" s="21" t="s">
        <v>26</v>
      </c>
      <c r="I9" s="19" t="s">
        <v>27</v>
      </c>
      <c r="J9" s="20" t="s">
        <v>28</v>
      </c>
      <c r="K9" s="22" t="s">
        <v>28</v>
      </c>
      <c r="L9" s="23" t="s">
        <v>29</v>
      </c>
      <c r="M9" s="23" t="s">
        <v>30</v>
      </c>
      <c r="N9" s="23" t="s">
        <v>31</v>
      </c>
      <c r="O9" s="24" t="s">
        <v>32</v>
      </c>
      <c r="P9" s="20" t="s">
        <v>33</v>
      </c>
      <c r="Q9" s="20" t="s">
        <v>34</v>
      </c>
      <c r="R9" s="19" t="s">
        <v>35</v>
      </c>
      <c r="S9" s="20" t="s">
        <v>36</v>
      </c>
      <c r="T9" s="20" t="s">
        <v>37</v>
      </c>
      <c r="U9" s="20" t="s">
        <v>38</v>
      </c>
    </row>
    <row r="10" spans="1:21" s="16" customFormat="1" ht="27.6" hidden="1" x14ac:dyDescent="0.3">
      <c r="A10" s="25">
        <f>Dados!B7</f>
        <v>1</v>
      </c>
      <c r="B10" s="26" t="str">
        <f>Dados!C7</f>
        <v>Servente de Limpeza com Adicional de Insalubridade (40%)</v>
      </c>
      <c r="C10" s="27">
        <f>Dados!D7</f>
        <v>200</v>
      </c>
      <c r="D10" s="28">
        <v>0</v>
      </c>
      <c r="E10" s="25" t="s">
        <v>39</v>
      </c>
      <c r="F10" s="27">
        <f>IF(E10="NÃO",0,D10*Dados!$G$33)</f>
        <v>0</v>
      </c>
      <c r="G10" s="29">
        <v>0</v>
      </c>
      <c r="H10" s="28">
        <v>0</v>
      </c>
      <c r="I10" s="30">
        <v>0</v>
      </c>
      <c r="J10" s="29">
        <v>0</v>
      </c>
      <c r="K10" s="31">
        <f>I10+J10</f>
        <v>0</v>
      </c>
      <c r="L10" s="32">
        <v>0</v>
      </c>
      <c r="M10" s="32">
        <v>0</v>
      </c>
      <c r="N10" s="33"/>
      <c r="O10" s="34">
        <f>Resumo!S12</f>
        <v>0</v>
      </c>
      <c r="P10" s="35">
        <f>Resumo!V12</f>
        <v>0</v>
      </c>
      <c r="Q10" s="36">
        <f>Resumo!W12</f>
        <v>6006.8</v>
      </c>
      <c r="R10" s="25">
        <v>1</v>
      </c>
      <c r="S10" s="36">
        <f>ROUND((Dados!M7*Encargos!$H$59*A10),2)</f>
        <v>673.54</v>
      </c>
      <c r="T10" s="37" t="s">
        <v>40</v>
      </c>
      <c r="U10" s="38">
        <f>SUMIF($R$10:$R$12,1,$Q$10:$Q$12)</f>
        <v>11213.2</v>
      </c>
    </row>
    <row r="11" spans="1:21" s="16" customFormat="1" ht="15.6" hidden="1" x14ac:dyDescent="0.3">
      <c r="A11" s="25">
        <f>Dados!B8</f>
        <v>1</v>
      </c>
      <c r="B11" s="26" t="str">
        <f>Dados!C8</f>
        <v xml:space="preserve">Servente de Limpeza acúmulo de função Copeira </v>
      </c>
      <c r="C11" s="27">
        <f>Dados!D8</f>
        <v>200</v>
      </c>
      <c r="D11" s="28">
        <v>0</v>
      </c>
      <c r="E11" s="25" t="s">
        <v>39</v>
      </c>
      <c r="F11" s="27">
        <f>IF(E11="NÃO",0,D11*Dados!$G$33)</f>
        <v>0</v>
      </c>
      <c r="G11" s="29">
        <v>0</v>
      </c>
      <c r="H11" s="28">
        <v>0</v>
      </c>
      <c r="I11" s="30">
        <v>0</v>
      </c>
      <c r="J11" s="29">
        <v>0</v>
      </c>
      <c r="K11" s="31">
        <f>I11+J11</f>
        <v>0</v>
      </c>
      <c r="L11" s="32">
        <v>0</v>
      </c>
      <c r="M11" s="32">
        <v>0</v>
      </c>
      <c r="N11" s="39">
        <v>0</v>
      </c>
      <c r="O11" s="34">
        <f>Resumo!S13</f>
        <v>0</v>
      </c>
      <c r="P11" s="35">
        <f>Resumo!V13</f>
        <v>0</v>
      </c>
      <c r="Q11" s="36">
        <f>Resumo!W13</f>
        <v>5206.3999999999996</v>
      </c>
      <c r="R11" s="25">
        <v>1</v>
      </c>
      <c r="S11" s="36">
        <f>ROUND((Dados!M8*Encargos!$H$59*A11),2)</f>
        <v>479.49</v>
      </c>
      <c r="T11" s="37" t="s">
        <v>40</v>
      </c>
      <c r="U11" s="38"/>
    </row>
    <row r="12" spans="1:21" s="16" customFormat="1" ht="27.6" hidden="1" x14ac:dyDescent="0.3">
      <c r="A12" s="25">
        <f>Dados!B9</f>
        <v>1</v>
      </c>
      <c r="B12" s="26" t="str">
        <f>Dados!C9</f>
        <v>Assistente Administrativo acúmulo de função Zelador</v>
      </c>
      <c r="C12" s="27">
        <f>Dados!D9</f>
        <v>200</v>
      </c>
      <c r="D12" s="28">
        <v>0</v>
      </c>
      <c r="E12" s="40" t="s">
        <v>39</v>
      </c>
      <c r="F12" s="41">
        <f>IF(E12="NÃO",0,D12*Dados!$G$33)</f>
        <v>0</v>
      </c>
      <c r="G12" s="42">
        <v>0</v>
      </c>
      <c r="H12" s="43">
        <v>0</v>
      </c>
      <c r="I12" s="44">
        <v>0</v>
      </c>
      <c r="J12" s="42">
        <v>0</v>
      </c>
      <c r="K12" s="45">
        <f>I12+J12</f>
        <v>0</v>
      </c>
      <c r="L12" s="46">
        <v>0</v>
      </c>
      <c r="M12" s="46">
        <v>0</v>
      </c>
      <c r="N12" s="33"/>
      <c r="O12" s="34">
        <f>Resumo!S14</f>
        <v>0</v>
      </c>
      <c r="P12" s="35">
        <f>Resumo!V14</f>
        <v>0</v>
      </c>
      <c r="Q12" s="36">
        <f>Resumo!W14</f>
        <v>4636.79</v>
      </c>
      <c r="R12" s="25">
        <v>2</v>
      </c>
      <c r="S12" s="36">
        <f>ROUND((Dados!M9*Encargos!$H$59*A12),2)</f>
        <v>670.38</v>
      </c>
      <c r="T12" s="37" t="s">
        <v>41</v>
      </c>
      <c r="U12" s="38">
        <f>SUMIF($R$10:$R$12,2,$Q$10:$Q$12)</f>
        <v>4636.79</v>
      </c>
    </row>
    <row r="13" spans="1:21" s="54" customFormat="1" ht="13.5" hidden="1" customHeight="1" x14ac:dyDescent="0.3">
      <c r="A13" s="599" t="s">
        <v>42</v>
      </c>
      <c r="B13" s="599"/>
      <c r="C13" s="599"/>
      <c r="D13" s="599"/>
      <c r="E13" s="599"/>
      <c r="F13" s="599"/>
      <c r="G13" s="599"/>
      <c r="H13" s="47">
        <f>Resumo!I15</f>
        <v>0</v>
      </c>
      <c r="I13" s="600"/>
      <c r="J13" s="600"/>
      <c r="K13" s="48">
        <f>Resumo!L15</f>
        <v>0</v>
      </c>
      <c r="L13" s="49">
        <f>Resumo!O15</f>
        <v>0</v>
      </c>
      <c r="M13" s="49">
        <f>Resumo!R15</f>
        <v>0</v>
      </c>
      <c r="N13" s="50">
        <f>Resumo!V15</f>
        <v>0</v>
      </c>
      <c r="O13" s="51">
        <f>(H13+K13+L13+M13)</f>
        <v>0</v>
      </c>
      <c r="P13" s="52">
        <f>Resumo!V15</f>
        <v>0</v>
      </c>
      <c r="Q13" s="52">
        <f>SUM(Q10:Q12)</f>
        <v>15849.990000000002</v>
      </c>
      <c r="R13" s="53"/>
      <c r="S13" s="52">
        <f>SUM(S10:S12)</f>
        <v>1823.4099999999999</v>
      </c>
      <c r="T13" s="52"/>
      <c r="U13" s="52">
        <f>SUM(U10:U12)</f>
        <v>15849.990000000002</v>
      </c>
    </row>
    <row r="14" spans="1:21" ht="14.4" hidden="1" x14ac:dyDescent="0.3">
      <c r="A14" s="55" t="s">
        <v>43</v>
      </c>
      <c r="B14" s="56"/>
      <c r="C14" s="56"/>
      <c r="D14" s="56"/>
      <c r="E14" s="56"/>
      <c r="F14" s="56"/>
      <c r="G14" s="56"/>
      <c r="H14" s="56"/>
      <c r="I14" s="56"/>
      <c r="J14" s="56"/>
    </row>
    <row r="15" spans="1:21" ht="14.4" hidden="1" x14ac:dyDescent="0.3">
      <c r="A15" s="57" t="s">
        <v>44</v>
      </c>
      <c r="B15" s="58"/>
      <c r="C15" s="58"/>
      <c r="D15" s="58"/>
      <c r="E15" s="58"/>
      <c r="F15" s="58"/>
      <c r="G15" s="58"/>
      <c r="H15" s="58"/>
      <c r="I15" s="58"/>
      <c r="J15" s="58"/>
    </row>
    <row r="16" spans="1:21" s="54" customFormat="1" ht="25.5" hidden="1" customHeight="1" x14ac:dyDescent="0.3">
      <c r="A16" s="601" t="s">
        <v>45</v>
      </c>
      <c r="B16" s="601"/>
      <c r="C16" s="59" t="s">
        <v>46</v>
      </c>
      <c r="D16" s="59" t="s">
        <v>47</v>
      </c>
      <c r="E16" s="59" t="s">
        <v>48</v>
      </c>
      <c r="F16" s="59" t="s">
        <v>49</v>
      </c>
      <c r="H16" s="57"/>
      <c r="I16" s="60"/>
      <c r="J16" s="57"/>
      <c r="K16" s="60"/>
      <c r="L16" s="60"/>
      <c r="M16" s="60"/>
      <c r="R16" s="60"/>
      <c r="S16" s="60"/>
      <c r="T16" s="60"/>
      <c r="U16" s="60"/>
    </row>
    <row r="17" spans="1:21" s="54" customFormat="1" ht="13.8" hidden="1" x14ac:dyDescent="0.3">
      <c r="A17" s="601"/>
      <c r="B17" s="601"/>
      <c r="C17" s="61">
        <v>220</v>
      </c>
      <c r="D17" s="61">
        <v>10</v>
      </c>
      <c r="E17" s="61">
        <v>25</v>
      </c>
      <c r="F17" s="62">
        <f>ROUND((D17/VLOOKUP(C17,$B$104:$C$110,2,FALSE())+E17/60/VLOOKUP(C17,$B$104:$C$110,2,FALSE())),2)</f>
        <v>1.18</v>
      </c>
      <c r="H17" s="57"/>
      <c r="I17" s="60"/>
      <c r="J17" s="57"/>
      <c r="K17" s="60"/>
      <c r="L17" s="60"/>
      <c r="M17" s="60"/>
      <c r="R17" s="60"/>
      <c r="S17" s="60"/>
      <c r="T17" s="60"/>
      <c r="U17" s="60"/>
    </row>
    <row r="18" spans="1:21" s="54" customFormat="1" ht="15" hidden="1" customHeight="1" x14ac:dyDescent="0.3">
      <c r="A18" s="602" t="s">
        <v>50</v>
      </c>
      <c r="B18" s="602"/>
      <c r="C18" s="602"/>
      <c r="D18" s="602"/>
      <c r="E18" s="602"/>
      <c r="F18" s="602"/>
      <c r="G18" s="13"/>
      <c r="H18" s="13"/>
      <c r="I18" s="13"/>
      <c r="J18" s="57"/>
      <c r="K18" s="60"/>
      <c r="L18" s="60"/>
      <c r="M18" s="60"/>
      <c r="R18" s="60"/>
      <c r="S18" s="60"/>
      <c r="T18" s="60"/>
      <c r="U18" s="60"/>
    </row>
    <row r="19" spans="1:21" s="54" customFormat="1" ht="19.5" hidden="1" customHeight="1" x14ac:dyDescent="0.3">
      <c r="A19" s="602"/>
      <c r="B19" s="602"/>
      <c r="C19" s="602"/>
      <c r="D19" s="602"/>
      <c r="E19" s="602"/>
      <c r="F19" s="602"/>
      <c r="G19" s="13"/>
      <c r="H19" s="63"/>
      <c r="I19" s="13"/>
      <c r="J19" s="57"/>
      <c r="K19" s="60"/>
      <c r="L19" s="60"/>
      <c r="M19" s="60"/>
      <c r="R19" s="60"/>
      <c r="S19" s="60"/>
      <c r="T19" s="60"/>
      <c r="U19" s="60"/>
    </row>
    <row r="20" spans="1:21" ht="14.4" hidden="1" x14ac:dyDescent="0.3">
      <c r="A20" s="57" t="s">
        <v>51</v>
      </c>
      <c r="B20" s="56"/>
      <c r="C20" s="56"/>
      <c r="D20" s="56"/>
      <c r="E20" s="56"/>
      <c r="F20" s="56"/>
      <c r="G20" s="56"/>
      <c r="H20" s="56"/>
      <c r="I20" s="56"/>
      <c r="J20" s="56"/>
    </row>
    <row r="21" spans="1:21" ht="14.4" hidden="1" x14ac:dyDescent="0.3">
      <c r="A21" s="56"/>
      <c r="B21" s="56"/>
      <c r="C21" s="56"/>
      <c r="D21" s="56"/>
      <c r="E21" s="56"/>
      <c r="F21" s="56"/>
      <c r="G21" s="56"/>
      <c r="H21" s="56"/>
      <c r="I21" s="56"/>
      <c r="J21" s="56"/>
      <c r="N21" s="64"/>
      <c r="O21" s="65"/>
      <c r="P21" s="65"/>
    </row>
    <row r="22" spans="1:21" ht="27" hidden="1" customHeight="1" x14ac:dyDescent="0.3">
      <c r="A22" s="603" t="s">
        <v>52</v>
      </c>
      <c r="B22" s="604" t="s">
        <v>583</v>
      </c>
      <c r="C22" s="604"/>
      <c r="D22" s="604"/>
      <c r="E22" s="604"/>
      <c r="F22" s="605" t="s">
        <v>53</v>
      </c>
      <c r="G22" s="605"/>
      <c r="H22" s="605"/>
      <c r="I22" s="606" t="s">
        <v>588</v>
      </c>
      <c r="J22" s="606"/>
      <c r="K22" s="606"/>
      <c r="L22" s="607" t="s">
        <v>54</v>
      </c>
      <c r="M22" s="607"/>
      <c r="N22" s="607"/>
      <c r="O22" s="607"/>
      <c r="U22" s="1"/>
    </row>
    <row r="23" spans="1:21" ht="38.25" hidden="1" customHeight="1" x14ac:dyDescent="0.3">
      <c r="A23" s="603"/>
      <c r="B23" s="601" t="s">
        <v>575</v>
      </c>
      <c r="C23" s="601"/>
      <c r="D23" s="601"/>
      <c r="E23" s="59" t="s">
        <v>55</v>
      </c>
      <c r="F23" s="59" t="s">
        <v>56</v>
      </c>
      <c r="G23" s="59" t="s">
        <v>57</v>
      </c>
      <c r="H23" s="69" t="s">
        <v>58</v>
      </c>
      <c r="I23" s="606"/>
      <c r="J23" s="606"/>
      <c r="K23" s="606"/>
      <c r="L23" s="66" t="s">
        <v>59</v>
      </c>
      <c r="M23" s="67" t="s">
        <v>60</v>
      </c>
      <c r="N23" s="67" t="s">
        <v>61</v>
      </c>
      <c r="O23" s="68" t="s">
        <v>62</v>
      </c>
      <c r="U23" s="13"/>
    </row>
    <row r="24" spans="1:21" ht="65.25" hidden="1" customHeight="1" x14ac:dyDescent="0.3">
      <c r="A24" s="70">
        <v>1</v>
      </c>
      <c r="B24" s="608" t="str">
        <f>Insumos!B9</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4" s="608"/>
      <c r="D24" s="608"/>
      <c r="E24" s="71" t="str">
        <f>Insumos!C9</f>
        <v>Galão</v>
      </c>
      <c r="F24" s="72">
        <f>Insumos!D9</f>
        <v>0</v>
      </c>
      <c r="G24" s="73">
        <f>L24</f>
        <v>0.33333333333333331</v>
      </c>
      <c r="H24" s="74">
        <f>G24*Insumos!G9</f>
        <v>14.926666666666666</v>
      </c>
      <c r="I24" s="609" t="str">
        <f t="shared" ref="I24:I60" si="0">IF(G24&lt;L24,"Fornecimento inferior ao estimado mensalmente",IF(G24=L24,"Fornecimento igual ao estimado mensalmente",IF(G24&gt;L24,"Fornecimento superior ao estimado mensalmente",)))</f>
        <v>Fornecimento igual ao estimado mensalmente</v>
      </c>
      <c r="J24" s="609"/>
      <c r="K24" s="609"/>
      <c r="L24" s="75">
        <f t="shared" ref="L24:L60" si="1">M24/O24</f>
        <v>0.33333333333333331</v>
      </c>
      <c r="M24" s="76">
        <f>Insumos!E9</f>
        <v>1</v>
      </c>
      <c r="N24" s="77" t="str">
        <f>Insumos!F9</f>
        <v>Trimestral</v>
      </c>
      <c r="O24" s="78">
        <f t="shared" ref="O24:O60" si="2">IF(N24="MENSAL",1,IF(N24="BIMESTRAL",2,IF(N24="TRIMESTRAL",3,IF(N24="QUADRIMESTRAL",4,IF(N24="SEMESTRAL",6,IF(N24="ANUAL",12,IF(N24="BIENAL",24,"")))))))</f>
        <v>3</v>
      </c>
    </row>
    <row r="25" spans="1:21" ht="31.5" hidden="1" customHeight="1" x14ac:dyDescent="0.3">
      <c r="A25" s="79">
        <v>2</v>
      </c>
      <c r="B25" s="608" t="str">
        <f>Insumos!B10</f>
        <v>Álcool Líquido 5 Litros: Etilico Hidratado, para limpeza em geral, teor alcoolico 70 inpm. Aprovação Anvisa; Produto devera estar de acordo com legislacao vigente</v>
      </c>
      <c r="C25" s="608"/>
      <c r="D25" s="608"/>
      <c r="E25" s="71" t="str">
        <f>Insumos!C10</f>
        <v>Galão</v>
      </c>
      <c r="F25" s="72">
        <f>Insumos!D10</f>
        <v>0</v>
      </c>
      <c r="G25" s="73">
        <f t="shared" ref="G25:G60" si="3">L25</f>
        <v>0.5</v>
      </c>
      <c r="H25" s="74">
        <f>G25*Insumos!G10</f>
        <v>23.465</v>
      </c>
      <c r="I25" s="609" t="str">
        <f t="shared" si="0"/>
        <v>Fornecimento igual ao estimado mensalmente</v>
      </c>
      <c r="J25" s="609"/>
      <c r="K25" s="609"/>
      <c r="L25" s="75">
        <f t="shared" si="1"/>
        <v>0.5</v>
      </c>
      <c r="M25" s="76">
        <f>Insumos!E10</f>
        <v>1</v>
      </c>
      <c r="N25" s="77" t="str">
        <f>Insumos!F10</f>
        <v>Bimestral</v>
      </c>
      <c r="O25" s="78">
        <f t="shared" si="2"/>
        <v>2</v>
      </c>
    </row>
    <row r="26" spans="1:21" ht="43.5" hidden="1" customHeight="1" x14ac:dyDescent="0.3">
      <c r="A26" s="79">
        <v>3</v>
      </c>
      <c r="B26" s="608" t="str">
        <f>Insumos!B11</f>
        <v>Balde plástico em polietileno de alta densidade, alta resistência a impacto, com paredes e fundo reforçados, com reforço no encaixe da alça de aço zincado constando no corpo a marcado fabricante, capacidade de 20 litros.</v>
      </c>
      <c r="C26" s="608"/>
      <c r="D26" s="608"/>
      <c r="E26" s="71" t="str">
        <f>Insumos!C11</f>
        <v>Unid.</v>
      </c>
      <c r="F26" s="72">
        <f>Insumos!D11</f>
        <v>0</v>
      </c>
      <c r="G26" s="73">
        <f t="shared" si="3"/>
        <v>0.66666666666666663</v>
      </c>
      <c r="H26" s="74">
        <f>G26*Insumos!G11</f>
        <v>12.513333333333332</v>
      </c>
      <c r="I26" s="609" t="str">
        <f t="shared" si="0"/>
        <v>Fornecimento igual ao estimado mensalmente</v>
      </c>
      <c r="J26" s="609"/>
      <c r="K26" s="609"/>
      <c r="L26" s="75">
        <f t="shared" si="1"/>
        <v>0.66666666666666663</v>
      </c>
      <c r="M26" s="76">
        <f>Insumos!E11</f>
        <v>2</v>
      </c>
      <c r="N26" s="77" t="str">
        <f>Insumos!F11</f>
        <v>Trimestral</v>
      </c>
      <c r="O26" s="78">
        <f t="shared" si="2"/>
        <v>3</v>
      </c>
    </row>
    <row r="27" spans="1:21" ht="24" hidden="1" customHeight="1" x14ac:dyDescent="0.3">
      <c r="A27" s="79">
        <v>4</v>
      </c>
      <c r="B27" s="608" t="str">
        <f>Insumos!B12</f>
        <v>CHEFF Clorado diluído p/ vaso sanitário 5L</v>
      </c>
      <c r="C27" s="608"/>
      <c r="D27" s="608"/>
      <c r="E27" s="71" t="str">
        <f>Insumos!C12</f>
        <v>Galão</v>
      </c>
      <c r="F27" s="72">
        <f>Insumos!D12</f>
        <v>0</v>
      </c>
      <c r="G27" s="73">
        <f t="shared" si="3"/>
        <v>1</v>
      </c>
      <c r="H27" s="74">
        <f>G27*Insumos!G12</f>
        <v>39.57</v>
      </c>
      <c r="I27" s="609" t="str">
        <f t="shared" si="0"/>
        <v>Fornecimento igual ao estimado mensalmente</v>
      </c>
      <c r="J27" s="609"/>
      <c r="K27" s="609"/>
      <c r="L27" s="75">
        <f t="shared" si="1"/>
        <v>1</v>
      </c>
      <c r="M27" s="76">
        <f>Insumos!E12</f>
        <v>1</v>
      </c>
      <c r="N27" s="77" t="str">
        <f>Insumos!F12</f>
        <v>Mensal</v>
      </c>
      <c r="O27" s="78">
        <f t="shared" si="2"/>
        <v>1</v>
      </c>
    </row>
    <row r="28" spans="1:21" ht="27" hidden="1" customHeight="1" x14ac:dyDescent="0.3">
      <c r="A28" s="79">
        <v>5</v>
      </c>
      <c r="B28" s="608" t="str">
        <f>Insumos!B13</f>
        <v>Cloro liquido concentrado com teor ativo de no minimo 10 a 12% para limpeza pesada embalagem com 5 litros</v>
      </c>
      <c r="C28" s="608"/>
      <c r="D28" s="608"/>
      <c r="E28" s="71" t="str">
        <f>Insumos!C13</f>
        <v>Galão</v>
      </c>
      <c r="F28" s="72">
        <f>Insumos!D13</f>
        <v>0</v>
      </c>
      <c r="G28" s="73">
        <f t="shared" si="3"/>
        <v>3</v>
      </c>
      <c r="H28" s="74">
        <f>G28*Insumos!G13</f>
        <v>95.13</v>
      </c>
      <c r="I28" s="609" t="str">
        <f t="shared" si="0"/>
        <v>Fornecimento igual ao estimado mensalmente</v>
      </c>
      <c r="J28" s="609"/>
      <c r="K28" s="609"/>
      <c r="L28" s="75">
        <f t="shared" si="1"/>
        <v>3</v>
      </c>
      <c r="M28" s="76">
        <f>Insumos!E13</f>
        <v>3</v>
      </c>
      <c r="N28" s="77" t="str">
        <f>Insumos!F13</f>
        <v>Mensal</v>
      </c>
      <c r="O28" s="78">
        <f t="shared" si="2"/>
        <v>1</v>
      </c>
    </row>
    <row r="29" spans="1:21" ht="24" hidden="1" customHeight="1" x14ac:dyDescent="0.3">
      <c r="A29" s="79">
        <v>6</v>
      </c>
      <c r="B29" s="608" t="str">
        <f>Insumos!B14</f>
        <v>Desinfetante concentrado 1x25 - flagrância Floral 5L</v>
      </c>
      <c r="C29" s="608"/>
      <c r="D29" s="608"/>
      <c r="E29" s="71" t="str">
        <f>Insumos!C14</f>
        <v>Galão</v>
      </c>
      <c r="F29" s="72">
        <f>Insumos!D14</f>
        <v>0</v>
      </c>
      <c r="G29" s="73">
        <f t="shared" si="3"/>
        <v>4</v>
      </c>
      <c r="H29" s="74">
        <f>G29*Insumos!G14</f>
        <v>135.28</v>
      </c>
      <c r="I29" s="609" t="str">
        <f t="shared" si="0"/>
        <v>Fornecimento igual ao estimado mensalmente</v>
      </c>
      <c r="J29" s="609"/>
      <c r="K29" s="609"/>
      <c r="L29" s="75">
        <f t="shared" si="1"/>
        <v>4</v>
      </c>
      <c r="M29" s="76">
        <f>Insumos!E14</f>
        <v>4</v>
      </c>
      <c r="N29" s="77" t="str">
        <f>Insumos!F14</f>
        <v>Mensal</v>
      </c>
      <c r="O29" s="78">
        <f t="shared" si="2"/>
        <v>1</v>
      </c>
    </row>
    <row r="30" spans="1:21" ht="15" hidden="1" customHeight="1" x14ac:dyDescent="0.3">
      <c r="A30" s="79">
        <v>7</v>
      </c>
      <c r="B30" s="608" t="str">
        <f>Insumos!B15</f>
        <v>Desorisador de ar aerosol (Bom ar ou Similar)</v>
      </c>
      <c r="C30" s="608"/>
      <c r="D30" s="608"/>
      <c r="E30" s="71" t="str">
        <f>Insumos!C15</f>
        <v>Unid.</v>
      </c>
      <c r="F30" s="72">
        <f>Insumos!D15</f>
        <v>0</v>
      </c>
      <c r="G30" s="73">
        <f t="shared" si="3"/>
        <v>1</v>
      </c>
      <c r="H30" s="74">
        <f>G30*Insumos!G15</f>
        <v>12.15</v>
      </c>
      <c r="I30" s="609" t="str">
        <f t="shared" si="0"/>
        <v>Fornecimento igual ao estimado mensalmente</v>
      </c>
      <c r="J30" s="609"/>
      <c r="K30" s="609"/>
      <c r="L30" s="75">
        <f t="shared" si="1"/>
        <v>1</v>
      </c>
      <c r="M30" s="76">
        <f>Insumos!E15</f>
        <v>1</v>
      </c>
      <c r="N30" s="77" t="str">
        <f>Insumos!F15</f>
        <v>Mensal</v>
      </c>
      <c r="O30" s="78">
        <f t="shared" si="2"/>
        <v>1</v>
      </c>
    </row>
    <row r="31" spans="1:21" ht="51" hidden="1" customHeight="1" x14ac:dyDescent="0.3">
      <c r="A31" s="79">
        <v>8</v>
      </c>
      <c r="B31" s="608" t="str">
        <f>Insumos!B16</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1" s="608"/>
      <c r="D31" s="608"/>
      <c r="E31" s="71" t="str">
        <f>Insumos!C16</f>
        <v>Unid.</v>
      </c>
      <c r="F31" s="72">
        <f>Insumos!D16</f>
        <v>0</v>
      </c>
      <c r="G31" s="73">
        <f t="shared" si="3"/>
        <v>8</v>
      </c>
      <c r="H31" s="74">
        <f>G31*Insumos!G16</f>
        <v>17.68</v>
      </c>
      <c r="I31" s="609" t="str">
        <f t="shared" si="0"/>
        <v>Fornecimento igual ao estimado mensalmente</v>
      </c>
      <c r="J31" s="609"/>
      <c r="K31" s="609"/>
      <c r="L31" s="75">
        <f t="shared" si="1"/>
        <v>8</v>
      </c>
      <c r="M31" s="76">
        <f>Insumos!E16</f>
        <v>8</v>
      </c>
      <c r="N31" s="77" t="str">
        <f>Insumos!F16</f>
        <v>Mensal</v>
      </c>
      <c r="O31" s="78">
        <f t="shared" si="2"/>
        <v>1</v>
      </c>
    </row>
    <row r="32" spans="1:21" ht="15" hidden="1" customHeight="1" x14ac:dyDescent="0.3">
      <c r="A32" s="79">
        <v>9</v>
      </c>
      <c r="B32" s="608" t="str">
        <f>Insumos!B17</f>
        <v>Escova para lavar multiuso, oval, base plástica e cerdas de nylon.</v>
      </c>
      <c r="C32" s="608"/>
      <c r="D32" s="608"/>
      <c r="E32" s="71" t="str">
        <f>Insumos!C17</f>
        <v>Unid.</v>
      </c>
      <c r="F32" s="72">
        <f>Insumos!D17</f>
        <v>0</v>
      </c>
      <c r="G32" s="73">
        <f t="shared" si="3"/>
        <v>0.66666666666666663</v>
      </c>
      <c r="H32" s="74">
        <f>G32*Insumos!G17</f>
        <v>2.2599999999999998</v>
      </c>
      <c r="I32" s="609" t="str">
        <f t="shared" si="0"/>
        <v>Fornecimento igual ao estimado mensalmente</v>
      </c>
      <c r="J32" s="609"/>
      <c r="K32" s="609"/>
      <c r="L32" s="75">
        <f t="shared" si="1"/>
        <v>0.66666666666666663</v>
      </c>
      <c r="M32" s="76">
        <f>Insumos!E17</f>
        <v>2</v>
      </c>
      <c r="N32" s="77" t="str">
        <f>Insumos!F17</f>
        <v>Trimestral</v>
      </c>
      <c r="O32" s="78">
        <f t="shared" si="2"/>
        <v>3</v>
      </c>
    </row>
    <row r="33" spans="1:15" ht="54.75" hidden="1" customHeight="1" x14ac:dyDescent="0.3">
      <c r="A33" s="80">
        <v>10</v>
      </c>
      <c r="B33" s="608" t="str">
        <f>Insumos!B18</f>
        <v>Esponja Para Lavagem De Louças E Limpeza Em Geral, Dupla Face Sintética, Um Lado Em Espuma Poliuretano E Outro Em Fibra Sintética Abrasiva, Antibacteriana, Formato Retangular, Medindo Aproximadamente 110mm X 75mm X 20mm De Espessura. Pacote com 4 unidades.</v>
      </c>
      <c r="C33" s="608"/>
      <c r="D33" s="608"/>
      <c r="E33" s="71" t="str">
        <f>Insumos!C18</f>
        <v>Unid.</v>
      </c>
      <c r="F33" s="72">
        <f>Insumos!D18</f>
        <v>0</v>
      </c>
      <c r="G33" s="73">
        <f t="shared" si="3"/>
        <v>5</v>
      </c>
      <c r="H33" s="74">
        <f>G33*Insumos!G18</f>
        <v>19.399999999999999</v>
      </c>
      <c r="I33" s="609" t="str">
        <f t="shared" si="0"/>
        <v>Fornecimento igual ao estimado mensalmente</v>
      </c>
      <c r="J33" s="609"/>
      <c r="K33" s="609"/>
      <c r="L33" s="75">
        <f t="shared" si="1"/>
        <v>5</v>
      </c>
      <c r="M33" s="76">
        <f>Insumos!E18</f>
        <v>5</v>
      </c>
      <c r="N33" s="77" t="str">
        <f>Insumos!F18</f>
        <v>Mensal</v>
      </c>
      <c r="O33" s="78">
        <f t="shared" si="2"/>
        <v>1</v>
      </c>
    </row>
    <row r="34" spans="1:15" ht="41.25" hidden="1" customHeight="1" x14ac:dyDescent="0.3">
      <c r="A34" s="79">
        <v>11</v>
      </c>
      <c r="B34" s="608" t="str">
        <f>Insumos!B19</f>
        <v>Extensão elétrica 30 metros 3 tomada 20a cabo pp2x1,5mm reforçada, 2 cabos de som 10m para ligar as caixas xlr/p10, 2cabos xlr para microfones sem fio (especificações mínima)</v>
      </c>
      <c r="C34" s="608"/>
      <c r="D34" s="608"/>
      <c r="E34" s="71" t="str">
        <f>Insumos!C19</f>
        <v>Unid.</v>
      </c>
      <c r="F34" s="72">
        <f>Insumos!D19</f>
        <v>0</v>
      </c>
      <c r="G34" s="73">
        <f t="shared" si="3"/>
        <v>8.3333333333333329E-2</v>
      </c>
      <c r="H34" s="74">
        <f>G34*Insumos!G19</f>
        <v>36.119999999999997</v>
      </c>
      <c r="I34" s="609" t="str">
        <f t="shared" si="0"/>
        <v>Fornecimento igual ao estimado mensalmente</v>
      </c>
      <c r="J34" s="609"/>
      <c r="K34" s="609"/>
      <c r="L34" s="75">
        <f t="shared" si="1"/>
        <v>8.3333333333333329E-2</v>
      </c>
      <c r="M34" s="76">
        <f>Insumos!E19</f>
        <v>1</v>
      </c>
      <c r="N34" s="77" t="str">
        <f>Insumos!F19</f>
        <v>Anual</v>
      </c>
      <c r="O34" s="78">
        <f t="shared" si="2"/>
        <v>12</v>
      </c>
    </row>
    <row r="35" spans="1:15" ht="103.5" hidden="1" customHeight="1" x14ac:dyDescent="0.3">
      <c r="A35" s="79">
        <v>12</v>
      </c>
      <c r="B35" s="608" t="str">
        <f>Insumos!B20</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35" s="608"/>
      <c r="D35" s="608"/>
      <c r="E35" s="71" t="str">
        <f>Insumos!C20</f>
        <v>Unid.</v>
      </c>
      <c r="F35" s="72">
        <f>Insumos!D20</f>
        <v>0</v>
      </c>
      <c r="G35" s="73">
        <f t="shared" si="3"/>
        <v>20</v>
      </c>
      <c r="H35" s="74">
        <f>G35*Insumos!G20</f>
        <v>83.4</v>
      </c>
      <c r="I35" s="609" t="str">
        <f t="shared" si="0"/>
        <v>Fornecimento igual ao estimado mensalmente</v>
      </c>
      <c r="J35" s="609"/>
      <c r="K35" s="609"/>
      <c r="L35" s="75">
        <f t="shared" si="1"/>
        <v>20</v>
      </c>
      <c r="M35" s="76">
        <f>Insumos!E20</f>
        <v>20</v>
      </c>
      <c r="N35" s="77" t="str">
        <f>Insumos!F20</f>
        <v>Mensal</v>
      </c>
      <c r="O35" s="78">
        <f t="shared" si="2"/>
        <v>1</v>
      </c>
    </row>
    <row r="36" spans="1:15" ht="15" hidden="1" customHeight="1" x14ac:dyDescent="0.3">
      <c r="A36" s="80">
        <v>13</v>
      </c>
      <c r="B36" s="608" t="str">
        <f>Insumos!B21</f>
        <v>Limpa vidro 500ml (Veja ou similar)</v>
      </c>
      <c r="C36" s="608"/>
      <c r="D36" s="608"/>
      <c r="E36" s="71" t="str">
        <f>Insumos!C21</f>
        <v>Unid.</v>
      </c>
      <c r="F36" s="72">
        <f>Insumos!D21</f>
        <v>0</v>
      </c>
      <c r="G36" s="73">
        <f t="shared" si="3"/>
        <v>5</v>
      </c>
      <c r="H36" s="74">
        <f>G36*Insumos!G21</f>
        <v>20.75</v>
      </c>
      <c r="I36" s="609" t="str">
        <f t="shared" si="0"/>
        <v>Fornecimento igual ao estimado mensalmente</v>
      </c>
      <c r="J36" s="609"/>
      <c r="K36" s="609"/>
      <c r="L36" s="75">
        <f t="shared" si="1"/>
        <v>5</v>
      </c>
      <c r="M36" s="76">
        <f>Insumos!E21</f>
        <v>5</v>
      </c>
      <c r="N36" s="77" t="str">
        <f>Insumos!F21</f>
        <v>Mensal</v>
      </c>
      <c r="O36" s="78">
        <f t="shared" si="2"/>
        <v>1</v>
      </c>
    </row>
    <row r="37" spans="1:15" ht="42" hidden="1" customHeight="1" x14ac:dyDescent="0.3">
      <c r="A37" s="79">
        <v>14</v>
      </c>
      <c r="B37" s="608" t="str">
        <f>Insumos!B22</f>
        <v>Esponja de LÃ DE AÇO, composição básica: aço carbono abrasivo, p/ limpeza em geral, acondicionada em embalagem plástica original do fabricante, peso líquido aproximado de 60g, pacote c/ 08 unidades.</v>
      </c>
      <c r="C37" s="608"/>
      <c r="D37" s="608"/>
      <c r="E37" s="71" t="str">
        <f>Insumos!C22</f>
        <v>Pacote</v>
      </c>
      <c r="F37" s="72">
        <f>Insumos!D22</f>
        <v>0</v>
      </c>
      <c r="G37" s="73">
        <f t="shared" si="3"/>
        <v>2</v>
      </c>
      <c r="H37" s="74">
        <f>G37*Insumos!G22</f>
        <v>4.76</v>
      </c>
      <c r="I37" s="609" t="str">
        <f t="shared" si="0"/>
        <v>Fornecimento igual ao estimado mensalmente</v>
      </c>
      <c r="J37" s="609"/>
      <c r="K37" s="609"/>
      <c r="L37" s="75">
        <f t="shared" si="1"/>
        <v>2</v>
      </c>
      <c r="M37" s="76">
        <f>Insumos!E22</f>
        <v>2</v>
      </c>
      <c r="N37" s="77" t="str">
        <f>Insumos!F22</f>
        <v>Mensal</v>
      </c>
      <c r="O37" s="78">
        <f t="shared" si="2"/>
        <v>1</v>
      </c>
    </row>
    <row r="38" spans="1:15" ht="24" hidden="1" customHeight="1" x14ac:dyDescent="0.3">
      <c r="A38" s="79">
        <v>15</v>
      </c>
      <c r="B38" s="608" t="str">
        <f>Insumos!B23</f>
        <v>Limpa metal 200 ml Kaol ou similar</v>
      </c>
      <c r="C38" s="608"/>
      <c r="D38" s="608"/>
      <c r="E38" s="71" t="str">
        <f>Insumos!C23</f>
        <v>Unid.</v>
      </c>
      <c r="F38" s="72">
        <f>Insumos!D23</f>
        <v>0</v>
      </c>
      <c r="G38" s="73">
        <f t="shared" si="3"/>
        <v>1</v>
      </c>
      <c r="H38" s="74">
        <f>G38*Insumos!G23</f>
        <v>20.309999999999999</v>
      </c>
      <c r="I38" s="609" t="str">
        <f t="shared" si="0"/>
        <v>Fornecimento igual ao estimado mensalmente</v>
      </c>
      <c r="J38" s="609"/>
      <c r="K38" s="609"/>
      <c r="L38" s="75">
        <f t="shared" si="1"/>
        <v>1</v>
      </c>
      <c r="M38" s="76">
        <f>Insumos!E23</f>
        <v>1</v>
      </c>
      <c r="N38" s="77" t="str">
        <f>Insumos!F23</f>
        <v>Mensal</v>
      </c>
      <c r="O38" s="78">
        <f t="shared" si="2"/>
        <v>1</v>
      </c>
    </row>
    <row r="39" spans="1:15" ht="23.25" hidden="1" customHeight="1" x14ac:dyDescent="0.3">
      <c r="A39" s="79">
        <v>16</v>
      </c>
      <c r="B39" s="608" t="str">
        <f>Insumos!B24</f>
        <v>Multiuso limpeza pesada 500ml - composição: alquil benzeno sulfonato de sódio, solvente, coadjuvantes, conservante, sequestrante, corante, fragrância e água. tensoativo biodegradável. frascos de 500 ml de produto (marca de referência: veja).</v>
      </c>
      <c r="C39" s="608"/>
      <c r="D39" s="608"/>
      <c r="E39" s="71" t="str">
        <f>Insumos!C24</f>
        <v>Unid.</v>
      </c>
      <c r="F39" s="72" t="str">
        <f>Insumos!D24</f>
        <v>Veja ou similar</v>
      </c>
      <c r="G39" s="73">
        <f t="shared" si="3"/>
        <v>17</v>
      </c>
      <c r="H39" s="74">
        <f>G39*Insumos!G24</f>
        <v>127.33</v>
      </c>
      <c r="I39" s="609" t="str">
        <f t="shared" si="0"/>
        <v>Fornecimento igual ao estimado mensalmente</v>
      </c>
      <c r="J39" s="609"/>
      <c r="K39" s="609"/>
      <c r="L39" s="75">
        <f t="shared" si="1"/>
        <v>17</v>
      </c>
      <c r="M39" s="76">
        <f>Insumos!E24</f>
        <v>17</v>
      </c>
      <c r="N39" s="77" t="str">
        <f>Insumos!F24</f>
        <v>Mensal</v>
      </c>
      <c r="O39" s="78">
        <f t="shared" si="2"/>
        <v>1</v>
      </c>
    </row>
    <row r="40" spans="1:15" ht="26.25" hidden="1" customHeight="1" x14ac:dyDescent="0.3">
      <c r="A40" s="79">
        <v>17</v>
      </c>
      <c r="B40" s="608" t="str">
        <f>Insumos!B25</f>
        <v>Lustra Móveis, Embalagem de 200 ml, Emulsão aquosa cremosa, perfumada, para aplicação em móveis e superfícies
lisas. aromas diversos. frasco plástico de 200ml com bico econômico. embalagem certificada pelo INMETRO contendo data de fabricação, validade.</v>
      </c>
      <c r="C40" s="608"/>
      <c r="D40" s="608"/>
      <c r="E40" s="71" t="str">
        <f>Insumos!C25</f>
        <v>Unid.</v>
      </c>
      <c r="F40" s="72" t="str">
        <f>Insumos!D25</f>
        <v>Polifor ou similar</v>
      </c>
      <c r="G40" s="73">
        <f t="shared" si="3"/>
        <v>4</v>
      </c>
      <c r="H40" s="74">
        <f>G40*Insumos!G25</f>
        <v>46.64</v>
      </c>
      <c r="I40" s="609" t="str">
        <f t="shared" si="0"/>
        <v>Fornecimento igual ao estimado mensalmente</v>
      </c>
      <c r="J40" s="609"/>
      <c r="K40" s="609"/>
      <c r="L40" s="75">
        <f t="shared" si="1"/>
        <v>4</v>
      </c>
      <c r="M40" s="76">
        <f>Insumos!E25</f>
        <v>4</v>
      </c>
      <c r="N40" s="77" t="str">
        <f>Insumos!F25</f>
        <v>Mensal</v>
      </c>
      <c r="O40" s="78">
        <f t="shared" si="2"/>
        <v>1</v>
      </c>
    </row>
    <row r="41" spans="1:15" ht="55.5" hidden="1" customHeight="1" x14ac:dyDescent="0.3">
      <c r="A41" s="79">
        <v>18</v>
      </c>
      <c r="B41" s="608" t="str">
        <f>Insumos!B26</f>
        <v>Luva Segurança Com Forro. Material: 100% Látex Nitrílico , Tamanho: M ou G ,Aplicação: Manuseio Reagente Químico E Radioativo , Características Adicionais: Com Forro, Sem Talco, Pulso Com Bainha , Modelo: Palma Antiderrapante , Cor: Verde ,Tipo: Ambidestra</v>
      </c>
      <c r="C41" s="608"/>
      <c r="D41" s="608"/>
      <c r="E41" s="71" t="str">
        <f>Insumos!C26</f>
        <v>Par</v>
      </c>
      <c r="F41" s="72">
        <f>Insumos!D26</f>
        <v>0</v>
      </c>
      <c r="G41" s="73">
        <f t="shared" si="3"/>
        <v>4</v>
      </c>
      <c r="H41" s="74">
        <f>G41*Insumos!G26</f>
        <v>62.84</v>
      </c>
      <c r="I41" s="609" t="str">
        <f t="shared" si="0"/>
        <v>Fornecimento igual ao estimado mensalmente</v>
      </c>
      <c r="J41" s="609"/>
      <c r="K41" s="609"/>
      <c r="L41" s="75">
        <f t="shared" si="1"/>
        <v>4</v>
      </c>
      <c r="M41" s="76">
        <f>Insumos!E26</f>
        <v>4</v>
      </c>
      <c r="N41" s="77" t="str">
        <f>Insumos!F26</f>
        <v>Mensal</v>
      </c>
      <c r="O41" s="78">
        <f t="shared" si="2"/>
        <v>1</v>
      </c>
    </row>
    <row r="42" spans="1:15" ht="22.5" hidden="1" customHeight="1" x14ac:dyDescent="0.3">
      <c r="A42" s="79">
        <v>19</v>
      </c>
      <c r="B42" s="608" t="str">
        <f>Insumos!B27</f>
        <v>Mangueira reforçada 1/2", anti torção - 100 m</v>
      </c>
      <c r="C42" s="608"/>
      <c r="D42" s="608"/>
      <c r="E42" s="71" t="str">
        <f>Insumos!C27</f>
        <v>Unid.</v>
      </c>
      <c r="F42" s="72">
        <f>Insumos!D27</f>
        <v>0</v>
      </c>
      <c r="G42" s="73">
        <f t="shared" si="3"/>
        <v>8.3333333333333329E-2</v>
      </c>
      <c r="H42" s="74">
        <f>G42*Insumos!G27</f>
        <v>54.928333333333327</v>
      </c>
      <c r="I42" s="609" t="str">
        <f t="shared" si="0"/>
        <v>Fornecimento igual ao estimado mensalmente</v>
      </c>
      <c r="J42" s="609"/>
      <c r="K42" s="609"/>
      <c r="L42" s="75">
        <f t="shared" si="1"/>
        <v>8.3333333333333329E-2</v>
      </c>
      <c r="M42" s="76">
        <f>Insumos!E27</f>
        <v>1</v>
      </c>
      <c r="N42" s="77" t="str">
        <f>Insumos!F27</f>
        <v>Anual</v>
      </c>
      <c r="O42" s="78">
        <f t="shared" si="2"/>
        <v>12</v>
      </c>
    </row>
    <row r="43" spans="1:15" ht="24.75" hidden="1" customHeight="1" x14ac:dyDescent="0.3">
      <c r="A43" s="79">
        <v>20</v>
      </c>
      <c r="B43" s="608" t="str">
        <f>Insumos!B28</f>
        <v>Multiuso - 500 ml Veja ou similar</v>
      </c>
      <c r="C43" s="608"/>
      <c r="D43" s="608"/>
      <c r="E43" s="71" t="str">
        <f>Insumos!C28</f>
        <v>Unid.</v>
      </c>
      <c r="F43" s="72">
        <f>Insumos!D28</f>
        <v>0</v>
      </c>
      <c r="G43" s="73">
        <f t="shared" si="3"/>
        <v>20</v>
      </c>
      <c r="H43" s="74">
        <f>G43*Insumos!G28</f>
        <v>41.4</v>
      </c>
      <c r="I43" s="609" t="str">
        <f t="shared" si="0"/>
        <v>Fornecimento igual ao estimado mensalmente</v>
      </c>
      <c r="J43" s="609"/>
      <c r="K43" s="609"/>
      <c r="L43" s="75">
        <f t="shared" si="1"/>
        <v>20</v>
      </c>
      <c r="M43" s="76">
        <f>Insumos!E28</f>
        <v>20</v>
      </c>
      <c r="N43" s="77" t="str">
        <f>Insumos!F28</f>
        <v>Mensal</v>
      </c>
      <c r="O43" s="78">
        <f t="shared" si="2"/>
        <v>1</v>
      </c>
    </row>
    <row r="44" spans="1:15" ht="24" hidden="1" customHeight="1" x14ac:dyDescent="0.3">
      <c r="A44" s="79">
        <v>21</v>
      </c>
      <c r="B44" s="608" t="str">
        <f>Insumos!B29</f>
        <v>Pá p/ lixo em plástico resistente c/ cabo de madeira de 60cm de altura na vertical.</v>
      </c>
      <c r="C44" s="608"/>
      <c r="D44" s="608"/>
      <c r="E44" s="71" t="str">
        <f>Insumos!C29</f>
        <v>Unid.</v>
      </c>
      <c r="F44" s="72">
        <f>Insumos!D29</f>
        <v>0</v>
      </c>
      <c r="G44" s="73">
        <f t="shared" si="3"/>
        <v>0.66666666666666663</v>
      </c>
      <c r="H44" s="74">
        <f>G44*Insumos!G29</f>
        <v>4.3466666666666658</v>
      </c>
      <c r="I44" s="609" t="str">
        <f t="shared" si="0"/>
        <v>Fornecimento igual ao estimado mensalmente</v>
      </c>
      <c r="J44" s="609"/>
      <c r="K44" s="609"/>
      <c r="L44" s="75">
        <f t="shared" si="1"/>
        <v>0.66666666666666663</v>
      </c>
      <c r="M44" s="76">
        <f>Insumos!E29</f>
        <v>2</v>
      </c>
      <c r="N44" s="77" t="str">
        <f>Insumos!F29</f>
        <v>Trimestral</v>
      </c>
      <c r="O44" s="78">
        <f t="shared" si="2"/>
        <v>3</v>
      </c>
    </row>
    <row r="45" spans="1:15" ht="42.75" hidden="1" customHeight="1" x14ac:dyDescent="0.3">
      <c r="A45" s="79">
        <v>22</v>
      </c>
      <c r="B45" s="608" t="str">
        <f>Insumos!B30</f>
        <v>Papel higiênico branco, folha dupla, de alta qualidade, com dimensões 10cm X 30m, com a marca do fabricante e indicação na embalagem, absorvente e resistente, fardo com 64 rolos de 30 metros. Tipo Neve ou de melhor qualidade.</v>
      </c>
      <c r="C45" s="608"/>
      <c r="D45" s="608"/>
      <c r="E45" s="71" t="str">
        <f>Insumos!C30</f>
        <v>Fardo</v>
      </c>
      <c r="F45" s="72">
        <f>Insumos!D30</f>
        <v>0</v>
      </c>
      <c r="G45" s="73">
        <f t="shared" si="3"/>
        <v>2</v>
      </c>
      <c r="H45" s="74">
        <f>G45*Insumos!G30</f>
        <v>153.88</v>
      </c>
      <c r="I45" s="609" t="str">
        <f t="shared" si="0"/>
        <v>Fornecimento igual ao estimado mensalmente</v>
      </c>
      <c r="J45" s="609"/>
      <c r="K45" s="609"/>
      <c r="L45" s="75">
        <f t="shared" si="1"/>
        <v>2</v>
      </c>
      <c r="M45" s="76">
        <f>Insumos!E30</f>
        <v>2</v>
      </c>
      <c r="N45" s="77" t="str">
        <f>Insumos!F30</f>
        <v>Mensal</v>
      </c>
      <c r="O45" s="78">
        <f t="shared" si="2"/>
        <v>1</v>
      </c>
    </row>
    <row r="46" spans="1:15" ht="42" hidden="1" customHeight="1" x14ac:dyDescent="0.3">
      <c r="A46" s="79">
        <v>23</v>
      </c>
      <c r="B46" s="608" t="str">
        <f>Insumos!B31</f>
        <v>Papel Toalha Interfolhado, 2 dobras, 100% fibras celulósicas, branco extra luxo, sem pintas ou outros tipos de sujidades, boa qualidade , medindo aproximadamente 22cm x 20,7 cm , acondicionado em caixa c/1000 folhas.</v>
      </c>
      <c r="C46" s="608"/>
      <c r="D46" s="608"/>
      <c r="E46" s="71" t="str">
        <f>Insumos!C31</f>
        <v>Pacote</v>
      </c>
      <c r="F46" s="72" t="str">
        <f>Insumos!D31</f>
        <v>Economy ou Similar</v>
      </c>
      <c r="G46" s="73">
        <f t="shared" si="3"/>
        <v>30</v>
      </c>
      <c r="H46" s="74">
        <f>G46*Insumos!G31</f>
        <v>937.5</v>
      </c>
      <c r="I46" s="609" t="str">
        <f t="shared" si="0"/>
        <v>Fornecimento igual ao estimado mensalmente</v>
      </c>
      <c r="J46" s="609"/>
      <c r="K46" s="609"/>
      <c r="L46" s="75">
        <f t="shared" si="1"/>
        <v>30</v>
      </c>
      <c r="M46" s="76">
        <f>Insumos!E31</f>
        <v>30</v>
      </c>
      <c r="N46" s="77" t="str">
        <f>Insumos!F31</f>
        <v>Mensal</v>
      </c>
      <c r="O46" s="78">
        <f t="shared" si="2"/>
        <v>1</v>
      </c>
    </row>
    <row r="47" spans="1:15" ht="23.25" hidden="1" customHeight="1" x14ac:dyDescent="0.3">
      <c r="A47" s="79">
        <v>24</v>
      </c>
      <c r="B47" s="608" t="str">
        <f>Insumos!B32</f>
        <v>Pedra sanitária c/ 25g - com suporte para fixar no vaso sanitário. Desinfetante sanitário em pedra 25 g</v>
      </c>
      <c r="C47" s="608"/>
      <c r="D47" s="608"/>
      <c r="E47" s="71" t="str">
        <f>Insumos!C32</f>
        <v>Unid.</v>
      </c>
      <c r="F47" s="72">
        <f>Insumos!D32</f>
        <v>0</v>
      </c>
      <c r="G47" s="73">
        <f t="shared" si="3"/>
        <v>25</v>
      </c>
      <c r="H47" s="74">
        <f>G47*Insumos!G32</f>
        <v>54.500000000000007</v>
      </c>
      <c r="I47" s="609" t="str">
        <f t="shared" si="0"/>
        <v>Fornecimento igual ao estimado mensalmente</v>
      </c>
      <c r="J47" s="609"/>
      <c r="K47" s="609"/>
      <c r="L47" s="75">
        <f t="shared" si="1"/>
        <v>25</v>
      </c>
      <c r="M47" s="76">
        <f>Insumos!E32</f>
        <v>25</v>
      </c>
      <c r="N47" s="77" t="str">
        <f>Insumos!F32</f>
        <v>Mensal</v>
      </c>
      <c r="O47" s="78">
        <f t="shared" si="2"/>
        <v>1</v>
      </c>
    </row>
    <row r="48" spans="1:15" ht="40.5" hidden="1" customHeight="1" x14ac:dyDescent="0.3">
      <c r="A48" s="79">
        <v>25</v>
      </c>
      <c r="B48" s="608" t="str">
        <f>Insumos!B33</f>
        <v>Rodo Plástico e borracha dupla expandida de 40cm de largura, acompanha cabo de madeira plastificado de aproximadamente 1,26m, com garras pontiagudas nas laterais para melhor fixar panos de chão.</v>
      </c>
      <c r="C48" s="608"/>
      <c r="D48" s="608"/>
      <c r="E48" s="71" t="str">
        <f>Insumos!C33</f>
        <v>Unid.</v>
      </c>
      <c r="F48" s="72">
        <f>Insumos!D33</f>
        <v>0</v>
      </c>
      <c r="G48" s="73">
        <f t="shared" si="3"/>
        <v>0.66666666666666663</v>
      </c>
      <c r="H48" s="74">
        <f>G48*Insumos!G33</f>
        <v>7.5733333333333324</v>
      </c>
      <c r="I48" s="609" t="str">
        <f t="shared" si="0"/>
        <v>Fornecimento igual ao estimado mensalmente</v>
      </c>
      <c r="J48" s="609"/>
      <c r="K48" s="609"/>
      <c r="L48" s="75">
        <f t="shared" si="1"/>
        <v>0.66666666666666663</v>
      </c>
      <c r="M48" s="76">
        <f>Insumos!E33</f>
        <v>2</v>
      </c>
      <c r="N48" s="77" t="str">
        <f>Insumos!F33</f>
        <v>Trimestral</v>
      </c>
      <c r="O48" s="78">
        <f t="shared" si="2"/>
        <v>3</v>
      </c>
    </row>
    <row r="49" spans="1:15" ht="40.5" hidden="1" customHeight="1" x14ac:dyDescent="0.3">
      <c r="A49" s="79">
        <v>26</v>
      </c>
      <c r="B49" s="608" t="str">
        <f>Insumos!B34</f>
        <v>Rodo Plástico e borracha dupla expandida de 60cm, resistente e durável, que puxa e seca a água, feita em EVA e cepo em polipropileno com garras pontiagudas nas laterais para melhor fixar panos de chão.</v>
      </c>
      <c r="C49" s="608"/>
      <c r="D49" s="608"/>
      <c r="E49" s="71" t="str">
        <f>Insumos!C34</f>
        <v>Unid.</v>
      </c>
      <c r="F49" s="72">
        <f>Insumos!D34</f>
        <v>0</v>
      </c>
      <c r="G49" s="73">
        <f t="shared" si="3"/>
        <v>0.66666666666666663</v>
      </c>
      <c r="H49" s="74">
        <f>G49*Insumos!G34</f>
        <v>11.84</v>
      </c>
      <c r="I49" s="609" t="str">
        <f t="shared" si="0"/>
        <v>Fornecimento igual ao estimado mensalmente</v>
      </c>
      <c r="J49" s="609"/>
      <c r="K49" s="609"/>
      <c r="L49" s="75">
        <f t="shared" si="1"/>
        <v>0.66666666666666663</v>
      </c>
      <c r="M49" s="76">
        <f>Insumos!E34</f>
        <v>2</v>
      </c>
      <c r="N49" s="77" t="str">
        <f>Insumos!F34</f>
        <v>Trimestral</v>
      </c>
      <c r="O49" s="78">
        <f t="shared" si="2"/>
        <v>3</v>
      </c>
    </row>
    <row r="50" spans="1:15" ht="23.25" hidden="1" customHeight="1" x14ac:dyDescent="0.3">
      <c r="A50" s="79">
        <v>27</v>
      </c>
      <c r="B50" s="608" t="str">
        <f>Insumos!B35</f>
        <v>Sabão em barra glicerinado - cor neutra. Pacote com 5 de 200g cada unidade</v>
      </c>
      <c r="C50" s="608"/>
      <c r="D50" s="608"/>
      <c r="E50" s="71" t="str">
        <f>Insumos!C35</f>
        <v>pacote</v>
      </c>
      <c r="F50" s="72">
        <f>Insumos!D35</f>
        <v>0</v>
      </c>
      <c r="G50" s="73">
        <f t="shared" si="3"/>
        <v>2</v>
      </c>
      <c r="H50" s="74">
        <f>G50*Insumos!G35</f>
        <v>17.420000000000002</v>
      </c>
      <c r="I50" s="609" t="str">
        <f t="shared" si="0"/>
        <v>Fornecimento igual ao estimado mensalmente</v>
      </c>
      <c r="J50" s="609"/>
      <c r="K50" s="609"/>
      <c r="L50" s="75">
        <f t="shared" si="1"/>
        <v>2</v>
      </c>
      <c r="M50" s="76">
        <f>Insumos!E35</f>
        <v>2</v>
      </c>
      <c r="N50" s="77" t="str">
        <f>Insumos!F35</f>
        <v>Mensal</v>
      </c>
      <c r="O50" s="78">
        <f t="shared" si="2"/>
        <v>1</v>
      </c>
    </row>
    <row r="51" spans="1:15" ht="23.25" hidden="1" customHeight="1" x14ac:dyDescent="0.3">
      <c r="A51" s="79">
        <v>28</v>
      </c>
      <c r="B51" s="608" t="str">
        <f>Insumos!B36</f>
        <v>Sabão em pó 2 Kg. Sabão em pó, convencional, de primeira linha. Para lavar roupas e limpeza em geral.</v>
      </c>
      <c r="C51" s="608"/>
      <c r="D51" s="608"/>
      <c r="E51" s="71" t="str">
        <f>Insumos!C36</f>
        <v>Unid.</v>
      </c>
      <c r="F51" s="72">
        <f>Insumos!D36</f>
        <v>0</v>
      </c>
      <c r="G51" s="73">
        <f t="shared" si="3"/>
        <v>3</v>
      </c>
      <c r="H51" s="74">
        <f>G51*Insumos!G36</f>
        <v>67.710000000000008</v>
      </c>
      <c r="I51" s="609" t="str">
        <f t="shared" si="0"/>
        <v>Fornecimento igual ao estimado mensalmente</v>
      </c>
      <c r="J51" s="609"/>
      <c r="K51" s="609"/>
      <c r="L51" s="75">
        <f t="shared" si="1"/>
        <v>3</v>
      </c>
      <c r="M51" s="76">
        <f>Insumos!E36</f>
        <v>3</v>
      </c>
      <c r="N51" s="77" t="str">
        <f>Insumos!F36</f>
        <v>Mensal</v>
      </c>
      <c r="O51" s="78">
        <f t="shared" si="2"/>
        <v>1</v>
      </c>
    </row>
    <row r="52" spans="1:15" ht="23.25" hidden="1" customHeight="1" x14ac:dyDescent="0.3">
      <c r="A52" s="79">
        <v>29</v>
      </c>
      <c r="B52" s="608" t="str">
        <f>Insumos!B37</f>
        <v>Sabonete líquido Concentrado, cremoso perolizado, pronto pra uso, aroma erva-doce, lavanda ou similar, galão de 05 litros.</v>
      </c>
      <c r="C52" s="608"/>
      <c r="D52" s="608"/>
      <c r="E52" s="71" t="str">
        <f>Insumos!C37</f>
        <v>Galão</v>
      </c>
      <c r="F52" s="72">
        <f>Insumos!D37</f>
        <v>0</v>
      </c>
      <c r="G52" s="73">
        <f t="shared" si="3"/>
        <v>3</v>
      </c>
      <c r="H52" s="74">
        <f>G52*Insumos!G37</f>
        <v>65.760000000000005</v>
      </c>
      <c r="I52" s="609" t="str">
        <f t="shared" si="0"/>
        <v>Fornecimento igual ao estimado mensalmente</v>
      </c>
      <c r="J52" s="609"/>
      <c r="K52" s="609"/>
      <c r="L52" s="75">
        <f t="shared" si="1"/>
        <v>3</v>
      </c>
      <c r="M52" s="76">
        <f>Insumos!E37</f>
        <v>3</v>
      </c>
      <c r="N52" s="77" t="str">
        <f>Insumos!F37</f>
        <v>Mensal</v>
      </c>
      <c r="O52" s="78">
        <f t="shared" si="2"/>
        <v>1</v>
      </c>
    </row>
    <row r="53" spans="1:15" ht="24" hidden="1" customHeight="1" x14ac:dyDescent="0.3">
      <c r="A53" s="79">
        <v>30</v>
      </c>
      <c r="B53" s="608" t="str">
        <f>Insumos!B38</f>
        <v>Saco de Algodão Tipo: Alvejado, Tamanho: 60 X 80 CM, Cor: Branco, Características Adicionais: Dupla Face</v>
      </c>
      <c r="C53" s="608"/>
      <c r="D53" s="608"/>
      <c r="E53" s="71" t="str">
        <f>Insumos!C38</f>
        <v>Unid.</v>
      </c>
      <c r="F53" s="72">
        <f>Insumos!D38</f>
        <v>0</v>
      </c>
      <c r="G53" s="73">
        <f t="shared" si="3"/>
        <v>9</v>
      </c>
      <c r="H53" s="74">
        <f>G53*Insumos!G38</f>
        <v>56.160000000000004</v>
      </c>
      <c r="I53" s="609" t="str">
        <f t="shared" si="0"/>
        <v>Fornecimento igual ao estimado mensalmente</v>
      </c>
      <c r="J53" s="609"/>
      <c r="K53" s="609"/>
      <c r="L53" s="75">
        <f t="shared" si="1"/>
        <v>9</v>
      </c>
      <c r="M53" s="76">
        <f>Insumos!E38</f>
        <v>9</v>
      </c>
      <c r="N53" s="77" t="str">
        <f>Insumos!F38</f>
        <v>Mensal</v>
      </c>
      <c r="O53" s="78">
        <f t="shared" si="2"/>
        <v>1</v>
      </c>
    </row>
    <row r="54" spans="1:15" ht="44.25" hidden="1" customHeight="1" x14ac:dyDescent="0.3">
      <c r="A54" s="79">
        <v>31</v>
      </c>
      <c r="B54" s="608" t="str">
        <f>Insumos!B39</f>
        <v>Saco plástico reforçado para lixo em polietileno, com capacidade de 100 litros, com estanqueidade suficiente para que não haja vazamento de lixo líquido. com espessura mínima de 10 micra, na cor preta. Pacote com 100 unidades.</v>
      </c>
      <c r="C54" s="608"/>
      <c r="D54" s="608"/>
      <c r="E54" s="71" t="str">
        <f>Insumos!C39</f>
        <v>Cento</v>
      </c>
      <c r="F54" s="72">
        <f>Insumos!D39</f>
        <v>0</v>
      </c>
      <c r="G54" s="73">
        <f t="shared" si="3"/>
        <v>2</v>
      </c>
      <c r="H54" s="74">
        <f>G54*Insumos!G39</f>
        <v>72.400000000000006</v>
      </c>
      <c r="I54" s="609" t="str">
        <f t="shared" si="0"/>
        <v>Fornecimento igual ao estimado mensalmente</v>
      </c>
      <c r="J54" s="609"/>
      <c r="K54" s="609"/>
      <c r="L54" s="75">
        <f t="shared" si="1"/>
        <v>2</v>
      </c>
      <c r="M54" s="76">
        <f>Insumos!E39</f>
        <v>2</v>
      </c>
      <c r="N54" s="77" t="str">
        <f>Insumos!F39</f>
        <v>Mensal</v>
      </c>
      <c r="O54" s="78">
        <f t="shared" si="2"/>
        <v>1</v>
      </c>
    </row>
    <row r="55" spans="1:15" ht="38.25" hidden="1" customHeight="1" x14ac:dyDescent="0.3">
      <c r="A55" s="79">
        <v>32</v>
      </c>
      <c r="B55" s="608" t="str">
        <f>Insumos!B40</f>
        <v>Saco plástico reforçado para lixo em polietileno, com capacidade de 20 litros, com estanqueidade suficiente para que não haja vazamento de lixo líquido. com espessura mínima de 09 micra, na cor preta. Pacote com 100 unidades.</v>
      </c>
      <c r="C55" s="608"/>
      <c r="D55" s="608"/>
      <c r="E55" s="71" t="str">
        <f>Insumos!C40</f>
        <v>Cento</v>
      </c>
      <c r="F55" s="72">
        <f>Insumos!D40</f>
        <v>0</v>
      </c>
      <c r="G55" s="73">
        <f t="shared" si="3"/>
        <v>4</v>
      </c>
      <c r="H55" s="74">
        <f>G55*Insumos!G40</f>
        <v>36.119999999999997</v>
      </c>
      <c r="I55" s="609" t="str">
        <f t="shared" si="0"/>
        <v>Fornecimento igual ao estimado mensalmente</v>
      </c>
      <c r="J55" s="609"/>
      <c r="K55" s="609"/>
      <c r="L55" s="75">
        <f t="shared" si="1"/>
        <v>4</v>
      </c>
      <c r="M55" s="76">
        <f>Insumos!E40</f>
        <v>4</v>
      </c>
      <c r="N55" s="77" t="str">
        <f>Insumos!F40</f>
        <v>Mensal</v>
      </c>
      <c r="O55" s="78">
        <f t="shared" si="2"/>
        <v>1</v>
      </c>
    </row>
    <row r="56" spans="1:15" ht="26.25" hidden="1" customHeight="1" x14ac:dyDescent="0.3">
      <c r="A56" s="79">
        <v>33</v>
      </c>
      <c r="B56" s="608" t="str">
        <f>Insumos!B41</f>
        <v>Sapólio líquido 300 ml</v>
      </c>
      <c r="C56" s="608"/>
      <c r="D56" s="608"/>
      <c r="E56" s="71" t="str">
        <f>Insumos!C41</f>
        <v>Unid.</v>
      </c>
      <c r="F56" s="72" t="str">
        <f>Insumos!D41</f>
        <v>Radium ou similar</v>
      </c>
      <c r="G56" s="73">
        <f t="shared" si="3"/>
        <v>1</v>
      </c>
      <c r="H56" s="74">
        <f>G56*Insumos!G41</f>
        <v>4.71</v>
      </c>
      <c r="I56" s="609" t="str">
        <f t="shared" si="0"/>
        <v>Fornecimento igual ao estimado mensalmente</v>
      </c>
      <c r="J56" s="609"/>
      <c r="K56" s="609"/>
      <c r="L56" s="75">
        <f t="shared" si="1"/>
        <v>1</v>
      </c>
      <c r="M56" s="76">
        <f>Insumos!E41</f>
        <v>1</v>
      </c>
      <c r="N56" s="77" t="str">
        <f>Insumos!F41</f>
        <v>Mensal</v>
      </c>
      <c r="O56" s="78">
        <f t="shared" si="2"/>
        <v>1</v>
      </c>
    </row>
    <row r="57" spans="1:15" ht="24" hidden="1" customHeight="1" x14ac:dyDescent="0.3">
      <c r="A57" s="79">
        <v>34</v>
      </c>
      <c r="B57" s="608" t="str">
        <f>Insumos!B42</f>
        <v>Vassoura limpa teto, com cerdas macias de sisal e cabo de madeira de 2,70 metros. Ideal para uso na limpeza de locais de difícil acesso.</v>
      </c>
      <c r="C57" s="608"/>
      <c r="D57" s="608"/>
      <c r="E57" s="71" t="str">
        <f>Insumos!C42</f>
        <v>Unid.</v>
      </c>
      <c r="F57" s="72">
        <f>Insumos!D42</f>
        <v>0</v>
      </c>
      <c r="G57" s="73">
        <f t="shared" si="3"/>
        <v>0.16666666666666666</v>
      </c>
      <c r="H57" s="74">
        <f>G57*Insumos!G42</f>
        <v>4.6466666666666665</v>
      </c>
      <c r="I57" s="609" t="str">
        <f t="shared" si="0"/>
        <v>Fornecimento igual ao estimado mensalmente</v>
      </c>
      <c r="J57" s="609"/>
      <c r="K57" s="609"/>
      <c r="L57" s="75">
        <f t="shared" si="1"/>
        <v>0.16666666666666666</v>
      </c>
      <c r="M57" s="76">
        <f>Insumos!E42</f>
        <v>1</v>
      </c>
      <c r="N57" s="77" t="str">
        <f>Insumos!F42</f>
        <v>Semestral</v>
      </c>
      <c r="O57" s="78">
        <f t="shared" si="2"/>
        <v>6</v>
      </c>
    </row>
    <row r="58" spans="1:15" ht="21.75" hidden="1" customHeight="1" x14ac:dyDescent="0.3">
      <c r="A58" s="79">
        <v>35</v>
      </c>
      <c r="B58" s="608" t="str">
        <f>Insumos!B43</f>
        <v>Vassoura Material Cerdas: Pêlo Sintético, Comprimento Cepa: 40 CM, Tipo Cabo: Reforçado, Material Cabo: Madeira, Cabo de 1,2m</v>
      </c>
      <c r="C58" s="608"/>
      <c r="D58" s="608"/>
      <c r="E58" s="71" t="str">
        <f>Insumos!C43</f>
        <v>Unid.</v>
      </c>
      <c r="F58" s="72">
        <f>Insumos!D43</f>
        <v>0</v>
      </c>
      <c r="G58" s="73">
        <f t="shared" si="3"/>
        <v>0.33333333333333331</v>
      </c>
      <c r="H58" s="74">
        <f>G58*Insumos!G43</f>
        <v>5.543333333333333</v>
      </c>
      <c r="I58" s="609" t="str">
        <f t="shared" si="0"/>
        <v>Fornecimento igual ao estimado mensalmente</v>
      </c>
      <c r="J58" s="609"/>
      <c r="K58" s="609"/>
      <c r="L58" s="75">
        <f t="shared" si="1"/>
        <v>0.33333333333333331</v>
      </c>
      <c r="M58" s="76">
        <f>Insumos!E43</f>
        <v>1</v>
      </c>
      <c r="N58" s="77" t="str">
        <f>Insumos!F43</f>
        <v>Trimestral</v>
      </c>
      <c r="O58" s="78">
        <f t="shared" si="2"/>
        <v>3</v>
      </c>
    </row>
    <row r="59" spans="1:15" ht="41.25" hidden="1" customHeight="1" x14ac:dyDescent="0.3">
      <c r="A59" s="79">
        <v>36</v>
      </c>
      <c r="B59" s="608" t="str">
        <f>Insumos!B44</f>
        <v>Vassoura Material Cerdas: Piaçava, Aplicação: Limpeza, Material Cepa: Madeira, Comprimento Cepa: 40 CM, Comprimento Cerdas: 13 CM, Largura Cepa: 5 CM, Altura Cepa: 4 CM, Material Cabo: Madeira cabo de 1,2m</v>
      </c>
      <c r="C59" s="608"/>
      <c r="D59" s="608"/>
      <c r="E59" s="71" t="str">
        <f>Insumos!C44</f>
        <v>Unid.</v>
      </c>
      <c r="F59" s="72">
        <f>Insumos!D44</f>
        <v>0</v>
      </c>
      <c r="G59" s="73">
        <f t="shared" si="3"/>
        <v>0.66666666666666663</v>
      </c>
      <c r="H59" s="74">
        <f>G59*Insumos!G44</f>
        <v>8.98</v>
      </c>
      <c r="I59" s="609" t="str">
        <f t="shared" si="0"/>
        <v>Fornecimento igual ao estimado mensalmente</v>
      </c>
      <c r="J59" s="609"/>
      <c r="K59" s="609"/>
      <c r="L59" s="75">
        <f t="shared" si="1"/>
        <v>0.66666666666666663</v>
      </c>
      <c r="M59" s="76">
        <f>Insumos!E44</f>
        <v>2</v>
      </c>
      <c r="N59" s="77" t="str">
        <f>Insumos!F44</f>
        <v>Trimestral</v>
      </c>
      <c r="O59" s="78">
        <f t="shared" si="2"/>
        <v>3</v>
      </c>
    </row>
    <row r="60" spans="1:15" ht="21.75" hidden="1" customHeight="1" x14ac:dyDescent="0.3">
      <c r="A60" s="79">
        <v>37</v>
      </c>
      <c r="B60" s="608" t="str">
        <f>Insumos!B45</f>
        <v>Escova Sanitária Redonda em plástico Branco contendo 01 escova para vaso sanitário e 01 suporte redondo: Branco Tamanho: 14 x 42 cm</v>
      </c>
      <c r="C60" s="608"/>
      <c r="D60" s="608"/>
      <c r="E60" s="71" t="str">
        <f>Insumos!C45</f>
        <v>Unid.</v>
      </c>
      <c r="F60" s="72">
        <f>Insumos!D45</f>
        <v>0</v>
      </c>
      <c r="G60" s="73">
        <f t="shared" si="3"/>
        <v>0.66666666666666663</v>
      </c>
      <c r="H60" s="74">
        <f>G60*Insumos!G45</f>
        <v>6.8599999999999994</v>
      </c>
      <c r="I60" s="609" t="str">
        <f t="shared" si="0"/>
        <v>Fornecimento igual ao estimado mensalmente</v>
      </c>
      <c r="J60" s="609"/>
      <c r="K60" s="609"/>
      <c r="L60" s="75">
        <f t="shared" si="1"/>
        <v>0.66666666666666663</v>
      </c>
      <c r="M60" s="76">
        <f>Insumos!E45</f>
        <v>2</v>
      </c>
      <c r="N60" s="77" t="str">
        <f>Insumos!F45</f>
        <v>Trimestral</v>
      </c>
      <c r="O60" s="78">
        <f t="shared" si="2"/>
        <v>3</v>
      </c>
    </row>
    <row r="61" spans="1:15" ht="15" hidden="1" customHeight="1" x14ac:dyDescent="0.3">
      <c r="A61" s="610" t="s">
        <v>63</v>
      </c>
      <c r="B61" s="610"/>
      <c r="C61" s="610"/>
      <c r="D61" s="610"/>
      <c r="E61" s="610"/>
      <c r="F61" s="610"/>
      <c r="G61" s="610"/>
      <c r="H61" s="81">
        <f>ROUND(SUM(H24:H60),2)</f>
        <v>2386.8000000000002</v>
      </c>
      <c r="I61" s="82"/>
      <c r="J61" s="82"/>
      <c r="K61" s="1"/>
      <c r="L61" s="1"/>
      <c r="M61" s="1"/>
      <c r="N61" s="83"/>
      <c r="O61" s="65"/>
    </row>
    <row r="62" spans="1:15" ht="15" hidden="1" customHeight="1" x14ac:dyDescent="0.3">
      <c r="A62" s="611" t="s">
        <v>64</v>
      </c>
      <c r="B62" s="611"/>
      <c r="C62" s="611"/>
      <c r="D62" s="611"/>
      <c r="E62" s="611"/>
      <c r="F62" s="611"/>
      <c r="G62" s="84">
        <f>Dados!G42</f>
        <v>1.7100000000000001E-2</v>
      </c>
      <c r="H62" s="85">
        <f>ROUND((H61*G62),2)</f>
        <v>40.81</v>
      </c>
      <c r="I62" s="82"/>
      <c r="J62" s="82"/>
      <c r="K62" s="1"/>
      <c r="L62" s="1"/>
      <c r="M62" s="1"/>
      <c r="N62" s="83"/>
      <c r="O62" s="65"/>
    </row>
    <row r="63" spans="1:15" ht="15" hidden="1" customHeight="1" x14ac:dyDescent="0.3">
      <c r="A63" s="611" t="s">
        <v>65</v>
      </c>
      <c r="B63" s="611"/>
      <c r="C63" s="611"/>
      <c r="D63" s="611"/>
      <c r="E63" s="611"/>
      <c r="F63" s="611"/>
      <c r="G63" s="84">
        <f>Dados!G43</f>
        <v>1.7000000000000001E-2</v>
      </c>
      <c r="H63" s="85">
        <f>ROUND((SUM(H61:H62)*G63),2)</f>
        <v>41.27</v>
      </c>
      <c r="I63" s="82"/>
      <c r="J63" s="82"/>
      <c r="K63" s="1"/>
      <c r="L63" s="1"/>
      <c r="M63" s="1"/>
      <c r="N63" s="83"/>
      <c r="O63" s="65"/>
    </row>
    <row r="64" spans="1:15" ht="15" hidden="1" customHeight="1" x14ac:dyDescent="0.3">
      <c r="A64" s="611" t="s">
        <v>66</v>
      </c>
      <c r="B64" s="611"/>
      <c r="C64" s="611"/>
      <c r="D64" s="611"/>
      <c r="E64" s="611"/>
      <c r="F64" s="611"/>
      <c r="G64" s="84">
        <f>Dados!G54</f>
        <v>6.6500000000000004E-2</v>
      </c>
      <c r="H64" s="85">
        <f>ROUND((H65*G64),2)</f>
        <v>175.88</v>
      </c>
      <c r="I64" s="82"/>
      <c r="J64" s="82"/>
      <c r="K64" s="1"/>
      <c r="L64" s="1"/>
      <c r="M64" s="1"/>
      <c r="N64" s="83"/>
      <c r="O64" s="65"/>
    </row>
    <row r="65" spans="1:21" ht="15.75" hidden="1" customHeight="1" x14ac:dyDescent="0.3">
      <c r="A65" s="612" t="s">
        <v>584</v>
      </c>
      <c r="B65" s="612"/>
      <c r="C65" s="612"/>
      <c r="D65" s="612"/>
      <c r="E65" s="612"/>
      <c r="F65" s="612"/>
      <c r="G65" s="612"/>
      <c r="H65" s="86">
        <f>ROUND((SUM(H61:H63)/(1-G64)),2)</f>
        <v>2644.76</v>
      </c>
      <c r="I65" s="82"/>
      <c r="J65" s="82"/>
      <c r="K65" s="1"/>
      <c r="L65" s="1"/>
      <c r="M65" s="1"/>
      <c r="N65" s="83"/>
      <c r="O65" s="65"/>
    </row>
    <row r="66" spans="1:21" ht="14.4" hidden="1" x14ac:dyDescent="0.3">
      <c r="A66" s="87"/>
      <c r="B66" s="65"/>
      <c r="C66" s="65"/>
      <c r="D66" s="65"/>
      <c r="E66" s="65"/>
      <c r="F66" s="65"/>
      <c r="G66" s="87"/>
      <c r="H66" s="65"/>
      <c r="I66" s="83"/>
      <c r="J66" s="83"/>
      <c r="K66" s="1"/>
      <c r="L66" s="1"/>
      <c r="M66" s="1"/>
      <c r="N66" s="65"/>
      <c r="O66" s="65"/>
    </row>
    <row r="67" spans="1:21" ht="21" hidden="1" customHeight="1" x14ac:dyDescent="0.3">
      <c r="A67" s="603" t="s">
        <v>52</v>
      </c>
      <c r="B67" s="613" t="s">
        <v>585</v>
      </c>
      <c r="C67" s="613"/>
      <c r="D67" s="613"/>
      <c r="E67" s="613"/>
      <c r="F67" s="614" t="s">
        <v>53</v>
      </c>
      <c r="G67" s="614"/>
      <c r="H67" s="614"/>
      <c r="I67" s="606" t="s">
        <v>588</v>
      </c>
      <c r="J67" s="606"/>
      <c r="K67" s="606"/>
      <c r="L67" s="615" t="s">
        <v>54</v>
      </c>
      <c r="M67" s="615"/>
      <c r="N67" s="615"/>
      <c r="O67" s="615"/>
      <c r="U67" s="1"/>
    </row>
    <row r="68" spans="1:21" ht="38.25" hidden="1" customHeight="1" x14ac:dyDescent="0.3">
      <c r="A68" s="603"/>
      <c r="B68" s="601" t="s">
        <v>586</v>
      </c>
      <c r="C68" s="601"/>
      <c r="D68" s="601"/>
      <c r="E68" s="59" t="s">
        <v>55</v>
      </c>
      <c r="F68" s="59" t="s">
        <v>56</v>
      </c>
      <c r="G68" s="59" t="s">
        <v>57</v>
      </c>
      <c r="H68" s="69" t="s">
        <v>58</v>
      </c>
      <c r="I68" s="606"/>
      <c r="J68" s="606"/>
      <c r="K68" s="606"/>
      <c r="L68" s="66" t="s">
        <v>59</v>
      </c>
      <c r="M68" s="67" t="s">
        <v>60</v>
      </c>
      <c r="N68" s="67" t="s">
        <v>61</v>
      </c>
      <c r="O68" s="68" t="s">
        <v>62</v>
      </c>
      <c r="U68" s="1"/>
    </row>
    <row r="69" spans="1:21" ht="42" hidden="1" customHeight="1" x14ac:dyDescent="0.3">
      <c r="A69" s="88">
        <v>1</v>
      </c>
      <c r="B69" s="608" t="str">
        <f>Insumos!B52</f>
        <v>Balde plástico em polietileno de alta densidade, alta resistência a impacto, com paredes e fundo reforçados, com reforço no encaixe da alça de aço zincado constando no corpo a marcado fabricante, capacidade de 20 litros.</v>
      </c>
      <c r="C69" s="608"/>
      <c r="D69" s="608"/>
      <c r="E69" s="89" t="str">
        <f>Insumos!C52</f>
        <v>unid.</v>
      </c>
      <c r="F69" s="90">
        <f>Insumos!D52</f>
        <v>0</v>
      </c>
      <c r="G69" s="73">
        <f>L69</f>
        <v>0.33333333333333331</v>
      </c>
      <c r="H69" s="74">
        <f>G69*Insumos!G52</f>
        <v>6.2566666666666659</v>
      </c>
      <c r="I69" s="609" t="str">
        <f t="shared" ref="I69:I89" si="4">IF(G69&lt;L69,"Fornecimento inferior ao estimado mensalmente",IF(G69=L69,"Fornecimento igual ao estimado mensalmente",IF(G69&gt;L69,"Fornecimento superior ao estimado mensalmente",)))</f>
        <v>Fornecimento igual ao estimado mensalmente</v>
      </c>
      <c r="J69" s="609"/>
      <c r="K69" s="609"/>
      <c r="L69" s="75">
        <f t="shared" ref="L69:L89" si="5">M69/O69</f>
        <v>0.33333333333333331</v>
      </c>
      <c r="M69" s="91">
        <f>Insumos!E52</f>
        <v>1</v>
      </c>
      <c r="N69" s="91" t="str">
        <f>Insumos!F52</f>
        <v>Trimestral</v>
      </c>
      <c r="O69" s="78">
        <f t="shared" ref="O69:O89" si="6">IF(N69="MENSAL",1,IF(N69="BIMESTRAL",2,IF(N69="TRIMESTRAL",3,IF(N69="QUADRIMESTRAL",4,IF(N69="SEMESTRAL",6,IF(N69="ANUAL",12,IF(N69="BIENAL",24,"")))))))</f>
        <v>3</v>
      </c>
    </row>
    <row r="70" spans="1:21" ht="94.5" hidden="1" customHeight="1" x14ac:dyDescent="0.3">
      <c r="A70" s="88">
        <v>2</v>
      </c>
      <c r="B70" s="608" t="str">
        <f>Insumos!B53</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70" s="608"/>
      <c r="D70" s="608"/>
      <c r="E70" s="89" t="str">
        <f>Insumos!C53</f>
        <v>unid</v>
      </c>
      <c r="F70" s="90">
        <f>Insumos!D53</f>
        <v>0</v>
      </c>
      <c r="G70" s="73">
        <f t="shared" ref="G70:G89" si="7">L70</f>
        <v>0.33333333333333331</v>
      </c>
      <c r="H70" s="74">
        <f>G70*Insumos!G53</f>
        <v>1.42</v>
      </c>
      <c r="I70" s="609" t="str">
        <f t="shared" si="4"/>
        <v>Fornecimento igual ao estimado mensalmente</v>
      </c>
      <c r="J70" s="609"/>
      <c r="K70" s="609"/>
      <c r="L70" s="75">
        <f t="shared" si="5"/>
        <v>0.33333333333333331</v>
      </c>
      <c r="M70" s="91">
        <f>Insumos!E53</f>
        <v>1</v>
      </c>
      <c r="N70" s="91" t="str">
        <f>Insumos!F53</f>
        <v>Trimestral</v>
      </c>
      <c r="O70" s="78">
        <f t="shared" si="6"/>
        <v>3</v>
      </c>
    </row>
    <row r="71" spans="1:21" ht="30.75" hidden="1" customHeight="1" x14ac:dyDescent="0.3">
      <c r="A71" s="88">
        <v>3</v>
      </c>
      <c r="B71" s="608" t="str">
        <f>Insumos!B54</f>
        <v>Cloro liquido concentrado com teor ativo de no minimo 10 a 12% para limpeza pesada embalagem com 5 litros</v>
      </c>
      <c r="C71" s="608"/>
      <c r="D71" s="608"/>
      <c r="E71" s="89" t="str">
        <f>Insumos!C54</f>
        <v>galão</v>
      </c>
      <c r="F71" s="90">
        <f>Insumos!D54</f>
        <v>0</v>
      </c>
      <c r="G71" s="73">
        <f t="shared" si="7"/>
        <v>1</v>
      </c>
      <c r="H71" s="74">
        <f>G71*Insumos!G54</f>
        <v>31.71</v>
      </c>
      <c r="I71" s="609" t="str">
        <f t="shared" si="4"/>
        <v>Fornecimento igual ao estimado mensalmente</v>
      </c>
      <c r="J71" s="609"/>
      <c r="K71" s="609"/>
      <c r="L71" s="75">
        <f t="shared" si="5"/>
        <v>1</v>
      </c>
      <c r="M71" s="91">
        <f>Insumos!E54</f>
        <v>1</v>
      </c>
      <c r="N71" s="91" t="str">
        <f>Insumos!F54</f>
        <v>Mensal</v>
      </c>
      <c r="O71" s="78">
        <f t="shared" si="6"/>
        <v>1</v>
      </c>
    </row>
    <row r="72" spans="1:21" ht="41.25" hidden="1" customHeight="1" x14ac:dyDescent="0.3">
      <c r="A72" s="88">
        <v>4</v>
      </c>
      <c r="B72" s="608" t="str">
        <f>Insumos!B55</f>
        <v>Coador de Café. Especificação: Em pano 100% algodão, Café n°102, cabo 16 cm de comprimento feito de arame de aço galvanizado revestido com PVC. O rótulo do produto deve estampar o nome do fabricante.</v>
      </c>
      <c r="C72" s="608"/>
      <c r="D72" s="608"/>
      <c r="E72" s="89" t="str">
        <f>Insumos!C55</f>
        <v>unid</v>
      </c>
      <c r="F72" s="90">
        <f>Insumos!D55</f>
        <v>0</v>
      </c>
      <c r="G72" s="73">
        <f t="shared" si="7"/>
        <v>3</v>
      </c>
      <c r="H72" s="74">
        <f>G72*Insumos!G55</f>
        <v>27.089999999999996</v>
      </c>
      <c r="I72" s="609" t="str">
        <f t="shared" si="4"/>
        <v>Fornecimento igual ao estimado mensalmente</v>
      </c>
      <c r="J72" s="609"/>
      <c r="K72" s="609"/>
      <c r="L72" s="75">
        <f t="shared" si="5"/>
        <v>3</v>
      </c>
      <c r="M72" s="91">
        <f>Insumos!E55</f>
        <v>3</v>
      </c>
      <c r="N72" s="91" t="str">
        <f>Insumos!F55</f>
        <v>Mensal</v>
      </c>
      <c r="O72" s="78">
        <f t="shared" si="6"/>
        <v>1</v>
      </c>
    </row>
    <row r="73" spans="1:21" ht="53.25" hidden="1" customHeight="1" x14ac:dyDescent="0.3">
      <c r="A73" s="88">
        <v>5</v>
      </c>
      <c r="B73" s="608" t="str">
        <f>Insumos!B56</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73" s="608"/>
      <c r="D73" s="608"/>
      <c r="E73" s="89" t="str">
        <f>Insumos!C56</f>
        <v>unid.</v>
      </c>
      <c r="F73" s="90">
        <f>Insumos!D56</f>
        <v>0</v>
      </c>
      <c r="G73" s="73">
        <f t="shared" si="7"/>
        <v>8</v>
      </c>
      <c r="H73" s="74">
        <f>G73*Insumos!G56</f>
        <v>17.68</v>
      </c>
      <c r="I73" s="609" t="str">
        <f t="shared" si="4"/>
        <v>Fornecimento igual ao estimado mensalmente</v>
      </c>
      <c r="J73" s="609"/>
      <c r="K73" s="609"/>
      <c r="L73" s="75">
        <f t="shared" si="5"/>
        <v>8</v>
      </c>
      <c r="M73" s="91">
        <f>Insumos!E56</f>
        <v>8</v>
      </c>
      <c r="N73" s="91" t="str">
        <f>Insumos!F56</f>
        <v>Mensal</v>
      </c>
      <c r="O73" s="78">
        <f t="shared" si="6"/>
        <v>1</v>
      </c>
    </row>
    <row r="74" spans="1:21" ht="15" hidden="1" customHeight="1" x14ac:dyDescent="0.3">
      <c r="A74" s="88">
        <v>6</v>
      </c>
      <c r="B74" s="608" t="str">
        <f>Insumos!B57</f>
        <v>Escova para lavar multiuso, oval, base plástica e cerdas de nylon.</v>
      </c>
      <c r="C74" s="608"/>
      <c r="D74" s="608"/>
      <c r="E74" s="89" t="str">
        <f>Insumos!C57</f>
        <v>unid</v>
      </c>
      <c r="F74" s="90">
        <f>Insumos!D57</f>
        <v>0</v>
      </c>
      <c r="G74" s="73">
        <f t="shared" si="7"/>
        <v>0.33333333333333331</v>
      </c>
      <c r="H74" s="74">
        <f>G74*Insumos!G57</f>
        <v>1.1299999999999999</v>
      </c>
      <c r="I74" s="609" t="str">
        <f t="shared" si="4"/>
        <v>Fornecimento igual ao estimado mensalmente</v>
      </c>
      <c r="J74" s="609"/>
      <c r="K74" s="609"/>
      <c r="L74" s="75">
        <f t="shared" si="5"/>
        <v>0.33333333333333331</v>
      </c>
      <c r="M74" s="91">
        <f>Insumos!E57</f>
        <v>1</v>
      </c>
      <c r="N74" s="91" t="str">
        <f>Insumos!F57</f>
        <v>Trimestral</v>
      </c>
      <c r="O74" s="78">
        <f t="shared" si="6"/>
        <v>3</v>
      </c>
    </row>
    <row r="75" spans="1:21" ht="48.75" hidden="1" customHeight="1" x14ac:dyDescent="0.3">
      <c r="A75" s="88">
        <v>7</v>
      </c>
      <c r="B75" s="608" t="str">
        <f>Insumos!B58</f>
        <v>Esponja Para Lavagem De Louças E Limpeza Em Geral, Dupla Face Sintética, Um Lado Em Espuma Poliuretano E Outro Em Fibra Sintética Abrasiva, Antibacteriana, Formato Retangular, Medindo Aproximadamente 110mm X 75mm X 20mm De Espessura. Pacote com 4 unidades.</v>
      </c>
      <c r="C75" s="608"/>
      <c r="D75" s="608"/>
      <c r="E75" s="89" t="str">
        <f>Insumos!C58</f>
        <v>pacote</v>
      </c>
      <c r="F75" s="90" t="str">
        <f>Insumos!D58</f>
        <v>Betamin ou similar</v>
      </c>
      <c r="G75" s="73">
        <f t="shared" si="7"/>
        <v>4</v>
      </c>
      <c r="H75" s="74">
        <f>G75*Insumos!G58</f>
        <v>15.52</v>
      </c>
      <c r="I75" s="609" t="str">
        <f t="shared" si="4"/>
        <v>Fornecimento igual ao estimado mensalmente</v>
      </c>
      <c r="J75" s="609"/>
      <c r="K75" s="609"/>
      <c r="L75" s="75">
        <f t="shared" si="5"/>
        <v>4</v>
      </c>
      <c r="M75" s="91">
        <f>Insumos!E58</f>
        <v>4</v>
      </c>
      <c r="N75" s="91" t="str">
        <f>Insumos!F58</f>
        <v>Mensal</v>
      </c>
      <c r="O75" s="78">
        <f t="shared" si="6"/>
        <v>1</v>
      </c>
    </row>
    <row r="76" spans="1:21" ht="105.75" hidden="1" customHeight="1" x14ac:dyDescent="0.3">
      <c r="A76" s="88">
        <v>8</v>
      </c>
      <c r="B76" s="608" t="str">
        <f>Insumos!B59</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76" s="608"/>
      <c r="D76" s="608"/>
      <c r="E76" s="89" t="str">
        <f>Insumos!C59</f>
        <v>unid.</v>
      </c>
      <c r="F76" s="90">
        <f>Insumos!D59</f>
        <v>0</v>
      </c>
      <c r="G76" s="73">
        <f t="shared" si="7"/>
        <v>4</v>
      </c>
      <c r="H76" s="74">
        <f>G76*Insumos!G59</f>
        <v>16.68</v>
      </c>
      <c r="I76" s="609" t="str">
        <f t="shared" si="4"/>
        <v>Fornecimento igual ao estimado mensalmente</v>
      </c>
      <c r="J76" s="609"/>
      <c r="K76" s="609"/>
      <c r="L76" s="75">
        <f t="shared" si="5"/>
        <v>4</v>
      </c>
      <c r="M76" s="91">
        <f>Insumos!E59</f>
        <v>4</v>
      </c>
      <c r="N76" s="91" t="str">
        <f>Insumos!F59</f>
        <v>Mensal</v>
      </c>
      <c r="O76" s="78">
        <f t="shared" si="6"/>
        <v>1</v>
      </c>
    </row>
    <row r="77" spans="1:21" ht="68.25" hidden="1" customHeight="1" x14ac:dyDescent="0.3">
      <c r="A77" s="88">
        <v>9</v>
      </c>
      <c r="B77" s="608" t="str">
        <f>Insumos!B60</f>
        <v>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v>
      </c>
      <c r="C77" s="608"/>
      <c r="D77" s="608"/>
      <c r="E77" s="89" t="str">
        <f>Insumos!C60</f>
        <v>pacote</v>
      </c>
      <c r="F77" s="90">
        <f>Insumos!D60</f>
        <v>0</v>
      </c>
      <c r="G77" s="73">
        <f t="shared" si="7"/>
        <v>10</v>
      </c>
      <c r="H77" s="74">
        <f>G77*Insumos!G60</f>
        <v>51.8</v>
      </c>
      <c r="I77" s="609" t="str">
        <f t="shared" si="4"/>
        <v>Fornecimento igual ao estimado mensalmente</v>
      </c>
      <c r="J77" s="609"/>
      <c r="K77" s="609"/>
      <c r="L77" s="75">
        <f t="shared" si="5"/>
        <v>10</v>
      </c>
      <c r="M77" s="91">
        <f>Insumos!E60</f>
        <v>10</v>
      </c>
      <c r="N77" s="91" t="str">
        <f>Insumos!F60</f>
        <v>Mensal</v>
      </c>
      <c r="O77" s="78">
        <f t="shared" si="6"/>
        <v>1</v>
      </c>
    </row>
    <row r="78" spans="1:21" ht="41.25" hidden="1" customHeight="1" x14ac:dyDescent="0.3">
      <c r="A78" s="88">
        <v>10</v>
      </c>
      <c r="B78" s="608" t="str">
        <f>Insumos!B61</f>
        <v>Esponja de LÃ DE AÇO, composição básica: aço carbono abrasivo, p/ limpeza em geral, acondicionada em embalagem plástica original do fabricante, peso líquido aproximado de 60g, pacote c/ 08 unidades.</v>
      </c>
      <c r="C78" s="608"/>
      <c r="D78" s="608"/>
      <c r="E78" s="89" t="str">
        <f>Insumos!C61</f>
        <v>pacote</v>
      </c>
      <c r="F78" s="90">
        <f>Insumos!D61</f>
        <v>0</v>
      </c>
      <c r="G78" s="73">
        <f t="shared" si="7"/>
        <v>1</v>
      </c>
      <c r="H78" s="74">
        <f>G78*Insumos!G61</f>
        <v>2.38</v>
      </c>
      <c r="I78" s="609" t="str">
        <f t="shared" si="4"/>
        <v>Fornecimento igual ao estimado mensalmente</v>
      </c>
      <c r="J78" s="609"/>
      <c r="K78" s="609"/>
      <c r="L78" s="75">
        <f t="shared" si="5"/>
        <v>1</v>
      </c>
      <c r="M78" s="91">
        <f>Insumos!E61</f>
        <v>1</v>
      </c>
      <c r="N78" s="91" t="str">
        <f>Insumos!F61</f>
        <v>Mensal</v>
      </c>
      <c r="O78" s="78">
        <f t="shared" si="6"/>
        <v>1</v>
      </c>
    </row>
    <row r="79" spans="1:21" ht="51" hidden="1" customHeight="1" x14ac:dyDescent="0.3">
      <c r="A79" s="88">
        <v>11</v>
      </c>
      <c r="B79" s="608" t="str">
        <f>Insumos!B62</f>
        <v>Luva Segurança Com Forro. Material: 100% Látex Nitrílico , Tamanho: M ou G ,Aplicação: Manuseio Reagente Químico E Radioativo , Características Adicionais: Com Forro, Sem Talco, Pulso Com Bainha , Modelo: Palma Antiderrapante , Cor: Verde ,Tipo: Ambidestra</v>
      </c>
      <c r="C79" s="608"/>
      <c r="D79" s="608"/>
      <c r="E79" s="89" t="str">
        <f>Insumos!C62</f>
        <v>par</v>
      </c>
      <c r="F79" s="90">
        <f>Insumos!D62</f>
        <v>0</v>
      </c>
      <c r="G79" s="73">
        <f t="shared" si="7"/>
        <v>1</v>
      </c>
      <c r="H79" s="74">
        <f>G79*Insumos!G62</f>
        <v>15.71</v>
      </c>
      <c r="I79" s="609" t="str">
        <f t="shared" si="4"/>
        <v>Fornecimento igual ao estimado mensalmente</v>
      </c>
      <c r="J79" s="609"/>
      <c r="K79" s="609"/>
      <c r="L79" s="75">
        <f t="shared" si="5"/>
        <v>1</v>
      </c>
      <c r="M79" s="91">
        <f>Insumos!E62</f>
        <v>1</v>
      </c>
      <c r="N79" s="91" t="str">
        <f>Insumos!F62</f>
        <v>Mensal</v>
      </c>
      <c r="O79" s="78">
        <f t="shared" si="6"/>
        <v>1</v>
      </c>
    </row>
    <row r="80" spans="1:21" ht="15" hidden="1" customHeight="1" x14ac:dyDescent="0.3">
      <c r="A80" s="88">
        <v>12</v>
      </c>
      <c r="B80" s="608" t="str">
        <f>Insumos!B63</f>
        <v>Multiuso - 500 ml</v>
      </c>
      <c r="C80" s="608"/>
      <c r="D80" s="608"/>
      <c r="E80" s="89" t="str">
        <f>Insumos!C63</f>
        <v>unid.</v>
      </c>
      <c r="F80" s="90" t="str">
        <f>Insumos!D63</f>
        <v>Veja ou similar</v>
      </c>
      <c r="G80" s="73">
        <f t="shared" si="7"/>
        <v>1</v>
      </c>
      <c r="H80" s="74">
        <f>G80*Insumos!G63</f>
        <v>2.0699999999999998</v>
      </c>
      <c r="I80" s="609" t="str">
        <f t="shared" si="4"/>
        <v>Fornecimento igual ao estimado mensalmente</v>
      </c>
      <c r="J80" s="609"/>
      <c r="K80" s="609"/>
      <c r="L80" s="75">
        <f t="shared" si="5"/>
        <v>1</v>
      </c>
      <c r="M80" s="91">
        <f>Insumos!E63</f>
        <v>1</v>
      </c>
      <c r="N80" s="91" t="str">
        <f>Insumos!F63</f>
        <v>Mensal</v>
      </c>
      <c r="O80" s="78">
        <f t="shared" si="6"/>
        <v>1</v>
      </c>
    </row>
    <row r="81" spans="1:21" ht="27.75" hidden="1" customHeight="1" x14ac:dyDescent="0.3">
      <c r="A81" s="88">
        <v>13</v>
      </c>
      <c r="B81" s="608" t="str">
        <f>Insumos!B64</f>
        <v>Pá para lixo, material: plástico com cabo, material cabo: madeira, comprimento cabo: 60cm, tamanho:24x16,5x7cm</v>
      </c>
      <c r="C81" s="608"/>
      <c r="D81" s="608"/>
      <c r="E81" s="89" t="str">
        <f>Insumos!C64</f>
        <v>unid.</v>
      </c>
      <c r="F81" s="90">
        <f>Insumos!D64</f>
        <v>0</v>
      </c>
      <c r="G81" s="73">
        <f t="shared" si="7"/>
        <v>0.16666666666666666</v>
      </c>
      <c r="H81" s="74">
        <f>G81*Insumos!G64</f>
        <v>1.0866666666666664</v>
      </c>
      <c r="I81" s="609" t="str">
        <f t="shared" si="4"/>
        <v>Fornecimento igual ao estimado mensalmente</v>
      </c>
      <c r="J81" s="609"/>
      <c r="K81" s="609"/>
      <c r="L81" s="75">
        <f t="shared" si="5"/>
        <v>0.16666666666666666</v>
      </c>
      <c r="M81" s="91">
        <f>Insumos!E64</f>
        <v>1</v>
      </c>
      <c r="N81" s="91" t="str">
        <f>Insumos!F64</f>
        <v>Semestral</v>
      </c>
      <c r="O81" s="78">
        <f t="shared" si="6"/>
        <v>6</v>
      </c>
    </row>
    <row r="82" spans="1:21" ht="15" hidden="1" customHeight="1" x14ac:dyDescent="0.3">
      <c r="A82" s="88">
        <v>14</v>
      </c>
      <c r="B82" s="608" t="str">
        <f>Insumos!B65</f>
        <v>Pano de copa aberto 100% dimensões mínimas 40x60cm - Branco</v>
      </c>
      <c r="C82" s="608"/>
      <c r="D82" s="608"/>
      <c r="E82" s="89" t="str">
        <f>Insumos!C65</f>
        <v>unid</v>
      </c>
      <c r="F82" s="90">
        <f>Insumos!D65</f>
        <v>0</v>
      </c>
      <c r="G82" s="73">
        <f t="shared" si="7"/>
        <v>4</v>
      </c>
      <c r="H82" s="74">
        <f>G82*Insumos!G65</f>
        <v>44.44</v>
      </c>
      <c r="I82" s="609" t="str">
        <f t="shared" si="4"/>
        <v>Fornecimento igual ao estimado mensalmente</v>
      </c>
      <c r="J82" s="609"/>
      <c r="K82" s="609"/>
      <c r="L82" s="75">
        <f t="shared" si="5"/>
        <v>4</v>
      </c>
      <c r="M82" s="91">
        <f>Insumos!E65</f>
        <v>4</v>
      </c>
      <c r="N82" s="91" t="str">
        <f>Insumos!F65</f>
        <v>Mensal</v>
      </c>
      <c r="O82" s="78">
        <f t="shared" si="6"/>
        <v>1</v>
      </c>
    </row>
    <row r="83" spans="1:21" ht="39" hidden="1" customHeight="1" x14ac:dyDescent="0.3">
      <c r="A83" s="88">
        <v>15</v>
      </c>
      <c r="B83" s="608" t="str">
        <f>Insumos!B66</f>
        <v>Rodo Plástico e borracha dupla expandida de 40cm de largura, acompanha cabo de madeira plastificado de aproximadamente 1,26m, com garras pontiagudas nas laterais para melhor fixar panos de chão.</v>
      </c>
      <c r="C83" s="608"/>
      <c r="D83" s="608"/>
      <c r="E83" s="89" t="str">
        <f>Insumos!C66</f>
        <v>unid.</v>
      </c>
      <c r="F83" s="90">
        <f>Insumos!D66</f>
        <v>0</v>
      </c>
      <c r="G83" s="73">
        <f t="shared" si="7"/>
        <v>0.5</v>
      </c>
      <c r="H83" s="74">
        <f>G83*Insumos!G66</f>
        <v>5.68</v>
      </c>
      <c r="I83" s="609" t="str">
        <f t="shared" si="4"/>
        <v>Fornecimento igual ao estimado mensalmente</v>
      </c>
      <c r="J83" s="609"/>
      <c r="K83" s="609"/>
      <c r="L83" s="75">
        <f t="shared" si="5"/>
        <v>0.5</v>
      </c>
      <c r="M83" s="91">
        <f>Insumos!E66</f>
        <v>1</v>
      </c>
      <c r="N83" s="91" t="str">
        <f>Insumos!F66</f>
        <v>Bimestral</v>
      </c>
      <c r="O83" s="78">
        <f t="shared" si="6"/>
        <v>2</v>
      </c>
    </row>
    <row r="84" spans="1:21" ht="15" hidden="1" customHeight="1" x14ac:dyDescent="0.3">
      <c r="A84" s="88">
        <v>16</v>
      </c>
      <c r="B84" s="608" t="str">
        <f>Insumos!B67</f>
        <v>Sabão em barra glicerinado - cor neutra. Pacote com 5 de 200g cada unidade</v>
      </c>
      <c r="C84" s="608"/>
      <c r="D84" s="608"/>
      <c r="E84" s="89" t="str">
        <f>Insumos!C67</f>
        <v>pacote</v>
      </c>
      <c r="F84" s="90">
        <f>Insumos!D67</f>
        <v>0</v>
      </c>
      <c r="G84" s="73">
        <f t="shared" si="7"/>
        <v>1</v>
      </c>
      <c r="H84" s="74">
        <f>G84*Insumos!G67</f>
        <v>8.7100000000000009</v>
      </c>
      <c r="I84" s="609" t="str">
        <f t="shared" si="4"/>
        <v>Fornecimento igual ao estimado mensalmente</v>
      </c>
      <c r="J84" s="609"/>
      <c r="K84" s="609"/>
      <c r="L84" s="75">
        <f t="shared" si="5"/>
        <v>1</v>
      </c>
      <c r="M84" s="91">
        <f>Insumos!E67</f>
        <v>1</v>
      </c>
      <c r="N84" s="91" t="str">
        <f>Insumos!F67</f>
        <v>Mensal</v>
      </c>
      <c r="O84" s="78">
        <f t="shared" si="6"/>
        <v>1</v>
      </c>
    </row>
    <row r="85" spans="1:21" ht="25.5" hidden="1" customHeight="1" x14ac:dyDescent="0.3">
      <c r="A85" s="88">
        <v>17</v>
      </c>
      <c r="B85" s="608" t="str">
        <f>Insumos!B68</f>
        <v>Sabão em pó 2 Kg. Sabão em pó, convencional, de primeira linha. Para lavar roupas e limpeza em geral.</v>
      </c>
      <c r="C85" s="608"/>
      <c r="D85" s="608"/>
      <c r="E85" s="89" t="str">
        <f>Insumos!C68</f>
        <v>unid.</v>
      </c>
      <c r="F85" s="90" t="str">
        <f>Insumos!D68</f>
        <v>OMO ou Similar</v>
      </c>
      <c r="G85" s="73">
        <f t="shared" si="7"/>
        <v>0.66666666666666663</v>
      </c>
      <c r="H85" s="74">
        <f>G85*Insumos!G68</f>
        <v>15.046666666666667</v>
      </c>
      <c r="I85" s="609" t="str">
        <f t="shared" si="4"/>
        <v>Fornecimento igual ao estimado mensalmente</v>
      </c>
      <c r="J85" s="609"/>
      <c r="K85" s="609"/>
      <c r="L85" s="75">
        <f t="shared" si="5"/>
        <v>0.66666666666666663</v>
      </c>
      <c r="M85" s="91">
        <f>Insumos!E68</f>
        <v>2</v>
      </c>
      <c r="N85" s="91" t="str">
        <f>Insumos!F68</f>
        <v>Trimestral</v>
      </c>
      <c r="O85" s="78">
        <f t="shared" si="6"/>
        <v>3</v>
      </c>
    </row>
    <row r="86" spans="1:21" ht="27" hidden="1" customHeight="1" x14ac:dyDescent="0.3">
      <c r="A86" s="88">
        <v>18</v>
      </c>
      <c r="B86" s="608" t="str">
        <f>Insumos!B69</f>
        <v>Saco de Algodão Tipo: Alvejado, Tamanho: 60 X 80 CM, Cor: Branco, Características Adicionais: Dupla Face</v>
      </c>
      <c r="C86" s="608"/>
      <c r="D86" s="608"/>
      <c r="E86" s="89" t="str">
        <f>Insumos!C69</f>
        <v>unid.</v>
      </c>
      <c r="F86" s="90">
        <f>Insumos!D69</f>
        <v>0</v>
      </c>
      <c r="G86" s="73">
        <f t="shared" si="7"/>
        <v>1</v>
      </c>
      <c r="H86" s="74">
        <f>G86*Insumos!G69</f>
        <v>6.24</v>
      </c>
      <c r="I86" s="609" t="str">
        <f t="shared" si="4"/>
        <v>Fornecimento igual ao estimado mensalmente</v>
      </c>
      <c r="J86" s="609"/>
      <c r="K86" s="609"/>
      <c r="L86" s="75">
        <f t="shared" si="5"/>
        <v>1</v>
      </c>
      <c r="M86" s="91">
        <f>Insumos!E69</f>
        <v>1</v>
      </c>
      <c r="N86" s="91" t="str">
        <f>Insumos!F69</f>
        <v>Mensal</v>
      </c>
      <c r="O86" s="78">
        <f t="shared" si="6"/>
        <v>1</v>
      </c>
    </row>
    <row r="87" spans="1:21" ht="40.5" hidden="1" customHeight="1" x14ac:dyDescent="0.3">
      <c r="A87" s="88">
        <v>19</v>
      </c>
      <c r="B87" s="608" t="str">
        <f>Insumos!B70</f>
        <v>Saco plástico reforçado para lixo em polietileno, com capacidade de 100 litros, com estanqueidade suficiente para que não haja vazamento de lixo líquido. com espessura mínima de 10 micra, na cor preta. Pacote com 100 unidades.</v>
      </c>
      <c r="C87" s="608"/>
      <c r="D87" s="608"/>
      <c r="E87" s="89" t="str">
        <f>Insumos!C70</f>
        <v>cento</v>
      </c>
      <c r="F87" s="90">
        <f>Insumos!D70</f>
        <v>0</v>
      </c>
      <c r="G87" s="73">
        <f t="shared" si="7"/>
        <v>0.33333333333333331</v>
      </c>
      <c r="H87" s="74">
        <f>G87*Insumos!G70</f>
        <v>12.066666666666666</v>
      </c>
      <c r="I87" s="609" t="str">
        <f t="shared" si="4"/>
        <v>Fornecimento igual ao estimado mensalmente</v>
      </c>
      <c r="J87" s="609"/>
      <c r="K87" s="609"/>
      <c r="L87" s="75">
        <f t="shared" si="5"/>
        <v>0.33333333333333331</v>
      </c>
      <c r="M87" s="91">
        <f>Insumos!E70</f>
        <v>1</v>
      </c>
      <c r="N87" s="91" t="str">
        <f>Insumos!F70</f>
        <v>Trimestral</v>
      </c>
      <c r="O87" s="78">
        <f t="shared" si="6"/>
        <v>3</v>
      </c>
    </row>
    <row r="88" spans="1:21" ht="15" hidden="1" customHeight="1" x14ac:dyDescent="0.3">
      <c r="A88" s="88">
        <v>20</v>
      </c>
      <c r="B88" s="608" t="str">
        <f>Insumos!B71</f>
        <v>Sapólio liquido 300 ml</v>
      </c>
      <c r="C88" s="608"/>
      <c r="D88" s="608"/>
      <c r="E88" s="89" t="str">
        <f>Insumos!C71</f>
        <v>unid.</v>
      </c>
      <c r="F88" s="90" t="str">
        <f>Insumos!D71</f>
        <v>Radium ou similar</v>
      </c>
      <c r="G88" s="73">
        <f t="shared" si="7"/>
        <v>0.5</v>
      </c>
      <c r="H88" s="74">
        <f>G88*Insumos!G71</f>
        <v>2.355</v>
      </c>
      <c r="I88" s="609" t="str">
        <f t="shared" si="4"/>
        <v>Fornecimento igual ao estimado mensalmente</v>
      </c>
      <c r="J88" s="609"/>
      <c r="K88" s="609"/>
      <c r="L88" s="75">
        <f t="shared" si="5"/>
        <v>0.5</v>
      </c>
      <c r="M88" s="91">
        <f>Insumos!E71</f>
        <v>1</v>
      </c>
      <c r="N88" s="91" t="str">
        <f>Insumos!F71</f>
        <v>Bimestral</v>
      </c>
      <c r="O88" s="78">
        <f t="shared" si="6"/>
        <v>2</v>
      </c>
    </row>
    <row r="89" spans="1:21" ht="25.5" hidden="1" customHeight="1" x14ac:dyDescent="0.3">
      <c r="A89" s="88">
        <v>21</v>
      </c>
      <c r="B89" s="608" t="str">
        <f>Insumos!B72</f>
        <v>Vassoura Material Cerdas: Pêlo Sintético, Comprimento Cepa: 40 CM, Tipo Cabo: Reforçado, Material Cabo: Madeira, Cabo de 1,2m</v>
      </c>
      <c r="C89" s="608"/>
      <c r="D89" s="608"/>
      <c r="E89" s="89" t="str">
        <f>Insumos!C72</f>
        <v>unid.</v>
      </c>
      <c r="F89" s="90">
        <f>Insumos!D72</f>
        <v>0</v>
      </c>
      <c r="G89" s="73">
        <f t="shared" si="7"/>
        <v>0.33333333333333331</v>
      </c>
      <c r="H89" s="74">
        <f>G89*Insumos!G72</f>
        <v>5.543333333333333</v>
      </c>
      <c r="I89" s="609" t="str">
        <f t="shared" si="4"/>
        <v>Fornecimento igual ao estimado mensalmente</v>
      </c>
      <c r="J89" s="609"/>
      <c r="K89" s="609"/>
      <c r="L89" s="75">
        <f t="shared" si="5"/>
        <v>0.33333333333333331</v>
      </c>
      <c r="M89" s="91">
        <f>Insumos!E72</f>
        <v>1</v>
      </c>
      <c r="N89" s="91" t="str">
        <f>Insumos!F72</f>
        <v>Trimestral</v>
      </c>
      <c r="O89" s="78">
        <f t="shared" si="6"/>
        <v>3</v>
      </c>
    </row>
    <row r="90" spans="1:21" ht="15" hidden="1" customHeight="1" x14ac:dyDescent="0.3">
      <c r="A90" s="603" t="s">
        <v>63</v>
      </c>
      <c r="B90" s="603"/>
      <c r="C90" s="603"/>
      <c r="D90" s="603"/>
      <c r="E90" s="603"/>
      <c r="F90" s="603"/>
      <c r="G90" s="603"/>
      <c r="H90" s="92">
        <f>SUM(H69:H89)</f>
        <v>290.61500000000001</v>
      </c>
      <c r="I90" s="82"/>
      <c r="J90" s="82"/>
      <c r="K90" s="1"/>
      <c r="L90" s="83"/>
      <c r="M90" s="65"/>
      <c r="N90" s="83"/>
      <c r="U90" s="1"/>
    </row>
    <row r="91" spans="1:21" ht="15" hidden="1" customHeight="1" x14ac:dyDescent="0.3">
      <c r="A91" s="611" t="s">
        <v>64</v>
      </c>
      <c r="B91" s="611"/>
      <c r="C91" s="611"/>
      <c r="D91" s="611"/>
      <c r="E91" s="611"/>
      <c r="F91" s="611"/>
      <c r="G91" s="84">
        <f>Dados!$G$42</f>
        <v>1.7100000000000001E-2</v>
      </c>
      <c r="H91" s="85">
        <f>ROUND((H90*G91),2)</f>
        <v>4.97</v>
      </c>
      <c r="I91" s="83"/>
      <c r="J91" s="83"/>
      <c r="K91" s="1"/>
      <c r="L91" s="83"/>
      <c r="M91" s="83"/>
      <c r="N91" s="83"/>
      <c r="U91" s="1"/>
    </row>
    <row r="92" spans="1:21" ht="15" hidden="1" customHeight="1" x14ac:dyDescent="0.3">
      <c r="A92" s="611" t="s">
        <v>65</v>
      </c>
      <c r="B92" s="611"/>
      <c r="C92" s="611"/>
      <c r="D92" s="611"/>
      <c r="E92" s="611"/>
      <c r="F92" s="611"/>
      <c r="G92" s="84">
        <f>Dados!$G$43</f>
        <v>1.7000000000000001E-2</v>
      </c>
      <c r="H92" s="85">
        <f>ROUND((SUM(H90:H91)*G92),2)</f>
        <v>5.0199999999999996</v>
      </c>
      <c r="I92" s="83"/>
      <c r="J92" s="83"/>
      <c r="K92" s="1"/>
      <c r="L92" s="83"/>
      <c r="M92" s="83"/>
      <c r="N92" s="83"/>
      <c r="U92" s="1"/>
    </row>
    <row r="93" spans="1:21" ht="15" hidden="1" customHeight="1" x14ac:dyDescent="0.3">
      <c r="A93" s="611" t="s">
        <v>66</v>
      </c>
      <c r="B93" s="611"/>
      <c r="C93" s="611"/>
      <c r="D93" s="611"/>
      <c r="E93" s="611"/>
      <c r="F93" s="611"/>
      <c r="G93" s="84">
        <f>Dados!$G$54</f>
        <v>6.6500000000000004E-2</v>
      </c>
      <c r="H93" s="85">
        <f>ROUND((H94*G93),2)</f>
        <v>21.41</v>
      </c>
      <c r="I93" s="83"/>
      <c r="J93" s="83"/>
      <c r="K93" s="1"/>
      <c r="L93" s="83"/>
      <c r="M93" s="83"/>
      <c r="N93" s="83"/>
      <c r="U93" s="1"/>
    </row>
    <row r="94" spans="1:21" ht="15.75" hidden="1" customHeight="1" x14ac:dyDescent="0.3">
      <c r="A94" s="612" t="s">
        <v>587</v>
      </c>
      <c r="B94" s="612"/>
      <c r="C94" s="612"/>
      <c r="D94" s="612"/>
      <c r="E94" s="612"/>
      <c r="F94" s="612"/>
      <c r="G94" s="612"/>
      <c r="H94" s="86">
        <f>ROUND((SUM(H90:H92)/(1-G93)),2)</f>
        <v>322.02</v>
      </c>
      <c r="I94" s="83"/>
      <c r="J94" s="83"/>
      <c r="K94" s="1"/>
      <c r="L94" s="83"/>
      <c r="M94" s="83"/>
      <c r="N94" s="83"/>
      <c r="U94" s="1"/>
    </row>
    <row r="95" spans="1:21" ht="14.4" hidden="1" x14ac:dyDescent="0.3">
      <c r="A95" s="87"/>
      <c r="B95" s="65"/>
      <c r="C95" s="65"/>
      <c r="D95" s="65"/>
      <c r="E95" s="65"/>
      <c r="F95" s="65"/>
      <c r="G95" s="87"/>
      <c r="H95" s="65"/>
      <c r="I95" s="83"/>
      <c r="J95" s="83"/>
      <c r="K95" s="1"/>
      <c r="L95" s="83"/>
      <c r="M95" s="83"/>
      <c r="N95" s="83"/>
      <c r="U95" s="1"/>
    </row>
    <row r="96" spans="1:21" ht="14.4" hidden="1" x14ac:dyDescent="0.3">
      <c r="L96" s="1"/>
      <c r="M96" s="1"/>
      <c r="P96" s="3"/>
      <c r="Q96" s="3"/>
      <c r="U96" s="1"/>
    </row>
    <row r="97" spans="2:4" ht="14.4" hidden="1" x14ac:dyDescent="0.3"/>
    <row r="98" spans="2:4" ht="14.4" hidden="1" x14ac:dyDescent="0.3">
      <c r="B98" s="616" t="s">
        <v>67</v>
      </c>
      <c r="C98" s="616"/>
    </row>
    <row r="99" spans="2:4" ht="14.4" hidden="1" x14ac:dyDescent="0.3">
      <c r="B99" s="93" t="s">
        <v>68</v>
      </c>
      <c r="C99" s="94">
        <v>22</v>
      </c>
      <c r="D99" s="1" t="s">
        <v>69</v>
      </c>
    </row>
    <row r="100" spans="2:4" ht="14.4" hidden="1" x14ac:dyDescent="0.3">
      <c r="B100" s="93" t="s">
        <v>3</v>
      </c>
      <c r="C100" s="95">
        <v>30</v>
      </c>
      <c r="D100" s="1" t="s">
        <v>70</v>
      </c>
    </row>
    <row r="101" spans="2:4" ht="14.4" hidden="1" x14ac:dyDescent="0.3">
      <c r="B101" s="93" t="s">
        <v>71</v>
      </c>
      <c r="C101" s="95" t="s">
        <v>72</v>
      </c>
      <c r="D101" s="1" t="s">
        <v>73</v>
      </c>
    </row>
    <row r="102" spans="2:4" ht="14.4" hidden="1" x14ac:dyDescent="0.3"/>
    <row r="103" spans="2:4" ht="14.4" hidden="1" x14ac:dyDescent="0.3">
      <c r="B103" s="93" t="s">
        <v>74</v>
      </c>
      <c r="C103" s="93" t="s">
        <v>75</v>
      </c>
    </row>
    <row r="104" spans="2:4" ht="14.4" hidden="1" x14ac:dyDescent="0.3">
      <c r="B104" s="93">
        <v>220</v>
      </c>
      <c r="C104" s="93">
        <v>8.8000000000000007</v>
      </c>
    </row>
    <row r="105" spans="2:4" ht="14.4" hidden="1" x14ac:dyDescent="0.3">
      <c r="B105" s="93">
        <v>200</v>
      </c>
      <c r="C105" s="93">
        <v>8</v>
      </c>
    </row>
    <row r="106" spans="2:4" ht="14.4" hidden="1" x14ac:dyDescent="0.3">
      <c r="B106" s="93">
        <v>180</v>
      </c>
      <c r="C106" s="93">
        <v>7.2</v>
      </c>
    </row>
    <row r="107" spans="2:4" ht="14.4" hidden="1" x14ac:dyDescent="0.3">
      <c r="B107" s="93">
        <v>150</v>
      </c>
      <c r="C107" s="93">
        <v>6</v>
      </c>
    </row>
    <row r="108" spans="2:4" ht="14.4" hidden="1" x14ac:dyDescent="0.3">
      <c r="B108" s="93">
        <v>120</v>
      </c>
      <c r="C108" s="93">
        <v>4.8</v>
      </c>
    </row>
    <row r="109" spans="2:4" ht="14.4" hidden="1" x14ac:dyDescent="0.3">
      <c r="B109" s="93">
        <v>100</v>
      </c>
      <c r="C109" s="93">
        <v>4</v>
      </c>
    </row>
    <row r="110" spans="2:4" ht="14.4" hidden="1" x14ac:dyDescent="0.3">
      <c r="B110" s="93">
        <v>75</v>
      </c>
      <c r="C110" s="93">
        <v>3</v>
      </c>
    </row>
    <row r="111" spans="2:4" ht="14.4" hidden="1" x14ac:dyDescent="0.3"/>
    <row r="112" spans="2:4" ht="14.4" hidden="1" x14ac:dyDescent="0.3">
      <c r="B112" s="93" t="s">
        <v>76</v>
      </c>
    </row>
    <row r="113" spans="2:2" ht="14.4" hidden="1" x14ac:dyDescent="0.3">
      <c r="B113" s="96">
        <v>0</v>
      </c>
    </row>
    <row r="114" spans="2:2" ht="14.4" hidden="1" x14ac:dyDescent="0.3">
      <c r="B114" s="96">
        <v>1</v>
      </c>
    </row>
    <row r="115" spans="2:2" ht="14.4" hidden="1" x14ac:dyDescent="0.3">
      <c r="B115" s="96">
        <v>2</v>
      </c>
    </row>
  </sheetData>
  <sheetProtection algorithmName="SHA-512" hashValue="3LF8vy6Bffo0tJEQqFkoUZzn4+/B6faTA6tSRLMI0Az9x46sAeHVX7Jbr41GpH6cOt6BKvhdb1pvIq1Evl3a3A==" saltValue="M9ZzaEgBm+dfJGvF+MbQFg==" spinCount="100000" sheet="1" objects="1" scenarios="1"/>
  <mergeCells count="163">
    <mergeCell ref="A91:F91"/>
    <mergeCell ref="A92:F92"/>
    <mergeCell ref="A93:F93"/>
    <mergeCell ref="A94:G94"/>
    <mergeCell ref="B98:C98"/>
    <mergeCell ref="B86:D86"/>
    <mergeCell ref="I86:K86"/>
    <mergeCell ref="B87:D87"/>
    <mergeCell ref="I87:K87"/>
    <mergeCell ref="B88:D88"/>
    <mergeCell ref="I88:K88"/>
    <mergeCell ref="B89:D89"/>
    <mergeCell ref="I89:K89"/>
    <mergeCell ref="A90:G90"/>
    <mergeCell ref="B81:D81"/>
    <mergeCell ref="I81:K81"/>
    <mergeCell ref="B82:D82"/>
    <mergeCell ref="I82:K82"/>
    <mergeCell ref="B83:D83"/>
    <mergeCell ref="I83:K83"/>
    <mergeCell ref="B84:D84"/>
    <mergeCell ref="I84:K84"/>
    <mergeCell ref="B85:D85"/>
    <mergeCell ref="I85:K85"/>
    <mergeCell ref="B76:D76"/>
    <mergeCell ref="I76:K76"/>
    <mergeCell ref="B77:D77"/>
    <mergeCell ref="I77:K77"/>
    <mergeCell ref="B78:D78"/>
    <mergeCell ref="I78:K78"/>
    <mergeCell ref="B79:D79"/>
    <mergeCell ref="I79:K79"/>
    <mergeCell ref="B80:D80"/>
    <mergeCell ref="I80:K80"/>
    <mergeCell ref="B71:D71"/>
    <mergeCell ref="I71:K71"/>
    <mergeCell ref="B72:D72"/>
    <mergeCell ref="I72:K72"/>
    <mergeCell ref="B73:D73"/>
    <mergeCell ref="I73:K73"/>
    <mergeCell ref="B74:D74"/>
    <mergeCell ref="I74:K74"/>
    <mergeCell ref="B75:D75"/>
    <mergeCell ref="I75:K75"/>
    <mergeCell ref="A67:A68"/>
    <mergeCell ref="B67:E67"/>
    <mergeCell ref="F67:H67"/>
    <mergeCell ref="I67:K68"/>
    <mergeCell ref="L67:O67"/>
    <mergeCell ref="B68:D68"/>
    <mergeCell ref="B69:D69"/>
    <mergeCell ref="I69:K69"/>
    <mergeCell ref="B70:D70"/>
    <mergeCell ref="I70:K70"/>
    <mergeCell ref="B59:D59"/>
    <mergeCell ref="I59:K59"/>
    <mergeCell ref="B60:D60"/>
    <mergeCell ref="I60:K60"/>
    <mergeCell ref="A61:G61"/>
    <mergeCell ref="A62:F62"/>
    <mergeCell ref="A63:F63"/>
    <mergeCell ref="A64:F64"/>
    <mergeCell ref="A65:G65"/>
    <mergeCell ref="B54:D54"/>
    <mergeCell ref="I54:K54"/>
    <mergeCell ref="B55:D55"/>
    <mergeCell ref="I55:K55"/>
    <mergeCell ref="B56:D56"/>
    <mergeCell ref="I56:K56"/>
    <mergeCell ref="B57:D57"/>
    <mergeCell ref="I57:K57"/>
    <mergeCell ref="B58:D58"/>
    <mergeCell ref="I58:K58"/>
    <mergeCell ref="B49:D49"/>
    <mergeCell ref="I49:K49"/>
    <mergeCell ref="B50:D50"/>
    <mergeCell ref="I50:K50"/>
    <mergeCell ref="B51:D51"/>
    <mergeCell ref="I51:K51"/>
    <mergeCell ref="B52:D52"/>
    <mergeCell ref="I52:K52"/>
    <mergeCell ref="B53:D53"/>
    <mergeCell ref="I53:K53"/>
    <mergeCell ref="B44:D44"/>
    <mergeCell ref="I44:K44"/>
    <mergeCell ref="B45:D45"/>
    <mergeCell ref="I45:K45"/>
    <mergeCell ref="B46:D46"/>
    <mergeCell ref="I46:K46"/>
    <mergeCell ref="B47:D47"/>
    <mergeCell ref="I47:K47"/>
    <mergeCell ref="B48:D48"/>
    <mergeCell ref="I48:K48"/>
    <mergeCell ref="B39:D39"/>
    <mergeCell ref="I39:K39"/>
    <mergeCell ref="B40:D40"/>
    <mergeCell ref="I40:K40"/>
    <mergeCell ref="B41:D41"/>
    <mergeCell ref="I41:K41"/>
    <mergeCell ref="B42:D42"/>
    <mergeCell ref="I42:K42"/>
    <mergeCell ref="B43:D43"/>
    <mergeCell ref="I43:K43"/>
    <mergeCell ref="B34:D34"/>
    <mergeCell ref="I34:K34"/>
    <mergeCell ref="B35:D35"/>
    <mergeCell ref="I35:K35"/>
    <mergeCell ref="B36:D36"/>
    <mergeCell ref="I36:K36"/>
    <mergeCell ref="B37:D37"/>
    <mergeCell ref="I37:K37"/>
    <mergeCell ref="B38:D38"/>
    <mergeCell ref="I38:K38"/>
    <mergeCell ref="B29:D29"/>
    <mergeCell ref="I29:K29"/>
    <mergeCell ref="B30:D30"/>
    <mergeCell ref="I30:K30"/>
    <mergeCell ref="B31:D31"/>
    <mergeCell ref="I31:K31"/>
    <mergeCell ref="B32:D32"/>
    <mergeCell ref="I32:K32"/>
    <mergeCell ref="B33:D33"/>
    <mergeCell ref="I33:K33"/>
    <mergeCell ref="B24:D24"/>
    <mergeCell ref="I24:K24"/>
    <mergeCell ref="B25:D25"/>
    <mergeCell ref="I25:K25"/>
    <mergeCell ref="B26:D26"/>
    <mergeCell ref="I26:K26"/>
    <mergeCell ref="B27:D27"/>
    <mergeCell ref="I27:K27"/>
    <mergeCell ref="B28:D28"/>
    <mergeCell ref="I28:K28"/>
    <mergeCell ref="S6:U8"/>
    <mergeCell ref="A13:G13"/>
    <mergeCell ref="I13:J13"/>
    <mergeCell ref="A16:B17"/>
    <mergeCell ref="A18:F19"/>
    <mergeCell ref="A22:A23"/>
    <mergeCell ref="B22:E22"/>
    <mergeCell ref="F22:H22"/>
    <mergeCell ref="I22:K23"/>
    <mergeCell ref="L22:O22"/>
    <mergeCell ref="B23:D23"/>
    <mergeCell ref="C2:R2"/>
    <mergeCell ref="C3:R3"/>
    <mergeCell ref="A4:C4"/>
    <mergeCell ref="A6:C8"/>
    <mergeCell ref="D6:D8"/>
    <mergeCell ref="E6:E8"/>
    <mergeCell ref="F6:F8"/>
    <mergeCell ref="G6:G8"/>
    <mergeCell ref="H6:H8"/>
    <mergeCell ref="I6:I8"/>
    <mergeCell ref="J6:J8"/>
    <mergeCell ref="K6:K8"/>
    <mergeCell ref="L6:L8"/>
    <mergeCell ref="M6:M8"/>
    <mergeCell ref="N6:N8"/>
    <mergeCell ref="O6:O8"/>
    <mergeCell ref="P6:P8"/>
    <mergeCell ref="Q6:Q8"/>
    <mergeCell ref="R6:R8"/>
  </mergeCells>
  <conditionalFormatting sqref="I24:I60 I69:I89">
    <cfRule type="containsText" dxfId="1" priority="2" operator="containsText" text="inferior">
      <formula>NOT(ISERROR(SEARCH("inferior",I24)))</formula>
    </cfRule>
    <cfRule type="containsText" dxfId="0" priority="3" operator="containsText" text="superior">
      <formula>NOT(ISERROR(SEARCH("superior",I24)))</formula>
    </cfRule>
  </conditionalFormatting>
  <dataValidations count="6">
    <dataValidation type="list" allowBlank="1" showInputMessage="1" showErrorMessage="1" sqref="N24:N60" xr:uid="{00000000-0002-0000-0000-000000000000}">
      <formula1>"Mensal,Bimestral,Trimestral,Quadrimestral,Semestral,Anual,Bienal"</formula1>
      <formula2>0</formula2>
    </dataValidation>
    <dataValidation type="list" allowBlank="1" showInputMessage="1" showErrorMessage="1" sqref="D4" xr:uid="{00000000-0002-0000-0000-000002000000}">
      <formula1>$B$99:$B$101</formula1>
      <formula2>0</formula2>
    </dataValidation>
    <dataValidation type="list" allowBlank="1" showInputMessage="1" showErrorMessage="1" sqref="C17" xr:uid="{00000000-0002-0000-0000-000003000000}">
      <formula1>$B$104:$B$110</formula1>
      <formula2>0</formula2>
    </dataValidation>
    <dataValidation type="list" allowBlank="1" showInputMessage="1" showErrorMessage="1" sqref="D12" xr:uid="{00000000-0002-0000-0000-000004000000}">
      <formula1>$B$113:$B$114</formula1>
    </dataValidation>
    <dataValidation type="list" allowBlank="1" showInputMessage="1" showErrorMessage="1" sqref="D10:D11" xr:uid="{00000000-0002-0000-0000-000005000000}">
      <formula1>$B$113:$B$114</formula1>
      <formula2>0</formula2>
    </dataValidation>
    <dataValidation type="list" allowBlank="1" showInputMessage="1" showErrorMessage="1" sqref="E10:E12" xr:uid="{00000000-0002-0000-0000-000006000000}">
      <formula1>"SIM,NÃO"</formula1>
      <formula2>0</formula2>
    </dataValidation>
  </dataValidations>
  <pageMargins left="0.7" right="0.7" top="0.75" bottom="0.75"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pageSetUpPr fitToPage="1"/>
  </sheetPr>
  <dimension ref="A1:L47"/>
  <sheetViews>
    <sheetView showGridLines="0" view="pageBreakPreview" zoomScale="60" zoomScaleNormal="100" zoomScalePageLayoutView="140" workbookViewId="0">
      <selection activeCell="D28" sqref="D28"/>
    </sheetView>
  </sheetViews>
  <sheetFormatPr defaultColWidth="9.109375" defaultRowHeight="13.5" customHeight="1" x14ac:dyDescent="0.3"/>
  <cols>
    <col min="1" max="1" width="10.5546875" style="103" customWidth="1"/>
    <col min="2" max="2" width="27.6640625" style="103" customWidth="1"/>
    <col min="3" max="3" width="14.44140625" style="103" customWidth="1"/>
    <col min="4" max="5" width="15" style="103" customWidth="1"/>
    <col min="6" max="6" width="16.6640625" style="443" customWidth="1"/>
    <col min="7" max="8" width="13.109375" style="443" customWidth="1"/>
    <col min="9" max="10" width="12.5546875" style="443" customWidth="1"/>
    <col min="11" max="257" width="9.109375" style="103"/>
    <col min="258" max="258" width="10.5546875" style="103" customWidth="1"/>
    <col min="259" max="259" width="27.6640625" style="103" customWidth="1"/>
    <col min="260" max="260" width="14.44140625" style="103" customWidth="1"/>
    <col min="261" max="262" width="15" style="103" customWidth="1"/>
    <col min="263" max="263" width="16.6640625" style="103" customWidth="1"/>
    <col min="264" max="264" width="13.109375" style="103" customWidth="1"/>
    <col min="265" max="266" width="12.5546875" style="103" customWidth="1"/>
    <col min="267" max="513" width="9.109375" style="103"/>
    <col min="514" max="514" width="10.5546875" style="103" customWidth="1"/>
    <col min="515" max="515" width="27.6640625" style="103" customWidth="1"/>
    <col min="516" max="516" width="14.44140625" style="103" customWidth="1"/>
    <col min="517" max="518" width="15" style="103" customWidth="1"/>
    <col min="519" max="519" width="16.6640625" style="103" customWidth="1"/>
    <col min="520" max="520" width="13.109375" style="103" customWidth="1"/>
    <col min="521" max="522" width="12.5546875" style="103" customWidth="1"/>
    <col min="523" max="769" width="9.109375" style="103"/>
    <col min="770" max="770" width="10.5546875" style="103" customWidth="1"/>
    <col min="771" max="771" width="27.6640625" style="103" customWidth="1"/>
    <col min="772" max="772" width="14.44140625" style="103" customWidth="1"/>
    <col min="773" max="774" width="15" style="103" customWidth="1"/>
    <col min="775" max="775" width="16.6640625" style="103" customWidth="1"/>
    <col min="776" max="776" width="13.109375" style="103" customWidth="1"/>
    <col min="777" max="778" width="12.5546875" style="103" customWidth="1"/>
    <col min="779" max="1025" width="9.109375" style="103"/>
    <col min="1026" max="1026" width="10.5546875" style="103" customWidth="1"/>
    <col min="1027" max="1027" width="27.6640625" style="103" customWidth="1"/>
    <col min="1028" max="1028" width="14.44140625" style="103" customWidth="1"/>
    <col min="1029" max="1030" width="15" style="103" customWidth="1"/>
    <col min="1031" max="1031" width="16.6640625" style="103" customWidth="1"/>
    <col min="1032" max="1032" width="13.109375" style="103" customWidth="1"/>
    <col min="1033" max="1034" width="12.5546875" style="103" customWidth="1"/>
    <col min="1035" max="1281" width="9.109375" style="103"/>
    <col min="1282" max="1282" width="10.5546875" style="103" customWidth="1"/>
    <col min="1283" max="1283" width="27.6640625" style="103" customWidth="1"/>
    <col min="1284" max="1284" width="14.44140625" style="103" customWidth="1"/>
    <col min="1285" max="1286" width="15" style="103" customWidth="1"/>
    <col min="1287" max="1287" width="16.6640625" style="103" customWidth="1"/>
    <col min="1288" max="1288" width="13.109375" style="103" customWidth="1"/>
    <col min="1289" max="1290" width="12.5546875" style="103" customWidth="1"/>
    <col min="1291" max="1537" width="9.109375" style="103"/>
    <col min="1538" max="1538" width="10.5546875" style="103" customWidth="1"/>
    <col min="1539" max="1539" width="27.6640625" style="103" customWidth="1"/>
    <col min="1540" max="1540" width="14.44140625" style="103" customWidth="1"/>
    <col min="1541" max="1542" width="15" style="103" customWidth="1"/>
    <col min="1543" max="1543" width="16.6640625" style="103" customWidth="1"/>
    <col min="1544" max="1544" width="13.109375" style="103" customWidth="1"/>
    <col min="1545" max="1546" width="12.5546875" style="103" customWidth="1"/>
    <col min="1547" max="1793" width="9.109375" style="103"/>
    <col min="1794" max="1794" width="10.5546875" style="103" customWidth="1"/>
    <col min="1795" max="1795" width="27.6640625" style="103" customWidth="1"/>
    <col min="1796" max="1796" width="14.44140625" style="103" customWidth="1"/>
    <col min="1797" max="1798" width="15" style="103" customWidth="1"/>
    <col min="1799" max="1799" width="16.6640625" style="103" customWidth="1"/>
    <col min="1800" max="1800" width="13.109375" style="103" customWidth="1"/>
    <col min="1801" max="1802" width="12.5546875" style="103" customWidth="1"/>
    <col min="1803" max="2049" width="9.109375" style="103"/>
    <col min="2050" max="2050" width="10.5546875" style="103" customWidth="1"/>
    <col min="2051" max="2051" width="27.6640625" style="103" customWidth="1"/>
    <col min="2052" max="2052" width="14.44140625" style="103" customWidth="1"/>
    <col min="2053" max="2054" width="15" style="103" customWidth="1"/>
    <col min="2055" max="2055" width="16.6640625" style="103" customWidth="1"/>
    <col min="2056" max="2056" width="13.109375" style="103" customWidth="1"/>
    <col min="2057" max="2058" width="12.5546875" style="103" customWidth="1"/>
    <col min="2059" max="2305" width="9.109375" style="103"/>
    <col min="2306" max="2306" width="10.5546875" style="103" customWidth="1"/>
    <col min="2307" max="2307" width="27.6640625" style="103" customWidth="1"/>
    <col min="2308" max="2308" width="14.44140625" style="103" customWidth="1"/>
    <col min="2309" max="2310" width="15" style="103" customWidth="1"/>
    <col min="2311" max="2311" width="16.6640625" style="103" customWidth="1"/>
    <col min="2312" max="2312" width="13.109375" style="103" customWidth="1"/>
    <col min="2313" max="2314" width="12.5546875" style="103" customWidth="1"/>
    <col min="2315" max="2561" width="9.109375" style="103"/>
    <col min="2562" max="2562" width="10.5546875" style="103" customWidth="1"/>
    <col min="2563" max="2563" width="27.6640625" style="103" customWidth="1"/>
    <col min="2564" max="2564" width="14.44140625" style="103" customWidth="1"/>
    <col min="2565" max="2566" width="15" style="103" customWidth="1"/>
    <col min="2567" max="2567" width="16.6640625" style="103" customWidth="1"/>
    <col min="2568" max="2568" width="13.109375" style="103" customWidth="1"/>
    <col min="2569" max="2570" width="12.5546875" style="103" customWidth="1"/>
    <col min="2571" max="2817" width="9.109375" style="103"/>
    <col min="2818" max="2818" width="10.5546875" style="103" customWidth="1"/>
    <col min="2819" max="2819" width="27.6640625" style="103" customWidth="1"/>
    <col min="2820" max="2820" width="14.44140625" style="103" customWidth="1"/>
    <col min="2821" max="2822" width="15" style="103" customWidth="1"/>
    <col min="2823" max="2823" width="16.6640625" style="103" customWidth="1"/>
    <col min="2824" max="2824" width="13.109375" style="103" customWidth="1"/>
    <col min="2825" max="2826" width="12.5546875" style="103" customWidth="1"/>
    <col min="2827" max="3073" width="9.109375" style="103"/>
    <col min="3074" max="3074" width="10.5546875" style="103" customWidth="1"/>
    <col min="3075" max="3075" width="27.6640625" style="103" customWidth="1"/>
    <col min="3076" max="3076" width="14.44140625" style="103" customWidth="1"/>
    <col min="3077" max="3078" width="15" style="103" customWidth="1"/>
    <col min="3079" max="3079" width="16.6640625" style="103" customWidth="1"/>
    <col min="3080" max="3080" width="13.109375" style="103" customWidth="1"/>
    <col min="3081" max="3082" width="12.5546875" style="103" customWidth="1"/>
    <col min="3083" max="3329" width="9.109375" style="103"/>
    <col min="3330" max="3330" width="10.5546875" style="103" customWidth="1"/>
    <col min="3331" max="3331" width="27.6640625" style="103" customWidth="1"/>
    <col min="3332" max="3332" width="14.44140625" style="103" customWidth="1"/>
    <col min="3333" max="3334" width="15" style="103" customWidth="1"/>
    <col min="3335" max="3335" width="16.6640625" style="103" customWidth="1"/>
    <col min="3336" max="3336" width="13.109375" style="103" customWidth="1"/>
    <col min="3337" max="3338" width="12.5546875" style="103" customWidth="1"/>
    <col min="3339" max="3585" width="9.109375" style="103"/>
    <col min="3586" max="3586" width="10.5546875" style="103" customWidth="1"/>
    <col min="3587" max="3587" width="27.6640625" style="103" customWidth="1"/>
    <col min="3588" max="3588" width="14.44140625" style="103" customWidth="1"/>
    <col min="3589" max="3590" width="15" style="103" customWidth="1"/>
    <col min="3591" max="3591" width="16.6640625" style="103" customWidth="1"/>
    <col min="3592" max="3592" width="13.109375" style="103" customWidth="1"/>
    <col min="3593" max="3594" width="12.5546875" style="103" customWidth="1"/>
    <col min="3595" max="3841" width="9.109375" style="103"/>
    <col min="3842" max="3842" width="10.5546875" style="103" customWidth="1"/>
    <col min="3843" max="3843" width="27.6640625" style="103" customWidth="1"/>
    <col min="3844" max="3844" width="14.44140625" style="103" customWidth="1"/>
    <col min="3845" max="3846" width="15" style="103" customWidth="1"/>
    <col min="3847" max="3847" width="16.6640625" style="103" customWidth="1"/>
    <col min="3848" max="3848" width="13.109375" style="103" customWidth="1"/>
    <col min="3849" max="3850" width="12.5546875" style="103" customWidth="1"/>
    <col min="3851" max="4097" width="9.109375" style="103"/>
    <col min="4098" max="4098" width="10.5546875" style="103" customWidth="1"/>
    <col min="4099" max="4099" width="27.6640625" style="103" customWidth="1"/>
    <col min="4100" max="4100" width="14.44140625" style="103" customWidth="1"/>
    <col min="4101" max="4102" width="15" style="103" customWidth="1"/>
    <col min="4103" max="4103" width="16.6640625" style="103" customWidth="1"/>
    <col min="4104" max="4104" width="13.109375" style="103" customWidth="1"/>
    <col min="4105" max="4106" width="12.5546875" style="103" customWidth="1"/>
    <col min="4107" max="4353" width="9.109375" style="103"/>
    <col min="4354" max="4354" width="10.5546875" style="103" customWidth="1"/>
    <col min="4355" max="4355" width="27.6640625" style="103" customWidth="1"/>
    <col min="4356" max="4356" width="14.44140625" style="103" customWidth="1"/>
    <col min="4357" max="4358" width="15" style="103" customWidth="1"/>
    <col min="4359" max="4359" width="16.6640625" style="103" customWidth="1"/>
    <col min="4360" max="4360" width="13.109375" style="103" customWidth="1"/>
    <col min="4361" max="4362" width="12.5546875" style="103" customWidth="1"/>
    <col min="4363" max="4609" width="9.109375" style="103"/>
    <col min="4610" max="4610" width="10.5546875" style="103" customWidth="1"/>
    <col min="4611" max="4611" width="27.6640625" style="103" customWidth="1"/>
    <col min="4612" max="4612" width="14.44140625" style="103" customWidth="1"/>
    <col min="4613" max="4614" width="15" style="103" customWidth="1"/>
    <col min="4615" max="4615" width="16.6640625" style="103" customWidth="1"/>
    <col min="4616" max="4616" width="13.109375" style="103" customWidth="1"/>
    <col min="4617" max="4618" width="12.5546875" style="103" customWidth="1"/>
    <col min="4619" max="4865" width="9.109375" style="103"/>
    <col min="4866" max="4866" width="10.5546875" style="103" customWidth="1"/>
    <col min="4867" max="4867" width="27.6640625" style="103" customWidth="1"/>
    <col min="4868" max="4868" width="14.44140625" style="103" customWidth="1"/>
    <col min="4869" max="4870" width="15" style="103" customWidth="1"/>
    <col min="4871" max="4871" width="16.6640625" style="103" customWidth="1"/>
    <col min="4872" max="4872" width="13.109375" style="103" customWidth="1"/>
    <col min="4873" max="4874" width="12.5546875" style="103" customWidth="1"/>
    <col min="4875" max="5121" width="9.109375" style="103"/>
    <col min="5122" max="5122" width="10.5546875" style="103" customWidth="1"/>
    <col min="5123" max="5123" width="27.6640625" style="103" customWidth="1"/>
    <col min="5124" max="5124" width="14.44140625" style="103" customWidth="1"/>
    <col min="5125" max="5126" width="15" style="103" customWidth="1"/>
    <col min="5127" max="5127" width="16.6640625" style="103" customWidth="1"/>
    <col min="5128" max="5128" width="13.109375" style="103" customWidth="1"/>
    <col min="5129" max="5130" width="12.5546875" style="103" customWidth="1"/>
    <col min="5131" max="5377" width="9.109375" style="103"/>
    <col min="5378" max="5378" width="10.5546875" style="103" customWidth="1"/>
    <col min="5379" max="5379" width="27.6640625" style="103" customWidth="1"/>
    <col min="5380" max="5380" width="14.44140625" style="103" customWidth="1"/>
    <col min="5381" max="5382" width="15" style="103" customWidth="1"/>
    <col min="5383" max="5383" width="16.6640625" style="103" customWidth="1"/>
    <col min="5384" max="5384" width="13.109375" style="103" customWidth="1"/>
    <col min="5385" max="5386" width="12.5546875" style="103" customWidth="1"/>
    <col min="5387" max="5633" width="9.109375" style="103"/>
    <col min="5634" max="5634" width="10.5546875" style="103" customWidth="1"/>
    <col min="5635" max="5635" width="27.6640625" style="103" customWidth="1"/>
    <col min="5636" max="5636" width="14.44140625" style="103" customWidth="1"/>
    <col min="5637" max="5638" width="15" style="103" customWidth="1"/>
    <col min="5639" max="5639" width="16.6640625" style="103" customWidth="1"/>
    <col min="5640" max="5640" width="13.109375" style="103" customWidth="1"/>
    <col min="5641" max="5642" width="12.5546875" style="103" customWidth="1"/>
    <col min="5643" max="5889" width="9.109375" style="103"/>
    <col min="5890" max="5890" width="10.5546875" style="103" customWidth="1"/>
    <col min="5891" max="5891" width="27.6640625" style="103" customWidth="1"/>
    <col min="5892" max="5892" width="14.44140625" style="103" customWidth="1"/>
    <col min="5893" max="5894" width="15" style="103" customWidth="1"/>
    <col min="5895" max="5895" width="16.6640625" style="103" customWidth="1"/>
    <col min="5896" max="5896" width="13.109375" style="103" customWidth="1"/>
    <col min="5897" max="5898" width="12.5546875" style="103" customWidth="1"/>
    <col min="5899" max="6145" width="9.109375" style="103"/>
    <col min="6146" max="6146" width="10.5546875" style="103" customWidth="1"/>
    <col min="6147" max="6147" width="27.6640625" style="103" customWidth="1"/>
    <col min="6148" max="6148" width="14.44140625" style="103" customWidth="1"/>
    <col min="6149" max="6150" width="15" style="103" customWidth="1"/>
    <col min="6151" max="6151" width="16.6640625" style="103" customWidth="1"/>
    <col min="6152" max="6152" width="13.109375" style="103" customWidth="1"/>
    <col min="6153" max="6154" width="12.5546875" style="103" customWidth="1"/>
    <col min="6155" max="6401" width="9.109375" style="103"/>
    <col min="6402" max="6402" width="10.5546875" style="103" customWidth="1"/>
    <col min="6403" max="6403" width="27.6640625" style="103" customWidth="1"/>
    <col min="6404" max="6404" width="14.44140625" style="103" customWidth="1"/>
    <col min="6405" max="6406" width="15" style="103" customWidth="1"/>
    <col min="6407" max="6407" width="16.6640625" style="103" customWidth="1"/>
    <col min="6408" max="6408" width="13.109375" style="103" customWidth="1"/>
    <col min="6409" max="6410" width="12.5546875" style="103" customWidth="1"/>
    <col min="6411" max="6657" width="9.109375" style="103"/>
    <col min="6658" max="6658" width="10.5546875" style="103" customWidth="1"/>
    <col min="6659" max="6659" width="27.6640625" style="103" customWidth="1"/>
    <col min="6660" max="6660" width="14.44140625" style="103" customWidth="1"/>
    <col min="6661" max="6662" width="15" style="103" customWidth="1"/>
    <col min="6663" max="6663" width="16.6640625" style="103" customWidth="1"/>
    <col min="6664" max="6664" width="13.109375" style="103" customWidth="1"/>
    <col min="6665" max="6666" width="12.5546875" style="103" customWidth="1"/>
    <col min="6667" max="6913" width="9.109375" style="103"/>
    <col min="6914" max="6914" width="10.5546875" style="103" customWidth="1"/>
    <col min="6915" max="6915" width="27.6640625" style="103" customWidth="1"/>
    <col min="6916" max="6916" width="14.44140625" style="103" customWidth="1"/>
    <col min="6917" max="6918" width="15" style="103" customWidth="1"/>
    <col min="6919" max="6919" width="16.6640625" style="103" customWidth="1"/>
    <col min="6920" max="6920" width="13.109375" style="103" customWidth="1"/>
    <col min="6921" max="6922" width="12.5546875" style="103" customWidth="1"/>
    <col min="6923" max="7169" width="9.109375" style="103"/>
    <col min="7170" max="7170" width="10.5546875" style="103" customWidth="1"/>
    <col min="7171" max="7171" width="27.6640625" style="103" customWidth="1"/>
    <col min="7172" max="7172" width="14.44140625" style="103" customWidth="1"/>
    <col min="7173" max="7174" width="15" style="103" customWidth="1"/>
    <col min="7175" max="7175" width="16.6640625" style="103" customWidth="1"/>
    <col min="7176" max="7176" width="13.109375" style="103" customWidth="1"/>
    <col min="7177" max="7178" width="12.5546875" style="103" customWidth="1"/>
    <col min="7179" max="7425" width="9.109375" style="103"/>
    <col min="7426" max="7426" width="10.5546875" style="103" customWidth="1"/>
    <col min="7427" max="7427" width="27.6640625" style="103" customWidth="1"/>
    <col min="7428" max="7428" width="14.44140625" style="103" customWidth="1"/>
    <col min="7429" max="7430" width="15" style="103" customWidth="1"/>
    <col min="7431" max="7431" width="16.6640625" style="103" customWidth="1"/>
    <col min="7432" max="7432" width="13.109375" style="103" customWidth="1"/>
    <col min="7433" max="7434" width="12.5546875" style="103" customWidth="1"/>
    <col min="7435" max="7681" width="9.109375" style="103"/>
    <col min="7682" max="7682" width="10.5546875" style="103" customWidth="1"/>
    <col min="7683" max="7683" width="27.6640625" style="103" customWidth="1"/>
    <col min="7684" max="7684" width="14.44140625" style="103" customWidth="1"/>
    <col min="7685" max="7686" width="15" style="103" customWidth="1"/>
    <col min="7687" max="7687" width="16.6640625" style="103" customWidth="1"/>
    <col min="7688" max="7688" width="13.109375" style="103" customWidth="1"/>
    <col min="7689" max="7690" width="12.5546875" style="103" customWidth="1"/>
    <col min="7691" max="7937" width="9.109375" style="103"/>
    <col min="7938" max="7938" width="10.5546875" style="103" customWidth="1"/>
    <col min="7939" max="7939" width="27.6640625" style="103" customWidth="1"/>
    <col min="7940" max="7940" width="14.44140625" style="103" customWidth="1"/>
    <col min="7941" max="7942" width="15" style="103" customWidth="1"/>
    <col min="7943" max="7943" width="16.6640625" style="103" customWidth="1"/>
    <col min="7944" max="7944" width="13.109375" style="103" customWidth="1"/>
    <col min="7945" max="7946" width="12.5546875" style="103" customWidth="1"/>
    <col min="7947" max="8193" width="9.109375" style="103"/>
    <col min="8194" max="8194" width="10.5546875" style="103" customWidth="1"/>
    <col min="8195" max="8195" width="27.6640625" style="103" customWidth="1"/>
    <col min="8196" max="8196" width="14.44140625" style="103" customWidth="1"/>
    <col min="8197" max="8198" width="15" style="103" customWidth="1"/>
    <col min="8199" max="8199" width="16.6640625" style="103" customWidth="1"/>
    <col min="8200" max="8200" width="13.109375" style="103" customWidth="1"/>
    <col min="8201" max="8202" width="12.5546875" style="103" customWidth="1"/>
    <col min="8203" max="8449" width="9.109375" style="103"/>
    <col min="8450" max="8450" width="10.5546875" style="103" customWidth="1"/>
    <col min="8451" max="8451" width="27.6640625" style="103" customWidth="1"/>
    <col min="8452" max="8452" width="14.44140625" style="103" customWidth="1"/>
    <col min="8453" max="8454" width="15" style="103" customWidth="1"/>
    <col min="8455" max="8455" width="16.6640625" style="103" customWidth="1"/>
    <col min="8456" max="8456" width="13.109375" style="103" customWidth="1"/>
    <col min="8457" max="8458" width="12.5546875" style="103" customWidth="1"/>
    <col min="8459" max="8705" width="9.109375" style="103"/>
    <col min="8706" max="8706" width="10.5546875" style="103" customWidth="1"/>
    <col min="8707" max="8707" width="27.6640625" style="103" customWidth="1"/>
    <col min="8708" max="8708" width="14.44140625" style="103" customWidth="1"/>
    <col min="8709" max="8710" width="15" style="103" customWidth="1"/>
    <col min="8711" max="8711" width="16.6640625" style="103" customWidth="1"/>
    <col min="8712" max="8712" width="13.109375" style="103" customWidth="1"/>
    <col min="8713" max="8714" width="12.5546875" style="103" customWidth="1"/>
    <col min="8715" max="8961" width="9.109375" style="103"/>
    <col min="8962" max="8962" width="10.5546875" style="103" customWidth="1"/>
    <col min="8963" max="8963" width="27.6640625" style="103" customWidth="1"/>
    <col min="8964" max="8964" width="14.44140625" style="103" customWidth="1"/>
    <col min="8965" max="8966" width="15" style="103" customWidth="1"/>
    <col min="8967" max="8967" width="16.6640625" style="103" customWidth="1"/>
    <col min="8968" max="8968" width="13.109375" style="103" customWidth="1"/>
    <col min="8969" max="8970" width="12.5546875" style="103" customWidth="1"/>
    <col min="8971" max="9217" width="9.109375" style="103"/>
    <col min="9218" max="9218" width="10.5546875" style="103" customWidth="1"/>
    <col min="9219" max="9219" width="27.6640625" style="103" customWidth="1"/>
    <col min="9220" max="9220" width="14.44140625" style="103" customWidth="1"/>
    <col min="9221" max="9222" width="15" style="103" customWidth="1"/>
    <col min="9223" max="9223" width="16.6640625" style="103" customWidth="1"/>
    <col min="9224" max="9224" width="13.109375" style="103" customWidth="1"/>
    <col min="9225" max="9226" width="12.5546875" style="103" customWidth="1"/>
    <col min="9227" max="9473" width="9.109375" style="103"/>
    <col min="9474" max="9474" width="10.5546875" style="103" customWidth="1"/>
    <col min="9475" max="9475" width="27.6640625" style="103" customWidth="1"/>
    <col min="9476" max="9476" width="14.44140625" style="103" customWidth="1"/>
    <col min="9477" max="9478" width="15" style="103" customWidth="1"/>
    <col min="9479" max="9479" width="16.6640625" style="103" customWidth="1"/>
    <col min="9480" max="9480" width="13.109375" style="103" customWidth="1"/>
    <col min="9481" max="9482" width="12.5546875" style="103" customWidth="1"/>
    <col min="9483" max="9729" width="9.109375" style="103"/>
    <col min="9730" max="9730" width="10.5546875" style="103" customWidth="1"/>
    <col min="9731" max="9731" width="27.6640625" style="103" customWidth="1"/>
    <col min="9732" max="9732" width="14.44140625" style="103" customWidth="1"/>
    <col min="9733" max="9734" width="15" style="103" customWidth="1"/>
    <col min="9735" max="9735" width="16.6640625" style="103" customWidth="1"/>
    <col min="9736" max="9736" width="13.109375" style="103" customWidth="1"/>
    <col min="9737" max="9738" width="12.5546875" style="103" customWidth="1"/>
    <col min="9739" max="9985" width="9.109375" style="103"/>
    <col min="9986" max="9986" width="10.5546875" style="103" customWidth="1"/>
    <col min="9987" max="9987" width="27.6640625" style="103" customWidth="1"/>
    <col min="9988" max="9988" width="14.44140625" style="103" customWidth="1"/>
    <col min="9989" max="9990" width="15" style="103" customWidth="1"/>
    <col min="9991" max="9991" width="16.6640625" style="103" customWidth="1"/>
    <col min="9992" max="9992" width="13.109375" style="103" customWidth="1"/>
    <col min="9993" max="9994" width="12.5546875" style="103" customWidth="1"/>
    <col min="9995" max="10241" width="9.109375" style="103"/>
    <col min="10242" max="10242" width="10.5546875" style="103" customWidth="1"/>
    <col min="10243" max="10243" width="27.6640625" style="103" customWidth="1"/>
    <col min="10244" max="10244" width="14.44140625" style="103" customWidth="1"/>
    <col min="10245" max="10246" width="15" style="103" customWidth="1"/>
    <col min="10247" max="10247" width="16.6640625" style="103" customWidth="1"/>
    <col min="10248" max="10248" width="13.109375" style="103" customWidth="1"/>
    <col min="10249" max="10250" width="12.5546875" style="103" customWidth="1"/>
    <col min="10251" max="10497" width="9.109375" style="103"/>
    <col min="10498" max="10498" width="10.5546875" style="103" customWidth="1"/>
    <col min="10499" max="10499" width="27.6640625" style="103" customWidth="1"/>
    <col min="10500" max="10500" width="14.44140625" style="103" customWidth="1"/>
    <col min="10501" max="10502" width="15" style="103" customWidth="1"/>
    <col min="10503" max="10503" width="16.6640625" style="103" customWidth="1"/>
    <col min="10504" max="10504" width="13.109375" style="103" customWidth="1"/>
    <col min="10505" max="10506" width="12.5546875" style="103" customWidth="1"/>
    <col min="10507" max="10753" width="9.109375" style="103"/>
    <col min="10754" max="10754" width="10.5546875" style="103" customWidth="1"/>
    <col min="10755" max="10755" width="27.6640625" style="103" customWidth="1"/>
    <col min="10756" max="10756" width="14.44140625" style="103" customWidth="1"/>
    <col min="10757" max="10758" width="15" style="103" customWidth="1"/>
    <col min="10759" max="10759" width="16.6640625" style="103" customWidth="1"/>
    <col min="10760" max="10760" width="13.109375" style="103" customWidth="1"/>
    <col min="10761" max="10762" width="12.5546875" style="103" customWidth="1"/>
    <col min="10763" max="11009" width="9.109375" style="103"/>
    <col min="11010" max="11010" width="10.5546875" style="103" customWidth="1"/>
    <col min="11011" max="11011" width="27.6640625" style="103" customWidth="1"/>
    <col min="11012" max="11012" width="14.44140625" style="103" customWidth="1"/>
    <col min="11013" max="11014" width="15" style="103" customWidth="1"/>
    <col min="11015" max="11015" width="16.6640625" style="103" customWidth="1"/>
    <col min="11016" max="11016" width="13.109375" style="103" customWidth="1"/>
    <col min="11017" max="11018" width="12.5546875" style="103" customWidth="1"/>
    <col min="11019" max="11265" width="9.109375" style="103"/>
    <col min="11266" max="11266" width="10.5546875" style="103" customWidth="1"/>
    <col min="11267" max="11267" width="27.6640625" style="103" customWidth="1"/>
    <col min="11268" max="11268" width="14.44140625" style="103" customWidth="1"/>
    <col min="11269" max="11270" width="15" style="103" customWidth="1"/>
    <col min="11271" max="11271" width="16.6640625" style="103" customWidth="1"/>
    <col min="11272" max="11272" width="13.109375" style="103" customWidth="1"/>
    <col min="11273" max="11274" width="12.5546875" style="103" customWidth="1"/>
    <col min="11275" max="11521" width="9.109375" style="103"/>
    <col min="11522" max="11522" width="10.5546875" style="103" customWidth="1"/>
    <col min="11523" max="11523" width="27.6640625" style="103" customWidth="1"/>
    <col min="11524" max="11524" width="14.44140625" style="103" customWidth="1"/>
    <col min="11525" max="11526" width="15" style="103" customWidth="1"/>
    <col min="11527" max="11527" width="16.6640625" style="103" customWidth="1"/>
    <col min="11528" max="11528" width="13.109375" style="103" customWidth="1"/>
    <col min="11529" max="11530" width="12.5546875" style="103" customWidth="1"/>
    <col min="11531" max="11777" width="9.109375" style="103"/>
    <col min="11778" max="11778" width="10.5546875" style="103" customWidth="1"/>
    <col min="11779" max="11779" width="27.6640625" style="103" customWidth="1"/>
    <col min="11780" max="11780" width="14.44140625" style="103" customWidth="1"/>
    <col min="11781" max="11782" width="15" style="103" customWidth="1"/>
    <col min="11783" max="11783" width="16.6640625" style="103" customWidth="1"/>
    <col min="11784" max="11784" width="13.109375" style="103" customWidth="1"/>
    <col min="11785" max="11786" width="12.5546875" style="103" customWidth="1"/>
    <col min="11787" max="12033" width="9.109375" style="103"/>
    <col min="12034" max="12034" width="10.5546875" style="103" customWidth="1"/>
    <col min="12035" max="12035" width="27.6640625" style="103" customWidth="1"/>
    <col min="12036" max="12036" width="14.44140625" style="103" customWidth="1"/>
    <col min="12037" max="12038" width="15" style="103" customWidth="1"/>
    <col min="12039" max="12039" width="16.6640625" style="103" customWidth="1"/>
    <col min="12040" max="12040" width="13.109375" style="103" customWidth="1"/>
    <col min="12041" max="12042" width="12.5546875" style="103" customWidth="1"/>
    <col min="12043" max="12289" width="9.109375" style="103"/>
    <col min="12290" max="12290" width="10.5546875" style="103" customWidth="1"/>
    <col min="12291" max="12291" width="27.6640625" style="103" customWidth="1"/>
    <col min="12292" max="12292" width="14.44140625" style="103" customWidth="1"/>
    <col min="12293" max="12294" width="15" style="103" customWidth="1"/>
    <col min="12295" max="12295" width="16.6640625" style="103" customWidth="1"/>
    <col min="12296" max="12296" width="13.109375" style="103" customWidth="1"/>
    <col min="12297" max="12298" width="12.5546875" style="103" customWidth="1"/>
    <col min="12299" max="12545" width="9.109375" style="103"/>
    <col min="12546" max="12546" width="10.5546875" style="103" customWidth="1"/>
    <col min="12547" max="12547" width="27.6640625" style="103" customWidth="1"/>
    <col min="12548" max="12548" width="14.44140625" style="103" customWidth="1"/>
    <col min="12549" max="12550" width="15" style="103" customWidth="1"/>
    <col min="12551" max="12551" width="16.6640625" style="103" customWidth="1"/>
    <col min="12552" max="12552" width="13.109375" style="103" customWidth="1"/>
    <col min="12553" max="12554" width="12.5546875" style="103" customWidth="1"/>
    <col min="12555" max="12801" width="9.109375" style="103"/>
    <col min="12802" max="12802" width="10.5546875" style="103" customWidth="1"/>
    <col min="12803" max="12803" width="27.6640625" style="103" customWidth="1"/>
    <col min="12804" max="12804" width="14.44140625" style="103" customWidth="1"/>
    <col min="12805" max="12806" width="15" style="103" customWidth="1"/>
    <col min="12807" max="12807" width="16.6640625" style="103" customWidth="1"/>
    <col min="12808" max="12808" width="13.109375" style="103" customWidth="1"/>
    <col min="12809" max="12810" width="12.5546875" style="103" customWidth="1"/>
    <col min="12811" max="13057" width="9.109375" style="103"/>
    <col min="13058" max="13058" width="10.5546875" style="103" customWidth="1"/>
    <col min="13059" max="13059" width="27.6640625" style="103" customWidth="1"/>
    <col min="13060" max="13060" width="14.44140625" style="103" customWidth="1"/>
    <col min="13061" max="13062" width="15" style="103" customWidth="1"/>
    <col min="13063" max="13063" width="16.6640625" style="103" customWidth="1"/>
    <col min="13064" max="13064" width="13.109375" style="103" customWidth="1"/>
    <col min="13065" max="13066" width="12.5546875" style="103" customWidth="1"/>
    <col min="13067" max="13313" width="9.109375" style="103"/>
    <col min="13314" max="13314" width="10.5546875" style="103" customWidth="1"/>
    <col min="13315" max="13315" width="27.6640625" style="103" customWidth="1"/>
    <col min="13316" max="13316" width="14.44140625" style="103" customWidth="1"/>
    <col min="13317" max="13318" width="15" style="103" customWidth="1"/>
    <col min="13319" max="13319" width="16.6640625" style="103" customWidth="1"/>
    <col min="13320" max="13320" width="13.109375" style="103" customWidth="1"/>
    <col min="13321" max="13322" width="12.5546875" style="103" customWidth="1"/>
    <col min="13323" max="13569" width="9.109375" style="103"/>
    <col min="13570" max="13570" width="10.5546875" style="103" customWidth="1"/>
    <col min="13571" max="13571" width="27.6640625" style="103" customWidth="1"/>
    <col min="13572" max="13572" width="14.44140625" style="103" customWidth="1"/>
    <col min="13573" max="13574" width="15" style="103" customWidth="1"/>
    <col min="13575" max="13575" width="16.6640625" style="103" customWidth="1"/>
    <col min="13576" max="13576" width="13.109375" style="103" customWidth="1"/>
    <col min="13577" max="13578" width="12.5546875" style="103" customWidth="1"/>
    <col min="13579" max="13825" width="9.109375" style="103"/>
    <col min="13826" max="13826" width="10.5546875" style="103" customWidth="1"/>
    <col min="13827" max="13827" width="27.6640625" style="103" customWidth="1"/>
    <col min="13828" max="13828" width="14.44140625" style="103" customWidth="1"/>
    <col min="13829" max="13830" width="15" style="103" customWidth="1"/>
    <col min="13831" max="13831" width="16.6640625" style="103" customWidth="1"/>
    <col min="13832" max="13832" width="13.109375" style="103" customWidth="1"/>
    <col min="13833" max="13834" width="12.5546875" style="103" customWidth="1"/>
    <col min="13835" max="14081" width="9.109375" style="103"/>
    <col min="14082" max="14082" width="10.5546875" style="103" customWidth="1"/>
    <col min="14083" max="14083" width="27.6640625" style="103" customWidth="1"/>
    <col min="14084" max="14084" width="14.44140625" style="103" customWidth="1"/>
    <col min="14085" max="14086" width="15" style="103" customWidth="1"/>
    <col min="14087" max="14087" width="16.6640625" style="103" customWidth="1"/>
    <col min="14088" max="14088" width="13.109375" style="103" customWidth="1"/>
    <col min="14089" max="14090" width="12.5546875" style="103" customWidth="1"/>
    <col min="14091" max="14337" width="9.109375" style="103"/>
    <col min="14338" max="14338" width="10.5546875" style="103" customWidth="1"/>
    <col min="14339" max="14339" width="27.6640625" style="103" customWidth="1"/>
    <col min="14340" max="14340" width="14.44140625" style="103" customWidth="1"/>
    <col min="14341" max="14342" width="15" style="103" customWidth="1"/>
    <col min="14343" max="14343" width="16.6640625" style="103" customWidth="1"/>
    <col min="14344" max="14344" width="13.109375" style="103" customWidth="1"/>
    <col min="14345" max="14346" width="12.5546875" style="103" customWidth="1"/>
    <col min="14347" max="14593" width="9.109375" style="103"/>
    <col min="14594" max="14594" width="10.5546875" style="103" customWidth="1"/>
    <col min="14595" max="14595" width="27.6640625" style="103" customWidth="1"/>
    <col min="14596" max="14596" width="14.44140625" style="103" customWidth="1"/>
    <col min="14597" max="14598" width="15" style="103" customWidth="1"/>
    <col min="14599" max="14599" width="16.6640625" style="103" customWidth="1"/>
    <col min="14600" max="14600" width="13.109375" style="103" customWidth="1"/>
    <col min="14601" max="14602" width="12.5546875" style="103" customWidth="1"/>
    <col min="14603" max="14849" width="9.109375" style="103"/>
    <col min="14850" max="14850" width="10.5546875" style="103" customWidth="1"/>
    <col min="14851" max="14851" width="27.6640625" style="103" customWidth="1"/>
    <col min="14852" max="14852" width="14.44140625" style="103" customWidth="1"/>
    <col min="14853" max="14854" width="15" style="103" customWidth="1"/>
    <col min="14855" max="14855" width="16.6640625" style="103" customWidth="1"/>
    <col min="14856" max="14856" width="13.109375" style="103" customWidth="1"/>
    <col min="14857" max="14858" width="12.5546875" style="103" customWidth="1"/>
    <col min="14859" max="15105" width="9.109375" style="103"/>
    <col min="15106" max="15106" width="10.5546875" style="103" customWidth="1"/>
    <col min="15107" max="15107" width="27.6640625" style="103" customWidth="1"/>
    <col min="15108" max="15108" width="14.44140625" style="103" customWidth="1"/>
    <col min="15109" max="15110" width="15" style="103" customWidth="1"/>
    <col min="15111" max="15111" width="16.6640625" style="103" customWidth="1"/>
    <col min="15112" max="15112" width="13.109375" style="103" customWidth="1"/>
    <col min="15113" max="15114" width="12.5546875" style="103" customWidth="1"/>
    <col min="15115" max="15361" width="9.109375" style="103"/>
    <col min="15362" max="15362" width="10.5546875" style="103" customWidth="1"/>
    <col min="15363" max="15363" width="27.6640625" style="103" customWidth="1"/>
    <col min="15364" max="15364" width="14.44140625" style="103" customWidth="1"/>
    <col min="15365" max="15366" width="15" style="103" customWidth="1"/>
    <col min="15367" max="15367" width="16.6640625" style="103" customWidth="1"/>
    <col min="15368" max="15368" width="13.109375" style="103" customWidth="1"/>
    <col min="15369" max="15370" width="12.5546875" style="103" customWidth="1"/>
    <col min="15371" max="15617" width="9.109375" style="103"/>
    <col min="15618" max="15618" width="10.5546875" style="103" customWidth="1"/>
    <col min="15619" max="15619" width="27.6640625" style="103" customWidth="1"/>
    <col min="15620" max="15620" width="14.44140625" style="103" customWidth="1"/>
    <col min="15621" max="15622" width="15" style="103" customWidth="1"/>
    <col min="15623" max="15623" width="16.6640625" style="103" customWidth="1"/>
    <col min="15624" max="15624" width="13.109375" style="103" customWidth="1"/>
    <col min="15625" max="15626" width="12.5546875" style="103" customWidth="1"/>
    <col min="15627" max="15873" width="9.109375" style="103"/>
    <col min="15874" max="15874" width="10.5546875" style="103" customWidth="1"/>
    <col min="15875" max="15875" width="27.6640625" style="103" customWidth="1"/>
    <col min="15876" max="15876" width="14.44140625" style="103" customWidth="1"/>
    <col min="15877" max="15878" width="15" style="103" customWidth="1"/>
    <col min="15879" max="15879" width="16.6640625" style="103" customWidth="1"/>
    <col min="15880" max="15880" width="13.109375" style="103" customWidth="1"/>
    <col min="15881" max="15882" width="12.5546875" style="103" customWidth="1"/>
    <col min="15883" max="16129" width="9.109375" style="103"/>
    <col min="16130" max="16130" width="10.5546875" style="103" customWidth="1"/>
    <col min="16131" max="16131" width="27.6640625" style="103" customWidth="1"/>
    <col min="16132" max="16132" width="14.44140625" style="103" customWidth="1"/>
    <col min="16133" max="16134" width="15" style="103" customWidth="1"/>
    <col min="16135" max="16135" width="16.6640625" style="103" customWidth="1"/>
    <col min="16136" max="16136" width="13.109375" style="103" customWidth="1"/>
    <col min="16137" max="16138" width="12.5546875" style="103" customWidth="1"/>
    <col min="16139" max="16384" width="9.109375" style="103"/>
  </cols>
  <sheetData>
    <row r="1" spans="1:10" ht="13.8" x14ac:dyDescent="0.3">
      <c r="A1" s="444"/>
      <c r="B1" s="100" t="str">
        <f>INSTRUÇÕES!B1</f>
        <v>Tribunal Regional Federal da 6ª Região</v>
      </c>
      <c r="C1" s="445"/>
      <c r="D1" s="445"/>
      <c r="E1" s="445"/>
      <c r="F1" s="446"/>
      <c r="G1" s="447"/>
      <c r="H1" s="447"/>
      <c r="I1" s="446"/>
      <c r="J1" s="448"/>
    </row>
    <row r="2" spans="1:10" ht="13.8" x14ac:dyDescent="0.3">
      <c r="A2" s="449"/>
      <c r="B2" s="102" t="str">
        <f>INSTRUÇÕES!B2</f>
        <v>Seção Judiciária de Minas Gerais</v>
      </c>
      <c r="C2" s="339"/>
      <c r="D2" s="339"/>
      <c r="E2" s="339"/>
      <c r="F2" s="450"/>
      <c r="I2" s="450"/>
      <c r="J2" s="451"/>
    </row>
    <row r="3" spans="1:10" ht="13.8" x14ac:dyDescent="0.3">
      <c r="A3" s="452"/>
      <c r="B3" s="296" t="str">
        <f>INSTRUÇÕES!B3</f>
        <v>Subseção Judiciária de Manhuaçu</v>
      </c>
      <c r="C3" s="339"/>
      <c r="D3" s="339"/>
      <c r="E3" s="339"/>
      <c r="F3" s="450"/>
      <c r="I3" s="450"/>
      <c r="J3" s="451"/>
    </row>
    <row r="4" spans="1:10" ht="19.5" customHeight="1" x14ac:dyDescent="0.3">
      <c r="A4" s="701" t="s">
        <v>476</v>
      </c>
      <c r="B4" s="701"/>
      <c r="C4" s="701"/>
      <c r="D4" s="701"/>
      <c r="E4" s="701"/>
      <c r="F4" s="701"/>
      <c r="G4" s="701"/>
      <c r="H4" s="701"/>
      <c r="I4" s="701"/>
      <c r="J4" s="701"/>
    </row>
    <row r="5" spans="1:10" ht="19.5" customHeight="1" x14ac:dyDescent="0.3">
      <c r="A5" s="702" t="s">
        <v>232</v>
      </c>
      <c r="B5" s="702"/>
      <c r="C5" s="702"/>
      <c r="D5" s="702"/>
      <c r="E5" s="702"/>
      <c r="F5" s="702"/>
      <c r="G5" s="702"/>
      <c r="H5" s="702"/>
      <c r="I5" s="702"/>
      <c r="J5" s="702"/>
    </row>
    <row r="6" spans="1:10" ht="36" customHeight="1" x14ac:dyDescent="0.3">
      <c r="A6" s="703" t="str">
        <f>Dados!A4</f>
        <v>Sindicato utilizado - SINSERHT X SINTEAC. Vigência: 01/01/2026 a 31/12/2026. Sendo a data base da categoria 01º de Janeiro. Com número de registro no MTE MG001237/2025.</v>
      </c>
      <c r="B6" s="703"/>
      <c r="C6" s="703"/>
      <c r="D6" s="703"/>
      <c r="E6" s="703"/>
      <c r="F6" s="703"/>
      <c r="G6" s="703"/>
      <c r="H6" s="703"/>
      <c r="I6" s="703"/>
      <c r="J6" s="703"/>
    </row>
    <row r="7" spans="1:10" ht="19.5" customHeight="1" x14ac:dyDescent="0.3">
      <c r="A7" s="704" t="str">
        <f>Dados!C8</f>
        <v xml:space="preserve">Servente de Limpeza acúmulo de função Copeira </v>
      </c>
      <c r="B7" s="704"/>
      <c r="C7" s="704"/>
      <c r="D7" s="704"/>
      <c r="E7" s="704"/>
      <c r="F7" s="705" t="s">
        <v>569</v>
      </c>
      <c r="G7" s="705" t="s">
        <v>570</v>
      </c>
      <c r="H7" s="705" t="s">
        <v>477</v>
      </c>
      <c r="I7" s="705" t="s">
        <v>478</v>
      </c>
      <c r="J7" s="705" t="s">
        <v>479</v>
      </c>
    </row>
    <row r="8" spans="1:10" ht="19.5" customHeight="1" x14ac:dyDescent="0.3">
      <c r="A8" s="706" t="s">
        <v>480</v>
      </c>
      <c r="B8" s="706"/>
      <c r="C8" s="706"/>
      <c r="D8" s="706"/>
      <c r="E8" s="453" t="s">
        <v>309</v>
      </c>
      <c r="F8" s="705"/>
      <c r="G8" s="705"/>
      <c r="H8" s="705"/>
      <c r="I8" s="705"/>
      <c r="J8" s="705"/>
    </row>
    <row r="9" spans="1:10" ht="19.5" customHeight="1" x14ac:dyDescent="0.3">
      <c r="A9" s="707" t="s">
        <v>481</v>
      </c>
      <c r="B9" s="707"/>
      <c r="C9" s="707"/>
      <c r="D9" s="707"/>
      <c r="E9" s="707"/>
      <c r="F9" s="707"/>
      <c r="G9" s="707"/>
      <c r="H9" s="707"/>
      <c r="I9" s="707"/>
      <c r="J9" s="707"/>
    </row>
    <row r="10" spans="1:10" ht="24" customHeight="1" x14ac:dyDescent="0.3">
      <c r="A10" s="454" t="s">
        <v>310</v>
      </c>
      <c r="B10" s="708" t="s">
        <v>482</v>
      </c>
      <c r="C10" s="708"/>
      <c r="D10" s="455" t="s">
        <v>483</v>
      </c>
      <c r="E10" s="456" t="s">
        <v>484</v>
      </c>
      <c r="F10" s="709" t="s">
        <v>313</v>
      </c>
      <c r="G10" s="709"/>
      <c r="H10" s="709"/>
      <c r="I10" s="709"/>
      <c r="J10" s="709"/>
    </row>
    <row r="11" spans="1:10" ht="19.5" customHeight="1" x14ac:dyDescent="0.3">
      <c r="A11" s="710">
        <v>1</v>
      </c>
      <c r="B11" s="711" t="str">
        <f>A7</f>
        <v xml:space="preserve">Servente de Limpeza acúmulo de função Copeira </v>
      </c>
      <c r="C11" s="711"/>
      <c r="D11" s="457">
        <f>Dados!$D$8</f>
        <v>200</v>
      </c>
      <c r="E11" s="458">
        <f>Dados!$E$8</f>
        <v>1596.27</v>
      </c>
      <c r="F11" s="459">
        <f>ROUND(E11/220*D11,2)</f>
        <v>1451.15</v>
      </c>
      <c r="G11" s="459">
        <f>F11</f>
        <v>1451.15</v>
      </c>
      <c r="H11" s="459"/>
      <c r="I11" s="459"/>
      <c r="J11" s="460"/>
    </row>
    <row r="12" spans="1:10" ht="19.5" customHeight="1" x14ac:dyDescent="0.3">
      <c r="A12" s="710"/>
      <c r="B12" s="711" t="s">
        <v>485</v>
      </c>
      <c r="C12" s="711"/>
      <c r="D12" s="507"/>
      <c r="E12" s="458">
        <f>Dados!$G$26</f>
        <v>1621</v>
      </c>
      <c r="F12" s="459">
        <f>D12*E12</f>
        <v>0</v>
      </c>
      <c r="G12" s="459">
        <f>F12</f>
        <v>0</v>
      </c>
      <c r="H12" s="459"/>
      <c r="I12" s="459"/>
      <c r="J12" s="460">
        <f>F12</f>
        <v>0</v>
      </c>
    </row>
    <row r="13" spans="1:10" ht="18.75" customHeight="1" x14ac:dyDescent="0.3">
      <c r="A13" s="710"/>
      <c r="B13" s="462" t="s">
        <v>486</v>
      </c>
      <c r="C13" s="463">
        <f>Dados!$I$8</f>
        <v>0.12</v>
      </c>
      <c r="D13" s="463">
        <f>Dados!$J$8</f>
        <v>0.25</v>
      </c>
      <c r="E13" s="464">
        <f>Dados!$K$8</f>
        <v>1451.15</v>
      </c>
      <c r="F13" s="465">
        <f>ROUND((E13*D13*C13),2)</f>
        <v>43.53</v>
      </c>
      <c r="G13" s="465">
        <f>F13</f>
        <v>43.53</v>
      </c>
      <c r="H13" s="465"/>
      <c r="I13" s="465"/>
      <c r="J13" s="466"/>
    </row>
    <row r="14" spans="1:10" ht="19.5" customHeight="1" x14ac:dyDescent="0.3">
      <c r="A14" s="710"/>
      <c r="B14" s="712" t="s">
        <v>487</v>
      </c>
      <c r="C14" s="712"/>
      <c r="D14" s="712"/>
      <c r="E14" s="712"/>
      <c r="F14" s="467">
        <f>SUM(F11:F13)</f>
        <v>1494.68</v>
      </c>
      <c r="G14" s="467">
        <f>SUM(G11:G13)</f>
        <v>1494.68</v>
      </c>
      <c r="H14" s="467">
        <f>SUM(H11:H13)</f>
        <v>0</v>
      </c>
      <c r="I14" s="467">
        <f>SUM(I11:I13)</f>
        <v>0</v>
      </c>
      <c r="J14" s="468">
        <f>SUM(J11:J13)</f>
        <v>0</v>
      </c>
    </row>
    <row r="15" spans="1:10" ht="19.5" customHeight="1" x14ac:dyDescent="0.3">
      <c r="A15" s="710"/>
      <c r="B15" s="713" t="s">
        <v>488</v>
      </c>
      <c r="C15" s="713"/>
      <c r="D15" s="713"/>
      <c r="E15" s="469">
        <f>Encargos!$C$57</f>
        <v>0.68199999999999994</v>
      </c>
      <c r="F15" s="459">
        <f>ROUND((E15*F14),2)</f>
        <v>1019.37</v>
      </c>
      <c r="G15" s="459">
        <f>F15</f>
        <v>1019.37</v>
      </c>
      <c r="H15" s="459"/>
      <c r="I15" s="459"/>
      <c r="J15" s="460">
        <f>ROUND((E15*J14),2)</f>
        <v>0</v>
      </c>
    </row>
    <row r="16" spans="1:10" ht="19.5" customHeight="1" x14ac:dyDescent="0.3">
      <c r="A16" s="714" t="s">
        <v>489</v>
      </c>
      <c r="B16" s="714"/>
      <c r="C16" s="714"/>
      <c r="D16" s="714"/>
      <c r="E16" s="714"/>
      <c r="F16" s="470">
        <f>SUM(F14:F15)</f>
        <v>2514.0500000000002</v>
      </c>
      <c r="G16" s="470">
        <f>SUM(G14:G15)</f>
        <v>2514.0500000000002</v>
      </c>
      <c r="H16" s="470">
        <f>SUM(H14:H15)</f>
        <v>0</v>
      </c>
      <c r="I16" s="470">
        <f>SUM(I14:I15)</f>
        <v>0</v>
      </c>
      <c r="J16" s="471">
        <f>SUM(J14:J15)</f>
        <v>0</v>
      </c>
    </row>
    <row r="17" spans="1:12" ht="19.5" customHeight="1" x14ac:dyDescent="0.3">
      <c r="A17" s="715" t="s">
        <v>490</v>
      </c>
      <c r="B17" s="715"/>
      <c r="C17" s="715"/>
      <c r="D17" s="715"/>
      <c r="E17" s="715"/>
      <c r="F17" s="715"/>
      <c r="G17" s="715"/>
      <c r="H17" s="715"/>
      <c r="I17" s="715"/>
      <c r="J17" s="715"/>
    </row>
    <row r="18" spans="1:12" ht="19.5" customHeight="1" x14ac:dyDescent="0.3">
      <c r="A18" s="716" t="s">
        <v>491</v>
      </c>
      <c r="B18" s="716"/>
      <c r="C18" s="318" t="s">
        <v>312</v>
      </c>
      <c r="D18" s="717" t="s">
        <v>492</v>
      </c>
      <c r="E18" s="717"/>
      <c r="F18" s="718" t="s">
        <v>313</v>
      </c>
      <c r="G18" s="718"/>
      <c r="H18" s="718"/>
      <c r="I18" s="718"/>
      <c r="J18" s="718"/>
    </row>
    <row r="19" spans="1:12" ht="19.5" customHeight="1" x14ac:dyDescent="0.3">
      <c r="A19" s="719" t="s">
        <v>493</v>
      </c>
      <c r="B19" s="719"/>
      <c r="C19" s="473"/>
      <c r="D19" s="473"/>
      <c r="E19" s="473"/>
      <c r="F19" s="459">
        <f>Dados!$N$8</f>
        <v>30.310000000000002</v>
      </c>
      <c r="G19" s="459">
        <f>F19</f>
        <v>30.310000000000002</v>
      </c>
      <c r="H19" s="459"/>
      <c r="I19" s="459"/>
      <c r="J19" s="460"/>
    </row>
    <row r="20" spans="1:12" ht="19.5" customHeight="1" x14ac:dyDescent="0.3">
      <c r="A20" s="719" t="s">
        <v>494</v>
      </c>
      <c r="B20" s="719"/>
      <c r="C20" s="473"/>
      <c r="D20" s="473"/>
      <c r="E20" s="473"/>
      <c r="F20" s="459">
        <f>Dados!$G$29</f>
        <v>6.51</v>
      </c>
      <c r="G20" s="459">
        <f>F20</f>
        <v>6.51</v>
      </c>
      <c r="H20" s="459"/>
      <c r="I20" s="459"/>
      <c r="J20" s="460"/>
    </row>
    <row r="21" spans="1:12" ht="23.25" customHeight="1" x14ac:dyDescent="0.3">
      <c r="A21" s="720" t="s">
        <v>190</v>
      </c>
      <c r="B21" s="720"/>
      <c r="C21" s="473"/>
      <c r="D21" s="473"/>
      <c r="E21" s="473"/>
      <c r="F21" s="459">
        <f>Dados!G30</f>
        <v>0</v>
      </c>
      <c r="G21" s="459">
        <f>F21</f>
        <v>0</v>
      </c>
      <c r="H21" s="459"/>
      <c r="I21" s="459"/>
      <c r="J21" s="460"/>
    </row>
    <row r="22" spans="1:12" ht="19.5" customHeight="1" x14ac:dyDescent="0.3">
      <c r="A22" s="719" t="s">
        <v>191</v>
      </c>
      <c r="B22" s="719"/>
      <c r="C22" s="474">
        <f>Dados!$G$33</f>
        <v>22</v>
      </c>
      <c r="D22" s="474">
        <f>Dados!$G$32</f>
        <v>2</v>
      </c>
      <c r="E22" s="475">
        <f>Dados!$G$31</f>
        <v>3.99</v>
      </c>
      <c r="F22" s="459">
        <f>IF(ROUND((E22*D22*C22)-(F11*Dados!$G$34),2)&lt;0,0,ROUND((E22*D22*C22)-(F11*Dados!$G$34),2))</f>
        <v>88.49</v>
      </c>
      <c r="G22" s="459">
        <f>F22</f>
        <v>88.49</v>
      </c>
      <c r="H22" s="459"/>
      <c r="I22" s="459">
        <f>F22</f>
        <v>88.49</v>
      </c>
      <c r="J22" s="460"/>
    </row>
    <row r="23" spans="1:12" ht="19.5" customHeight="1" x14ac:dyDescent="0.3">
      <c r="A23" s="719" t="s">
        <v>200</v>
      </c>
      <c r="B23" s="719"/>
      <c r="C23" s="474">
        <f>Dados!G36</f>
        <v>22</v>
      </c>
      <c r="D23" s="476">
        <f>Dados!G37</f>
        <v>0.2</v>
      </c>
      <c r="E23" s="475">
        <f>Dados!$G$35</f>
        <v>29.15</v>
      </c>
      <c r="F23" s="477">
        <f>ROUND((IF(D11&gt;150,((C23*E23)-(C23*(D23*E23))),0)),2)</f>
        <v>513.04</v>
      </c>
      <c r="G23" s="459">
        <f>F23</f>
        <v>513.04</v>
      </c>
      <c r="H23" s="459">
        <f>$F$23</f>
        <v>513.04</v>
      </c>
      <c r="I23" s="477"/>
      <c r="J23" s="460"/>
    </row>
    <row r="24" spans="1:12" ht="19.5" customHeight="1" x14ac:dyDescent="0.3">
      <c r="A24" s="719" t="s">
        <v>203</v>
      </c>
      <c r="B24" s="719"/>
      <c r="C24" s="474"/>
      <c r="D24" s="474"/>
      <c r="E24" s="475"/>
      <c r="F24" s="477">
        <f>Dados!$G$38</f>
        <v>52</v>
      </c>
      <c r="G24" s="459"/>
      <c r="H24" s="459"/>
      <c r="I24" s="477"/>
      <c r="J24" s="460"/>
    </row>
    <row r="25" spans="1:12" ht="19.5" customHeight="1" x14ac:dyDescent="0.3">
      <c r="A25" s="719" t="s">
        <v>203</v>
      </c>
      <c r="B25" s="719"/>
      <c r="C25" s="474"/>
      <c r="D25" s="474"/>
      <c r="E25" s="475"/>
      <c r="F25" s="477">
        <f>Dados!$G$39</f>
        <v>0</v>
      </c>
      <c r="G25" s="459"/>
      <c r="H25" s="459"/>
      <c r="I25" s="477"/>
      <c r="J25" s="460"/>
    </row>
    <row r="26" spans="1:12" ht="19.5" customHeight="1" x14ac:dyDescent="0.3">
      <c r="A26" s="719" t="s">
        <v>571</v>
      </c>
      <c r="B26" s="719"/>
      <c r="C26" s="474"/>
      <c r="D26" s="475"/>
      <c r="E26" s="475"/>
      <c r="F26" s="459">
        <f>Dados!$O$8</f>
        <v>1193.4016666666666</v>
      </c>
      <c r="G26" s="459"/>
      <c r="H26" s="459"/>
      <c r="I26" s="459"/>
      <c r="J26" s="460"/>
      <c r="L26" s="478"/>
    </row>
    <row r="27" spans="1:12" ht="19.5" customHeight="1" x14ac:dyDescent="0.3">
      <c r="A27" s="472" t="s">
        <v>572</v>
      </c>
      <c r="B27" s="479"/>
      <c r="C27" s="474"/>
      <c r="D27" s="475"/>
      <c r="E27" s="475"/>
      <c r="F27" s="459">
        <f>Dados!$P$8</f>
        <v>290.61500000000001</v>
      </c>
      <c r="G27" s="459"/>
      <c r="H27" s="459"/>
      <c r="I27" s="459"/>
      <c r="J27" s="460"/>
    </row>
    <row r="28" spans="1:12" ht="19.5" customHeight="1" x14ac:dyDescent="0.3">
      <c r="A28" s="721" t="s">
        <v>495</v>
      </c>
      <c r="B28" s="721"/>
      <c r="C28" s="480"/>
      <c r="D28" s="481"/>
      <c r="E28" s="481"/>
      <c r="F28" s="465">
        <f>Dados!$Q$7</f>
        <v>10.164999999999999</v>
      </c>
      <c r="G28" s="465">
        <f>F28</f>
        <v>10.164999999999999</v>
      </c>
      <c r="H28" s="465"/>
      <c r="I28" s="465"/>
      <c r="J28" s="466"/>
    </row>
    <row r="29" spans="1:12" ht="19.5" customHeight="1" x14ac:dyDescent="0.3">
      <c r="A29" s="722" t="s">
        <v>496</v>
      </c>
      <c r="B29" s="722"/>
      <c r="C29" s="722"/>
      <c r="D29" s="722"/>
      <c r="E29" s="722"/>
      <c r="F29" s="470">
        <f>SUM(F19:F28)</f>
        <v>2184.5316666666668</v>
      </c>
      <c r="G29" s="470">
        <f>SUM(G19:G28)</f>
        <v>648.51499999999987</v>
      </c>
      <c r="H29" s="470">
        <f>SUM(H19:H28)</f>
        <v>513.04</v>
      </c>
      <c r="I29" s="470">
        <f>SUM(I19:I28)</f>
        <v>88.49</v>
      </c>
      <c r="J29" s="471">
        <f>SUM(J19:J28)</f>
        <v>0</v>
      </c>
    </row>
    <row r="30" spans="1:12" ht="19.5" customHeight="1" x14ac:dyDescent="0.3">
      <c r="A30" s="722" t="s">
        <v>497</v>
      </c>
      <c r="B30" s="722"/>
      <c r="C30" s="722"/>
      <c r="D30" s="722"/>
      <c r="E30" s="722"/>
      <c r="F30" s="470">
        <f>F16+F29</f>
        <v>4698.5816666666669</v>
      </c>
      <c r="G30" s="470">
        <f>G16+G29</f>
        <v>3162.5650000000001</v>
      </c>
      <c r="H30" s="470">
        <f>H16+H29</f>
        <v>513.04</v>
      </c>
      <c r="I30" s="470">
        <f>I16+I29</f>
        <v>88.49</v>
      </c>
      <c r="J30" s="471">
        <f>J16+J29</f>
        <v>0</v>
      </c>
    </row>
    <row r="31" spans="1:12" ht="19.5" customHeight="1" x14ac:dyDescent="0.3">
      <c r="A31" s="707" t="s">
        <v>498</v>
      </c>
      <c r="B31" s="707"/>
      <c r="C31" s="707"/>
      <c r="D31" s="707"/>
      <c r="E31" s="707"/>
      <c r="F31" s="707"/>
      <c r="G31" s="707"/>
      <c r="H31" s="707"/>
      <c r="I31" s="707"/>
      <c r="J31" s="707"/>
    </row>
    <row r="32" spans="1:12" ht="19.5" customHeight="1" x14ac:dyDescent="0.3">
      <c r="A32" s="716" t="s">
        <v>499</v>
      </c>
      <c r="B32" s="716"/>
      <c r="C32" s="716"/>
      <c r="D32" s="482" t="s">
        <v>500</v>
      </c>
      <c r="E32" s="723" t="s">
        <v>313</v>
      </c>
      <c r="F32" s="723"/>
      <c r="G32" s="723"/>
      <c r="H32" s="723"/>
      <c r="I32" s="723"/>
      <c r="J32" s="723"/>
    </row>
    <row r="33" spans="1:12" ht="19.5" customHeight="1" x14ac:dyDescent="0.3">
      <c r="A33" s="483" t="s">
        <v>501</v>
      </c>
      <c r="B33" s="484"/>
      <c r="C33" s="484"/>
      <c r="D33" s="485">
        <f>Dados!$G$42</f>
        <v>1.7100000000000001E-2</v>
      </c>
      <c r="E33" s="486"/>
      <c r="F33" s="459">
        <f>ROUND((F30*$D$33),2)</f>
        <v>80.349999999999994</v>
      </c>
      <c r="G33" s="459">
        <f>ROUND((G30*$D$33),2)</f>
        <v>54.08</v>
      </c>
      <c r="H33" s="459">
        <f>ROUND((H30*$D$33),2)</f>
        <v>8.77</v>
      </c>
      <c r="I33" s="459">
        <f>ROUND((I30*$D$33),2)</f>
        <v>1.51</v>
      </c>
      <c r="J33" s="460">
        <f>ROUND((J30*$D$33),2)</f>
        <v>0</v>
      </c>
    </row>
    <row r="34" spans="1:12" ht="19.5" customHeight="1" x14ac:dyDescent="0.3">
      <c r="A34" s="724" t="s">
        <v>502</v>
      </c>
      <c r="B34" s="724"/>
      <c r="C34" s="724"/>
      <c r="D34" s="485"/>
      <c r="E34" s="486"/>
      <c r="F34" s="459">
        <f>F30+F33</f>
        <v>4778.9316666666673</v>
      </c>
      <c r="G34" s="459">
        <f>G30+G33</f>
        <v>3216.645</v>
      </c>
      <c r="H34" s="459">
        <f>H30+H33</f>
        <v>521.80999999999995</v>
      </c>
      <c r="I34" s="459">
        <f>I30+I33</f>
        <v>90</v>
      </c>
      <c r="J34" s="460">
        <f>J30+J33</f>
        <v>0</v>
      </c>
    </row>
    <row r="35" spans="1:12" ht="19.5" customHeight="1" x14ac:dyDescent="0.3">
      <c r="A35" s="487" t="s">
        <v>208</v>
      </c>
      <c r="B35" s="488"/>
      <c r="C35" s="488"/>
      <c r="D35" s="489">
        <f>Dados!$G$43</f>
        <v>1.7000000000000001E-2</v>
      </c>
      <c r="E35" s="490"/>
      <c r="F35" s="465">
        <f>ROUND((F34*$D$35),2)</f>
        <v>81.239999999999995</v>
      </c>
      <c r="G35" s="465">
        <f>ROUND((G34*$D$35),2)</f>
        <v>54.68</v>
      </c>
      <c r="H35" s="465">
        <f>ROUND((H34*$D$35),2)</f>
        <v>8.8699999999999992</v>
      </c>
      <c r="I35" s="465">
        <f>ROUND((I34*$D$35),2)</f>
        <v>1.53</v>
      </c>
      <c r="J35" s="466">
        <f>ROUND((J34*$D$35),2)</f>
        <v>0</v>
      </c>
    </row>
    <row r="36" spans="1:12" ht="19.5" customHeight="1" x14ac:dyDescent="0.3">
      <c r="A36" s="491" t="s">
        <v>503</v>
      </c>
      <c r="B36" s="492"/>
      <c r="C36" s="492"/>
      <c r="D36" s="493">
        <f>SUM(D33:D35)</f>
        <v>3.4100000000000005E-2</v>
      </c>
      <c r="E36" s="494"/>
      <c r="F36" s="470">
        <f>F33+F35</f>
        <v>161.58999999999997</v>
      </c>
      <c r="G36" s="470">
        <f>G33+G35</f>
        <v>108.75999999999999</v>
      </c>
      <c r="H36" s="470">
        <f>H33+H35</f>
        <v>17.64</v>
      </c>
      <c r="I36" s="470">
        <f>I33+I35</f>
        <v>3.04</v>
      </c>
      <c r="J36" s="471">
        <f>J33+J35</f>
        <v>0</v>
      </c>
    </row>
    <row r="37" spans="1:12" ht="19.5" customHeight="1" x14ac:dyDescent="0.3">
      <c r="A37" s="725" t="s">
        <v>504</v>
      </c>
      <c r="B37" s="725"/>
      <c r="C37" s="725"/>
      <c r="D37" s="725"/>
      <c r="E37" s="725"/>
      <c r="F37" s="495">
        <f>F30+F36</f>
        <v>4860.1716666666671</v>
      </c>
      <c r="G37" s="495">
        <f>G30+G36</f>
        <v>3271.3249999999998</v>
      </c>
      <c r="H37" s="495">
        <f>H30+H36</f>
        <v>530.67999999999995</v>
      </c>
      <c r="I37" s="495">
        <f>I30+I36</f>
        <v>91.53</v>
      </c>
      <c r="J37" s="496">
        <f>J30+J36</f>
        <v>0</v>
      </c>
    </row>
    <row r="38" spans="1:12" ht="19.5" customHeight="1" x14ac:dyDescent="0.3">
      <c r="A38" s="726" t="s">
        <v>505</v>
      </c>
      <c r="B38" s="726"/>
      <c r="C38" s="726"/>
      <c r="D38" s="726"/>
      <c r="E38" s="726"/>
      <c r="F38" s="726"/>
      <c r="G38" s="726"/>
      <c r="H38" s="726"/>
      <c r="I38" s="726"/>
      <c r="J38" s="726"/>
    </row>
    <row r="39" spans="1:12" ht="19.5" customHeight="1" x14ac:dyDescent="0.3">
      <c r="A39" s="719" t="s">
        <v>213</v>
      </c>
      <c r="B39" s="719"/>
      <c r="C39" s="719"/>
      <c r="D39" s="485">
        <f>Dados!G50</f>
        <v>0.03</v>
      </c>
      <c r="E39" s="497"/>
      <c r="F39" s="459">
        <f>ROUND(($F$45*D39),2)</f>
        <v>156.19</v>
      </c>
      <c r="G39" s="459">
        <f>ROUND((G45*$D$39),2)</f>
        <v>105.13</v>
      </c>
      <c r="H39" s="459">
        <f>ROUND((H45*$D$39),2)</f>
        <v>17.05</v>
      </c>
      <c r="I39" s="459">
        <f>ROUND((I45*$D$39),2)</f>
        <v>2.94</v>
      </c>
      <c r="J39" s="460">
        <f>ROUND((J45*$D$39),2)</f>
        <v>0</v>
      </c>
    </row>
    <row r="40" spans="1:12" ht="19.5" customHeight="1" x14ac:dyDescent="0.3">
      <c r="A40" s="719" t="s">
        <v>215</v>
      </c>
      <c r="B40" s="719"/>
      <c r="C40" s="719"/>
      <c r="D40" s="485">
        <f>Dados!G51</f>
        <v>6.4999999999999997E-3</v>
      </c>
      <c r="E40" s="497"/>
      <c r="F40" s="459">
        <f>ROUND((F45*$D$40),2)</f>
        <v>33.840000000000003</v>
      </c>
      <c r="G40" s="459">
        <f>ROUND((G45*$D$40),2)</f>
        <v>22.78</v>
      </c>
      <c r="H40" s="459">
        <f>ROUND((H45*$D$40),2)</f>
        <v>3.7</v>
      </c>
      <c r="I40" s="459">
        <f>ROUND((I45*$D$40),2)</f>
        <v>0.64</v>
      </c>
      <c r="J40" s="460">
        <f>ROUND((J45*$D$40),2)</f>
        <v>0</v>
      </c>
    </row>
    <row r="41" spans="1:12" ht="19.5" customHeight="1" x14ac:dyDescent="0.3">
      <c r="A41" s="719" t="s">
        <v>216</v>
      </c>
      <c r="B41" s="719"/>
      <c r="C41" s="719"/>
      <c r="D41" s="485">
        <f>Dados!G52</f>
        <v>0.03</v>
      </c>
      <c r="E41" s="497"/>
      <c r="F41" s="459">
        <f>ROUND((F45*$D$41),2)</f>
        <v>156.19</v>
      </c>
      <c r="G41" s="459">
        <f>ROUND((G45*$D$41),2)</f>
        <v>105.13</v>
      </c>
      <c r="H41" s="459">
        <f>ROUND((H45*$D$41),2)</f>
        <v>17.05</v>
      </c>
      <c r="I41" s="459">
        <f>ROUND((I45*$D$41),2)</f>
        <v>2.94</v>
      </c>
      <c r="J41" s="460">
        <f>ROUND((J45*$D$41),2)</f>
        <v>0</v>
      </c>
    </row>
    <row r="42" spans="1:12" ht="19.5" customHeight="1" x14ac:dyDescent="0.3">
      <c r="A42" s="719" t="s">
        <v>203</v>
      </c>
      <c r="B42" s="719"/>
      <c r="C42" s="719"/>
      <c r="D42" s="485">
        <f>Dados!G53</f>
        <v>0</v>
      </c>
      <c r="E42" s="497"/>
      <c r="F42" s="459">
        <f>ROUND((F45*$D$42),2)</f>
        <v>0</v>
      </c>
      <c r="G42" s="459">
        <f>ROUND((G45*$D$42),2)</f>
        <v>0</v>
      </c>
      <c r="H42" s="459">
        <f>ROUND((H45*$D$42),2)</f>
        <v>0</v>
      </c>
      <c r="I42" s="459">
        <f>ROUND((I45*$D$42),2)</f>
        <v>0</v>
      </c>
      <c r="J42" s="460">
        <f>ROUND((J45*$D$42),2)</f>
        <v>0</v>
      </c>
    </row>
    <row r="43" spans="1:12" ht="19.5" customHeight="1" x14ac:dyDescent="0.3">
      <c r="A43" s="728" t="s">
        <v>506</v>
      </c>
      <c r="B43" s="728"/>
      <c r="C43" s="728"/>
      <c r="D43" s="498">
        <f>SUM(D39:D42)</f>
        <v>6.6500000000000004E-2</v>
      </c>
      <c r="E43" s="499"/>
      <c r="F43" s="500">
        <f>SUM(F39:F42)</f>
        <v>346.22</v>
      </c>
      <c r="G43" s="500">
        <f>SUM(G39:G42)</f>
        <v>233.04</v>
      </c>
      <c r="H43" s="500">
        <f>SUM(H39:H42)</f>
        <v>37.799999999999997</v>
      </c>
      <c r="I43" s="500">
        <f>SUM(I39:I42)</f>
        <v>6.52</v>
      </c>
      <c r="J43" s="501">
        <f>SUM(J39:J41)</f>
        <v>0</v>
      </c>
    </row>
    <row r="44" spans="1:12" ht="19.5" customHeight="1" x14ac:dyDescent="0.3">
      <c r="A44" s="729" t="str">
        <f>CONCATENATE("Custo Mensal - ",A7)</f>
        <v xml:space="preserve">Custo Mensal - Servente de Limpeza acúmulo de função Copeira </v>
      </c>
      <c r="B44" s="729"/>
      <c r="C44" s="729"/>
      <c r="D44" s="729"/>
      <c r="E44" s="729"/>
      <c r="F44" s="502">
        <f>ROUND(F37/(1-D43),2)</f>
        <v>5206.3999999999996</v>
      </c>
      <c r="G44" s="502">
        <f>ROUND(G37/(1-D43),2)</f>
        <v>3504.37</v>
      </c>
      <c r="H44" s="502">
        <f>ROUND(H37/(1-D43),2)</f>
        <v>568.48</v>
      </c>
      <c r="I44" s="502">
        <f>ROUND(I37/(1-D43),2)</f>
        <v>98.05</v>
      </c>
      <c r="J44" s="503">
        <f>ROUND(J37/(1-D43),2)</f>
        <v>0</v>
      </c>
    </row>
    <row r="45" spans="1:12" ht="19.5" customHeight="1" x14ac:dyDescent="0.3">
      <c r="A45" s="730" t="str">
        <f>CONCATENATE("Valor do Custo Mensal - ",A7)</f>
        <v xml:space="preserve">Valor do Custo Mensal - Servente de Limpeza acúmulo de função Copeira </v>
      </c>
      <c r="B45" s="730"/>
      <c r="C45" s="730"/>
      <c r="D45" s="730"/>
      <c r="E45" s="730"/>
      <c r="F45" s="502">
        <f>F44</f>
        <v>5206.3999999999996</v>
      </c>
      <c r="G45" s="502">
        <f>G44</f>
        <v>3504.37</v>
      </c>
      <c r="H45" s="502">
        <f>H44</f>
        <v>568.48</v>
      </c>
      <c r="I45" s="502">
        <f>I44</f>
        <v>98.05</v>
      </c>
      <c r="J45" s="503">
        <f>J44</f>
        <v>0</v>
      </c>
      <c r="K45" s="504"/>
      <c r="L45" s="504"/>
    </row>
    <row r="46" spans="1:12" ht="27.75" customHeight="1" x14ac:dyDescent="0.3">
      <c r="A46" s="731" t="s">
        <v>507</v>
      </c>
      <c r="B46" s="731"/>
      <c r="C46" s="731"/>
      <c r="D46" s="731"/>
      <c r="E46" s="731"/>
      <c r="F46" s="505">
        <f>(F45/F14)</f>
        <v>3.4832873926191557</v>
      </c>
      <c r="G46" s="505">
        <f>(G45/G14)</f>
        <v>2.3445620467257204</v>
      </c>
      <c r="H46" s="727" t="s">
        <v>508</v>
      </c>
      <c r="I46" s="727"/>
      <c r="J46" s="506">
        <v>0</v>
      </c>
    </row>
    <row r="47" spans="1:12" ht="19.5" customHeight="1" x14ac:dyDescent="0.3"/>
  </sheetData>
  <sheetProtection algorithmName="SHA-512" hashValue="bhmLfQEIBOOw+64y0pwpJxSubIQohXTQvqCdn0waGUm4v8dcXO9o3Q7/QU/Cx3Ls7VjcpL5/1Qs/mBkbIzvcIg==" saltValue="E1bvHkOV+E6OvVrelVp80g=="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249977111117893"/>
    <pageSetUpPr fitToPage="1"/>
  </sheetPr>
  <dimension ref="A1:L47"/>
  <sheetViews>
    <sheetView showGridLines="0" view="pageBreakPreview" zoomScale="60" zoomScaleNormal="100" zoomScalePageLayoutView="110" workbookViewId="0">
      <selection activeCell="M19" sqref="M18:M19"/>
    </sheetView>
  </sheetViews>
  <sheetFormatPr defaultColWidth="9.109375" defaultRowHeight="13.5" customHeight="1" x14ac:dyDescent="0.3"/>
  <cols>
    <col min="1" max="1" width="10.5546875" style="103" customWidth="1"/>
    <col min="2" max="2" width="27.6640625" style="103" customWidth="1"/>
    <col min="3" max="3" width="14.44140625" style="103" customWidth="1"/>
    <col min="4" max="5" width="15" style="103" customWidth="1"/>
    <col min="6" max="6" width="16.6640625" style="443" customWidth="1"/>
    <col min="7" max="8" width="13.109375" style="443" customWidth="1"/>
    <col min="9" max="10" width="12.5546875" style="443" customWidth="1"/>
    <col min="11" max="257" width="9.109375" style="103"/>
    <col min="258" max="258" width="10.5546875" style="103" customWidth="1"/>
    <col min="259" max="259" width="27.6640625" style="103" customWidth="1"/>
    <col min="260" max="260" width="14.44140625" style="103" customWidth="1"/>
    <col min="261" max="262" width="15" style="103" customWidth="1"/>
    <col min="263" max="263" width="16.6640625" style="103" customWidth="1"/>
    <col min="264" max="264" width="13.109375" style="103" customWidth="1"/>
    <col min="265" max="266" width="12.5546875" style="103" customWidth="1"/>
    <col min="267" max="513" width="9.109375" style="103"/>
    <col min="514" max="514" width="10.5546875" style="103" customWidth="1"/>
    <col min="515" max="515" width="27.6640625" style="103" customWidth="1"/>
    <col min="516" max="516" width="14.44140625" style="103" customWidth="1"/>
    <col min="517" max="518" width="15" style="103" customWidth="1"/>
    <col min="519" max="519" width="16.6640625" style="103" customWidth="1"/>
    <col min="520" max="520" width="13.109375" style="103" customWidth="1"/>
    <col min="521" max="522" width="12.5546875" style="103" customWidth="1"/>
    <col min="523" max="769" width="9.109375" style="103"/>
    <col min="770" max="770" width="10.5546875" style="103" customWidth="1"/>
    <col min="771" max="771" width="27.6640625" style="103" customWidth="1"/>
    <col min="772" max="772" width="14.44140625" style="103" customWidth="1"/>
    <col min="773" max="774" width="15" style="103" customWidth="1"/>
    <col min="775" max="775" width="16.6640625" style="103" customWidth="1"/>
    <col min="776" max="776" width="13.109375" style="103" customWidth="1"/>
    <col min="777" max="778" width="12.5546875" style="103" customWidth="1"/>
    <col min="779" max="1025" width="9.109375" style="103"/>
    <col min="1026" max="1026" width="10.5546875" style="103" customWidth="1"/>
    <col min="1027" max="1027" width="27.6640625" style="103" customWidth="1"/>
    <col min="1028" max="1028" width="14.44140625" style="103" customWidth="1"/>
    <col min="1029" max="1030" width="15" style="103" customWidth="1"/>
    <col min="1031" max="1031" width="16.6640625" style="103" customWidth="1"/>
    <col min="1032" max="1032" width="13.109375" style="103" customWidth="1"/>
    <col min="1033" max="1034" width="12.5546875" style="103" customWidth="1"/>
    <col min="1035" max="1281" width="9.109375" style="103"/>
    <col min="1282" max="1282" width="10.5546875" style="103" customWidth="1"/>
    <col min="1283" max="1283" width="27.6640625" style="103" customWidth="1"/>
    <col min="1284" max="1284" width="14.44140625" style="103" customWidth="1"/>
    <col min="1285" max="1286" width="15" style="103" customWidth="1"/>
    <col min="1287" max="1287" width="16.6640625" style="103" customWidth="1"/>
    <col min="1288" max="1288" width="13.109375" style="103" customWidth="1"/>
    <col min="1289" max="1290" width="12.5546875" style="103" customWidth="1"/>
    <col min="1291" max="1537" width="9.109375" style="103"/>
    <col min="1538" max="1538" width="10.5546875" style="103" customWidth="1"/>
    <col min="1539" max="1539" width="27.6640625" style="103" customWidth="1"/>
    <col min="1540" max="1540" width="14.44140625" style="103" customWidth="1"/>
    <col min="1541" max="1542" width="15" style="103" customWidth="1"/>
    <col min="1543" max="1543" width="16.6640625" style="103" customWidth="1"/>
    <col min="1544" max="1544" width="13.109375" style="103" customWidth="1"/>
    <col min="1545" max="1546" width="12.5546875" style="103" customWidth="1"/>
    <col min="1547" max="1793" width="9.109375" style="103"/>
    <col min="1794" max="1794" width="10.5546875" style="103" customWidth="1"/>
    <col min="1795" max="1795" width="27.6640625" style="103" customWidth="1"/>
    <col min="1796" max="1796" width="14.44140625" style="103" customWidth="1"/>
    <col min="1797" max="1798" width="15" style="103" customWidth="1"/>
    <col min="1799" max="1799" width="16.6640625" style="103" customWidth="1"/>
    <col min="1800" max="1800" width="13.109375" style="103" customWidth="1"/>
    <col min="1801" max="1802" width="12.5546875" style="103" customWidth="1"/>
    <col min="1803" max="2049" width="9.109375" style="103"/>
    <col min="2050" max="2050" width="10.5546875" style="103" customWidth="1"/>
    <col min="2051" max="2051" width="27.6640625" style="103" customWidth="1"/>
    <col min="2052" max="2052" width="14.44140625" style="103" customWidth="1"/>
    <col min="2053" max="2054" width="15" style="103" customWidth="1"/>
    <col min="2055" max="2055" width="16.6640625" style="103" customWidth="1"/>
    <col min="2056" max="2056" width="13.109375" style="103" customWidth="1"/>
    <col min="2057" max="2058" width="12.5546875" style="103" customWidth="1"/>
    <col min="2059" max="2305" width="9.109375" style="103"/>
    <col min="2306" max="2306" width="10.5546875" style="103" customWidth="1"/>
    <col min="2307" max="2307" width="27.6640625" style="103" customWidth="1"/>
    <col min="2308" max="2308" width="14.44140625" style="103" customWidth="1"/>
    <col min="2309" max="2310" width="15" style="103" customWidth="1"/>
    <col min="2311" max="2311" width="16.6640625" style="103" customWidth="1"/>
    <col min="2312" max="2312" width="13.109375" style="103" customWidth="1"/>
    <col min="2313" max="2314" width="12.5546875" style="103" customWidth="1"/>
    <col min="2315" max="2561" width="9.109375" style="103"/>
    <col min="2562" max="2562" width="10.5546875" style="103" customWidth="1"/>
    <col min="2563" max="2563" width="27.6640625" style="103" customWidth="1"/>
    <col min="2564" max="2564" width="14.44140625" style="103" customWidth="1"/>
    <col min="2565" max="2566" width="15" style="103" customWidth="1"/>
    <col min="2567" max="2567" width="16.6640625" style="103" customWidth="1"/>
    <col min="2568" max="2568" width="13.109375" style="103" customWidth="1"/>
    <col min="2569" max="2570" width="12.5546875" style="103" customWidth="1"/>
    <col min="2571" max="2817" width="9.109375" style="103"/>
    <col min="2818" max="2818" width="10.5546875" style="103" customWidth="1"/>
    <col min="2819" max="2819" width="27.6640625" style="103" customWidth="1"/>
    <col min="2820" max="2820" width="14.44140625" style="103" customWidth="1"/>
    <col min="2821" max="2822" width="15" style="103" customWidth="1"/>
    <col min="2823" max="2823" width="16.6640625" style="103" customWidth="1"/>
    <col min="2824" max="2824" width="13.109375" style="103" customWidth="1"/>
    <col min="2825" max="2826" width="12.5546875" style="103" customWidth="1"/>
    <col min="2827" max="3073" width="9.109375" style="103"/>
    <col min="3074" max="3074" width="10.5546875" style="103" customWidth="1"/>
    <col min="3075" max="3075" width="27.6640625" style="103" customWidth="1"/>
    <col min="3076" max="3076" width="14.44140625" style="103" customWidth="1"/>
    <col min="3077" max="3078" width="15" style="103" customWidth="1"/>
    <col min="3079" max="3079" width="16.6640625" style="103" customWidth="1"/>
    <col min="3080" max="3080" width="13.109375" style="103" customWidth="1"/>
    <col min="3081" max="3082" width="12.5546875" style="103" customWidth="1"/>
    <col min="3083" max="3329" width="9.109375" style="103"/>
    <col min="3330" max="3330" width="10.5546875" style="103" customWidth="1"/>
    <col min="3331" max="3331" width="27.6640625" style="103" customWidth="1"/>
    <col min="3332" max="3332" width="14.44140625" style="103" customWidth="1"/>
    <col min="3333" max="3334" width="15" style="103" customWidth="1"/>
    <col min="3335" max="3335" width="16.6640625" style="103" customWidth="1"/>
    <col min="3336" max="3336" width="13.109375" style="103" customWidth="1"/>
    <col min="3337" max="3338" width="12.5546875" style="103" customWidth="1"/>
    <col min="3339" max="3585" width="9.109375" style="103"/>
    <col min="3586" max="3586" width="10.5546875" style="103" customWidth="1"/>
    <col min="3587" max="3587" width="27.6640625" style="103" customWidth="1"/>
    <col min="3588" max="3588" width="14.44140625" style="103" customWidth="1"/>
    <col min="3589" max="3590" width="15" style="103" customWidth="1"/>
    <col min="3591" max="3591" width="16.6640625" style="103" customWidth="1"/>
    <col min="3592" max="3592" width="13.109375" style="103" customWidth="1"/>
    <col min="3593" max="3594" width="12.5546875" style="103" customWidth="1"/>
    <col min="3595" max="3841" width="9.109375" style="103"/>
    <col min="3842" max="3842" width="10.5546875" style="103" customWidth="1"/>
    <col min="3843" max="3843" width="27.6640625" style="103" customWidth="1"/>
    <col min="3844" max="3844" width="14.44140625" style="103" customWidth="1"/>
    <col min="3845" max="3846" width="15" style="103" customWidth="1"/>
    <col min="3847" max="3847" width="16.6640625" style="103" customWidth="1"/>
    <col min="3848" max="3848" width="13.109375" style="103" customWidth="1"/>
    <col min="3849" max="3850" width="12.5546875" style="103" customWidth="1"/>
    <col min="3851" max="4097" width="9.109375" style="103"/>
    <col min="4098" max="4098" width="10.5546875" style="103" customWidth="1"/>
    <col min="4099" max="4099" width="27.6640625" style="103" customWidth="1"/>
    <col min="4100" max="4100" width="14.44140625" style="103" customWidth="1"/>
    <col min="4101" max="4102" width="15" style="103" customWidth="1"/>
    <col min="4103" max="4103" width="16.6640625" style="103" customWidth="1"/>
    <col min="4104" max="4104" width="13.109375" style="103" customWidth="1"/>
    <col min="4105" max="4106" width="12.5546875" style="103" customWidth="1"/>
    <col min="4107" max="4353" width="9.109375" style="103"/>
    <col min="4354" max="4354" width="10.5546875" style="103" customWidth="1"/>
    <col min="4355" max="4355" width="27.6640625" style="103" customWidth="1"/>
    <col min="4356" max="4356" width="14.44140625" style="103" customWidth="1"/>
    <col min="4357" max="4358" width="15" style="103" customWidth="1"/>
    <col min="4359" max="4359" width="16.6640625" style="103" customWidth="1"/>
    <col min="4360" max="4360" width="13.109375" style="103" customWidth="1"/>
    <col min="4361" max="4362" width="12.5546875" style="103" customWidth="1"/>
    <col min="4363" max="4609" width="9.109375" style="103"/>
    <col min="4610" max="4610" width="10.5546875" style="103" customWidth="1"/>
    <col min="4611" max="4611" width="27.6640625" style="103" customWidth="1"/>
    <col min="4612" max="4612" width="14.44140625" style="103" customWidth="1"/>
    <col min="4613" max="4614" width="15" style="103" customWidth="1"/>
    <col min="4615" max="4615" width="16.6640625" style="103" customWidth="1"/>
    <col min="4616" max="4616" width="13.109375" style="103" customWidth="1"/>
    <col min="4617" max="4618" width="12.5546875" style="103" customWidth="1"/>
    <col min="4619" max="4865" width="9.109375" style="103"/>
    <col min="4866" max="4866" width="10.5546875" style="103" customWidth="1"/>
    <col min="4867" max="4867" width="27.6640625" style="103" customWidth="1"/>
    <col min="4868" max="4868" width="14.44140625" style="103" customWidth="1"/>
    <col min="4869" max="4870" width="15" style="103" customWidth="1"/>
    <col min="4871" max="4871" width="16.6640625" style="103" customWidth="1"/>
    <col min="4872" max="4872" width="13.109375" style="103" customWidth="1"/>
    <col min="4873" max="4874" width="12.5546875" style="103" customWidth="1"/>
    <col min="4875" max="5121" width="9.109375" style="103"/>
    <col min="5122" max="5122" width="10.5546875" style="103" customWidth="1"/>
    <col min="5123" max="5123" width="27.6640625" style="103" customWidth="1"/>
    <col min="5124" max="5124" width="14.44140625" style="103" customWidth="1"/>
    <col min="5125" max="5126" width="15" style="103" customWidth="1"/>
    <col min="5127" max="5127" width="16.6640625" style="103" customWidth="1"/>
    <col min="5128" max="5128" width="13.109375" style="103" customWidth="1"/>
    <col min="5129" max="5130" width="12.5546875" style="103" customWidth="1"/>
    <col min="5131" max="5377" width="9.109375" style="103"/>
    <col min="5378" max="5378" width="10.5546875" style="103" customWidth="1"/>
    <col min="5379" max="5379" width="27.6640625" style="103" customWidth="1"/>
    <col min="5380" max="5380" width="14.44140625" style="103" customWidth="1"/>
    <col min="5381" max="5382" width="15" style="103" customWidth="1"/>
    <col min="5383" max="5383" width="16.6640625" style="103" customWidth="1"/>
    <col min="5384" max="5384" width="13.109375" style="103" customWidth="1"/>
    <col min="5385" max="5386" width="12.5546875" style="103" customWidth="1"/>
    <col min="5387" max="5633" width="9.109375" style="103"/>
    <col min="5634" max="5634" width="10.5546875" style="103" customWidth="1"/>
    <col min="5635" max="5635" width="27.6640625" style="103" customWidth="1"/>
    <col min="5636" max="5636" width="14.44140625" style="103" customWidth="1"/>
    <col min="5637" max="5638" width="15" style="103" customWidth="1"/>
    <col min="5639" max="5639" width="16.6640625" style="103" customWidth="1"/>
    <col min="5640" max="5640" width="13.109375" style="103" customWidth="1"/>
    <col min="5641" max="5642" width="12.5546875" style="103" customWidth="1"/>
    <col min="5643" max="5889" width="9.109375" style="103"/>
    <col min="5890" max="5890" width="10.5546875" style="103" customWidth="1"/>
    <col min="5891" max="5891" width="27.6640625" style="103" customWidth="1"/>
    <col min="5892" max="5892" width="14.44140625" style="103" customWidth="1"/>
    <col min="5893" max="5894" width="15" style="103" customWidth="1"/>
    <col min="5895" max="5895" width="16.6640625" style="103" customWidth="1"/>
    <col min="5896" max="5896" width="13.109375" style="103" customWidth="1"/>
    <col min="5897" max="5898" width="12.5546875" style="103" customWidth="1"/>
    <col min="5899" max="6145" width="9.109375" style="103"/>
    <col min="6146" max="6146" width="10.5546875" style="103" customWidth="1"/>
    <col min="6147" max="6147" width="27.6640625" style="103" customWidth="1"/>
    <col min="6148" max="6148" width="14.44140625" style="103" customWidth="1"/>
    <col min="6149" max="6150" width="15" style="103" customWidth="1"/>
    <col min="6151" max="6151" width="16.6640625" style="103" customWidth="1"/>
    <col min="6152" max="6152" width="13.109375" style="103" customWidth="1"/>
    <col min="6153" max="6154" width="12.5546875" style="103" customWidth="1"/>
    <col min="6155" max="6401" width="9.109375" style="103"/>
    <col min="6402" max="6402" width="10.5546875" style="103" customWidth="1"/>
    <col min="6403" max="6403" width="27.6640625" style="103" customWidth="1"/>
    <col min="6404" max="6404" width="14.44140625" style="103" customWidth="1"/>
    <col min="6405" max="6406" width="15" style="103" customWidth="1"/>
    <col min="6407" max="6407" width="16.6640625" style="103" customWidth="1"/>
    <col min="6408" max="6408" width="13.109375" style="103" customWidth="1"/>
    <col min="6409" max="6410" width="12.5546875" style="103" customWidth="1"/>
    <col min="6411" max="6657" width="9.109375" style="103"/>
    <col min="6658" max="6658" width="10.5546875" style="103" customWidth="1"/>
    <col min="6659" max="6659" width="27.6640625" style="103" customWidth="1"/>
    <col min="6660" max="6660" width="14.44140625" style="103" customWidth="1"/>
    <col min="6661" max="6662" width="15" style="103" customWidth="1"/>
    <col min="6663" max="6663" width="16.6640625" style="103" customWidth="1"/>
    <col min="6664" max="6664" width="13.109375" style="103" customWidth="1"/>
    <col min="6665" max="6666" width="12.5546875" style="103" customWidth="1"/>
    <col min="6667" max="6913" width="9.109375" style="103"/>
    <col min="6914" max="6914" width="10.5546875" style="103" customWidth="1"/>
    <col min="6915" max="6915" width="27.6640625" style="103" customWidth="1"/>
    <col min="6916" max="6916" width="14.44140625" style="103" customWidth="1"/>
    <col min="6917" max="6918" width="15" style="103" customWidth="1"/>
    <col min="6919" max="6919" width="16.6640625" style="103" customWidth="1"/>
    <col min="6920" max="6920" width="13.109375" style="103" customWidth="1"/>
    <col min="6921" max="6922" width="12.5546875" style="103" customWidth="1"/>
    <col min="6923" max="7169" width="9.109375" style="103"/>
    <col min="7170" max="7170" width="10.5546875" style="103" customWidth="1"/>
    <col min="7171" max="7171" width="27.6640625" style="103" customWidth="1"/>
    <col min="7172" max="7172" width="14.44140625" style="103" customWidth="1"/>
    <col min="7173" max="7174" width="15" style="103" customWidth="1"/>
    <col min="7175" max="7175" width="16.6640625" style="103" customWidth="1"/>
    <col min="7176" max="7176" width="13.109375" style="103" customWidth="1"/>
    <col min="7177" max="7178" width="12.5546875" style="103" customWidth="1"/>
    <col min="7179" max="7425" width="9.109375" style="103"/>
    <col min="7426" max="7426" width="10.5546875" style="103" customWidth="1"/>
    <col min="7427" max="7427" width="27.6640625" style="103" customWidth="1"/>
    <col min="7428" max="7428" width="14.44140625" style="103" customWidth="1"/>
    <col min="7429" max="7430" width="15" style="103" customWidth="1"/>
    <col min="7431" max="7431" width="16.6640625" style="103" customWidth="1"/>
    <col min="7432" max="7432" width="13.109375" style="103" customWidth="1"/>
    <col min="7433" max="7434" width="12.5546875" style="103" customWidth="1"/>
    <col min="7435" max="7681" width="9.109375" style="103"/>
    <col min="7682" max="7682" width="10.5546875" style="103" customWidth="1"/>
    <col min="7683" max="7683" width="27.6640625" style="103" customWidth="1"/>
    <col min="7684" max="7684" width="14.44140625" style="103" customWidth="1"/>
    <col min="7685" max="7686" width="15" style="103" customWidth="1"/>
    <col min="7687" max="7687" width="16.6640625" style="103" customWidth="1"/>
    <col min="7688" max="7688" width="13.109375" style="103" customWidth="1"/>
    <col min="7689" max="7690" width="12.5546875" style="103" customWidth="1"/>
    <col min="7691" max="7937" width="9.109375" style="103"/>
    <col min="7938" max="7938" width="10.5546875" style="103" customWidth="1"/>
    <col min="7939" max="7939" width="27.6640625" style="103" customWidth="1"/>
    <col min="7940" max="7940" width="14.44140625" style="103" customWidth="1"/>
    <col min="7941" max="7942" width="15" style="103" customWidth="1"/>
    <col min="7943" max="7943" width="16.6640625" style="103" customWidth="1"/>
    <col min="7944" max="7944" width="13.109375" style="103" customWidth="1"/>
    <col min="7945" max="7946" width="12.5546875" style="103" customWidth="1"/>
    <col min="7947" max="8193" width="9.109375" style="103"/>
    <col min="8194" max="8194" width="10.5546875" style="103" customWidth="1"/>
    <col min="8195" max="8195" width="27.6640625" style="103" customWidth="1"/>
    <col min="8196" max="8196" width="14.44140625" style="103" customWidth="1"/>
    <col min="8197" max="8198" width="15" style="103" customWidth="1"/>
    <col min="8199" max="8199" width="16.6640625" style="103" customWidth="1"/>
    <col min="8200" max="8200" width="13.109375" style="103" customWidth="1"/>
    <col min="8201" max="8202" width="12.5546875" style="103" customWidth="1"/>
    <col min="8203" max="8449" width="9.109375" style="103"/>
    <col min="8450" max="8450" width="10.5546875" style="103" customWidth="1"/>
    <col min="8451" max="8451" width="27.6640625" style="103" customWidth="1"/>
    <col min="8452" max="8452" width="14.44140625" style="103" customWidth="1"/>
    <col min="8453" max="8454" width="15" style="103" customWidth="1"/>
    <col min="8455" max="8455" width="16.6640625" style="103" customWidth="1"/>
    <col min="8456" max="8456" width="13.109375" style="103" customWidth="1"/>
    <col min="8457" max="8458" width="12.5546875" style="103" customWidth="1"/>
    <col min="8459" max="8705" width="9.109375" style="103"/>
    <col min="8706" max="8706" width="10.5546875" style="103" customWidth="1"/>
    <col min="8707" max="8707" width="27.6640625" style="103" customWidth="1"/>
    <col min="8708" max="8708" width="14.44140625" style="103" customWidth="1"/>
    <col min="8709" max="8710" width="15" style="103" customWidth="1"/>
    <col min="8711" max="8711" width="16.6640625" style="103" customWidth="1"/>
    <col min="8712" max="8712" width="13.109375" style="103" customWidth="1"/>
    <col min="8713" max="8714" width="12.5546875" style="103" customWidth="1"/>
    <col min="8715" max="8961" width="9.109375" style="103"/>
    <col min="8962" max="8962" width="10.5546875" style="103" customWidth="1"/>
    <col min="8963" max="8963" width="27.6640625" style="103" customWidth="1"/>
    <col min="8964" max="8964" width="14.44140625" style="103" customWidth="1"/>
    <col min="8965" max="8966" width="15" style="103" customWidth="1"/>
    <col min="8967" max="8967" width="16.6640625" style="103" customWidth="1"/>
    <col min="8968" max="8968" width="13.109375" style="103" customWidth="1"/>
    <col min="8969" max="8970" width="12.5546875" style="103" customWidth="1"/>
    <col min="8971" max="9217" width="9.109375" style="103"/>
    <col min="9218" max="9218" width="10.5546875" style="103" customWidth="1"/>
    <col min="9219" max="9219" width="27.6640625" style="103" customWidth="1"/>
    <col min="9220" max="9220" width="14.44140625" style="103" customWidth="1"/>
    <col min="9221" max="9222" width="15" style="103" customWidth="1"/>
    <col min="9223" max="9223" width="16.6640625" style="103" customWidth="1"/>
    <col min="9224" max="9224" width="13.109375" style="103" customWidth="1"/>
    <col min="9225" max="9226" width="12.5546875" style="103" customWidth="1"/>
    <col min="9227" max="9473" width="9.109375" style="103"/>
    <col min="9474" max="9474" width="10.5546875" style="103" customWidth="1"/>
    <col min="9475" max="9475" width="27.6640625" style="103" customWidth="1"/>
    <col min="9476" max="9476" width="14.44140625" style="103" customWidth="1"/>
    <col min="9477" max="9478" width="15" style="103" customWidth="1"/>
    <col min="9479" max="9479" width="16.6640625" style="103" customWidth="1"/>
    <col min="9480" max="9480" width="13.109375" style="103" customWidth="1"/>
    <col min="9481" max="9482" width="12.5546875" style="103" customWidth="1"/>
    <col min="9483" max="9729" width="9.109375" style="103"/>
    <col min="9730" max="9730" width="10.5546875" style="103" customWidth="1"/>
    <col min="9731" max="9731" width="27.6640625" style="103" customWidth="1"/>
    <col min="9732" max="9732" width="14.44140625" style="103" customWidth="1"/>
    <col min="9733" max="9734" width="15" style="103" customWidth="1"/>
    <col min="9735" max="9735" width="16.6640625" style="103" customWidth="1"/>
    <col min="9736" max="9736" width="13.109375" style="103" customWidth="1"/>
    <col min="9737" max="9738" width="12.5546875" style="103" customWidth="1"/>
    <col min="9739" max="9985" width="9.109375" style="103"/>
    <col min="9986" max="9986" width="10.5546875" style="103" customWidth="1"/>
    <col min="9987" max="9987" width="27.6640625" style="103" customWidth="1"/>
    <col min="9988" max="9988" width="14.44140625" style="103" customWidth="1"/>
    <col min="9989" max="9990" width="15" style="103" customWidth="1"/>
    <col min="9991" max="9991" width="16.6640625" style="103" customWidth="1"/>
    <col min="9992" max="9992" width="13.109375" style="103" customWidth="1"/>
    <col min="9993" max="9994" width="12.5546875" style="103" customWidth="1"/>
    <col min="9995" max="10241" width="9.109375" style="103"/>
    <col min="10242" max="10242" width="10.5546875" style="103" customWidth="1"/>
    <col min="10243" max="10243" width="27.6640625" style="103" customWidth="1"/>
    <col min="10244" max="10244" width="14.44140625" style="103" customWidth="1"/>
    <col min="10245" max="10246" width="15" style="103" customWidth="1"/>
    <col min="10247" max="10247" width="16.6640625" style="103" customWidth="1"/>
    <col min="10248" max="10248" width="13.109375" style="103" customWidth="1"/>
    <col min="10249" max="10250" width="12.5546875" style="103" customWidth="1"/>
    <col min="10251" max="10497" width="9.109375" style="103"/>
    <col min="10498" max="10498" width="10.5546875" style="103" customWidth="1"/>
    <col min="10499" max="10499" width="27.6640625" style="103" customWidth="1"/>
    <col min="10500" max="10500" width="14.44140625" style="103" customWidth="1"/>
    <col min="10501" max="10502" width="15" style="103" customWidth="1"/>
    <col min="10503" max="10503" width="16.6640625" style="103" customWidth="1"/>
    <col min="10504" max="10504" width="13.109375" style="103" customWidth="1"/>
    <col min="10505" max="10506" width="12.5546875" style="103" customWidth="1"/>
    <col min="10507" max="10753" width="9.109375" style="103"/>
    <col min="10754" max="10754" width="10.5546875" style="103" customWidth="1"/>
    <col min="10755" max="10755" width="27.6640625" style="103" customWidth="1"/>
    <col min="10756" max="10756" width="14.44140625" style="103" customWidth="1"/>
    <col min="10757" max="10758" width="15" style="103" customWidth="1"/>
    <col min="10759" max="10759" width="16.6640625" style="103" customWidth="1"/>
    <col min="10760" max="10760" width="13.109375" style="103" customWidth="1"/>
    <col min="10761" max="10762" width="12.5546875" style="103" customWidth="1"/>
    <col min="10763" max="11009" width="9.109375" style="103"/>
    <col min="11010" max="11010" width="10.5546875" style="103" customWidth="1"/>
    <col min="11011" max="11011" width="27.6640625" style="103" customWidth="1"/>
    <col min="11012" max="11012" width="14.44140625" style="103" customWidth="1"/>
    <col min="11013" max="11014" width="15" style="103" customWidth="1"/>
    <col min="11015" max="11015" width="16.6640625" style="103" customWidth="1"/>
    <col min="11016" max="11016" width="13.109375" style="103" customWidth="1"/>
    <col min="11017" max="11018" width="12.5546875" style="103" customWidth="1"/>
    <col min="11019" max="11265" width="9.109375" style="103"/>
    <col min="11266" max="11266" width="10.5546875" style="103" customWidth="1"/>
    <col min="11267" max="11267" width="27.6640625" style="103" customWidth="1"/>
    <col min="11268" max="11268" width="14.44140625" style="103" customWidth="1"/>
    <col min="11269" max="11270" width="15" style="103" customWidth="1"/>
    <col min="11271" max="11271" width="16.6640625" style="103" customWidth="1"/>
    <col min="11272" max="11272" width="13.109375" style="103" customWidth="1"/>
    <col min="11273" max="11274" width="12.5546875" style="103" customWidth="1"/>
    <col min="11275" max="11521" width="9.109375" style="103"/>
    <col min="11522" max="11522" width="10.5546875" style="103" customWidth="1"/>
    <col min="11523" max="11523" width="27.6640625" style="103" customWidth="1"/>
    <col min="11524" max="11524" width="14.44140625" style="103" customWidth="1"/>
    <col min="11525" max="11526" width="15" style="103" customWidth="1"/>
    <col min="11527" max="11527" width="16.6640625" style="103" customWidth="1"/>
    <col min="11528" max="11528" width="13.109375" style="103" customWidth="1"/>
    <col min="11529" max="11530" width="12.5546875" style="103" customWidth="1"/>
    <col min="11531" max="11777" width="9.109375" style="103"/>
    <col min="11778" max="11778" width="10.5546875" style="103" customWidth="1"/>
    <col min="11779" max="11779" width="27.6640625" style="103" customWidth="1"/>
    <col min="11780" max="11780" width="14.44140625" style="103" customWidth="1"/>
    <col min="11781" max="11782" width="15" style="103" customWidth="1"/>
    <col min="11783" max="11783" width="16.6640625" style="103" customWidth="1"/>
    <col min="11784" max="11784" width="13.109375" style="103" customWidth="1"/>
    <col min="11785" max="11786" width="12.5546875" style="103" customWidth="1"/>
    <col min="11787" max="12033" width="9.109375" style="103"/>
    <col min="12034" max="12034" width="10.5546875" style="103" customWidth="1"/>
    <col min="12035" max="12035" width="27.6640625" style="103" customWidth="1"/>
    <col min="12036" max="12036" width="14.44140625" style="103" customWidth="1"/>
    <col min="12037" max="12038" width="15" style="103" customWidth="1"/>
    <col min="12039" max="12039" width="16.6640625" style="103" customWidth="1"/>
    <col min="12040" max="12040" width="13.109375" style="103" customWidth="1"/>
    <col min="12041" max="12042" width="12.5546875" style="103" customWidth="1"/>
    <col min="12043" max="12289" width="9.109375" style="103"/>
    <col min="12290" max="12290" width="10.5546875" style="103" customWidth="1"/>
    <col min="12291" max="12291" width="27.6640625" style="103" customWidth="1"/>
    <col min="12292" max="12292" width="14.44140625" style="103" customWidth="1"/>
    <col min="12293" max="12294" width="15" style="103" customWidth="1"/>
    <col min="12295" max="12295" width="16.6640625" style="103" customWidth="1"/>
    <col min="12296" max="12296" width="13.109375" style="103" customWidth="1"/>
    <col min="12297" max="12298" width="12.5546875" style="103" customWidth="1"/>
    <col min="12299" max="12545" width="9.109375" style="103"/>
    <col min="12546" max="12546" width="10.5546875" style="103" customWidth="1"/>
    <col min="12547" max="12547" width="27.6640625" style="103" customWidth="1"/>
    <col min="12548" max="12548" width="14.44140625" style="103" customWidth="1"/>
    <col min="12549" max="12550" width="15" style="103" customWidth="1"/>
    <col min="12551" max="12551" width="16.6640625" style="103" customWidth="1"/>
    <col min="12552" max="12552" width="13.109375" style="103" customWidth="1"/>
    <col min="12553" max="12554" width="12.5546875" style="103" customWidth="1"/>
    <col min="12555" max="12801" width="9.109375" style="103"/>
    <col min="12802" max="12802" width="10.5546875" style="103" customWidth="1"/>
    <col min="12803" max="12803" width="27.6640625" style="103" customWidth="1"/>
    <col min="12804" max="12804" width="14.44140625" style="103" customWidth="1"/>
    <col min="12805" max="12806" width="15" style="103" customWidth="1"/>
    <col min="12807" max="12807" width="16.6640625" style="103" customWidth="1"/>
    <col min="12808" max="12808" width="13.109375" style="103" customWidth="1"/>
    <col min="12809" max="12810" width="12.5546875" style="103" customWidth="1"/>
    <col min="12811" max="13057" width="9.109375" style="103"/>
    <col min="13058" max="13058" width="10.5546875" style="103" customWidth="1"/>
    <col min="13059" max="13059" width="27.6640625" style="103" customWidth="1"/>
    <col min="13060" max="13060" width="14.44140625" style="103" customWidth="1"/>
    <col min="13061" max="13062" width="15" style="103" customWidth="1"/>
    <col min="13063" max="13063" width="16.6640625" style="103" customWidth="1"/>
    <col min="13064" max="13064" width="13.109375" style="103" customWidth="1"/>
    <col min="13065" max="13066" width="12.5546875" style="103" customWidth="1"/>
    <col min="13067" max="13313" width="9.109375" style="103"/>
    <col min="13314" max="13314" width="10.5546875" style="103" customWidth="1"/>
    <col min="13315" max="13315" width="27.6640625" style="103" customWidth="1"/>
    <col min="13316" max="13316" width="14.44140625" style="103" customWidth="1"/>
    <col min="13317" max="13318" width="15" style="103" customWidth="1"/>
    <col min="13319" max="13319" width="16.6640625" style="103" customWidth="1"/>
    <col min="13320" max="13320" width="13.109375" style="103" customWidth="1"/>
    <col min="13321" max="13322" width="12.5546875" style="103" customWidth="1"/>
    <col min="13323" max="13569" width="9.109375" style="103"/>
    <col min="13570" max="13570" width="10.5546875" style="103" customWidth="1"/>
    <col min="13571" max="13571" width="27.6640625" style="103" customWidth="1"/>
    <col min="13572" max="13572" width="14.44140625" style="103" customWidth="1"/>
    <col min="13573" max="13574" width="15" style="103" customWidth="1"/>
    <col min="13575" max="13575" width="16.6640625" style="103" customWidth="1"/>
    <col min="13576" max="13576" width="13.109375" style="103" customWidth="1"/>
    <col min="13577" max="13578" width="12.5546875" style="103" customWidth="1"/>
    <col min="13579" max="13825" width="9.109375" style="103"/>
    <col min="13826" max="13826" width="10.5546875" style="103" customWidth="1"/>
    <col min="13827" max="13827" width="27.6640625" style="103" customWidth="1"/>
    <col min="13828" max="13828" width="14.44140625" style="103" customWidth="1"/>
    <col min="13829" max="13830" width="15" style="103" customWidth="1"/>
    <col min="13831" max="13831" width="16.6640625" style="103" customWidth="1"/>
    <col min="13832" max="13832" width="13.109375" style="103" customWidth="1"/>
    <col min="13833" max="13834" width="12.5546875" style="103" customWidth="1"/>
    <col min="13835" max="14081" width="9.109375" style="103"/>
    <col min="14082" max="14082" width="10.5546875" style="103" customWidth="1"/>
    <col min="14083" max="14083" width="27.6640625" style="103" customWidth="1"/>
    <col min="14084" max="14084" width="14.44140625" style="103" customWidth="1"/>
    <col min="14085" max="14086" width="15" style="103" customWidth="1"/>
    <col min="14087" max="14087" width="16.6640625" style="103" customWidth="1"/>
    <col min="14088" max="14088" width="13.109375" style="103" customWidth="1"/>
    <col min="14089" max="14090" width="12.5546875" style="103" customWidth="1"/>
    <col min="14091" max="14337" width="9.109375" style="103"/>
    <col min="14338" max="14338" width="10.5546875" style="103" customWidth="1"/>
    <col min="14339" max="14339" width="27.6640625" style="103" customWidth="1"/>
    <col min="14340" max="14340" width="14.44140625" style="103" customWidth="1"/>
    <col min="14341" max="14342" width="15" style="103" customWidth="1"/>
    <col min="14343" max="14343" width="16.6640625" style="103" customWidth="1"/>
    <col min="14344" max="14344" width="13.109375" style="103" customWidth="1"/>
    <col min="14345" max="14346" width="12.5546875" style="103" customWidth="1"/>
    <col min="14347" max="14593" width="9.109375" style="103"/>
    <col min="14594" max="14594" width="10.5546875" style="103" customWidth="1"/>
    <col min="14595" max="14595" width="27.6640625" style="103" customWidth="1"/>
    <col min="14596" max="14596" width="14.44140625" style="103" customWidth="1"/>
    <col min="14597" max="14598" width="15" style="103" customWidth="1"/>
    <col min="14599" max="14599" width="16.6640625" style="103" customWidth="1"/>
    <col min="14600" max="14600" width="13.109375" style="103" customWidth="1"/>
    <col min="14601" max="14602" width="12.5546875" style="103" customWidth="1"/>
    <col min="14603" max="14849" width="9.109375" style="103"/>
    <col min="14850" max="14850" width="10.5546875" style="103" customWidth="1"/>
    <col min="14851" max="14851" width="27.6640625" style="103" customWidth="1"/>
    <col min="14852" max="14852" width="14.44140625" style="103" customWidth="1"/>
    <col min="14853" max="14854" width="15" style="103" customWidth="1"/>
    <col min="14855" max="14855" width="16.6640625" style="103" customWidth="1"/>
    <col min="14856" max="14856" width="13.109375" style="103" customWidth="1"/>
    <col min="14857" max="14858" width="12.5546875" style="103" customWidth="1"/>
    <col min="14859" max="15105" width="9.109375" style="103"/>
    <col min="15106" max="15106" width="10.5546875" style="103" customWidth="1"/>
    <col min="15107" max="15107" width="27.6640625" style="103" customWidth="1"/>
    <col min="15108" max="15108" width="14.44140625" style="103" customWidth="1"/>
    <col min="15109" max="15110" width="15" style="103" customWidth="1"/>
    <col min="15111" max="15111" width="16.6640625" style="103" customWidth="1"/>
    <col min="15112" max="15112" width="13.109375" style="103" customWidth="1"/>
    <col min="15113" max="15114" width="12.5546875" style="103" customWidth="1"/>
    <col min="15115" max="15361" width="9.109375" style="103"/>
    <col min="15362" max="15362" width="10.5546875" style="103" customWidth="1"/>
    <col min="15363" max="15363" width="27.6640625" style="103" customWidth="1"/>
    <col min="15364" max="15364" width="14.44140625" style="103" customWidth="1"/>
    <col min="15365" max="15366" width="15" style="103" customWidth="1"/>
    <col min="15367" max="15367" width="16.6640625" style="103" customWidth="1"/>
    <col min="15368" max="15368" width="13.109375" style="103" customWidth="1"/>
    <col min="15369" max="15370" width="12.5546875" style="103" customWidth="1"/>
    <col min="15371" max="15617" width="9.109375" style="103"/>
    <col min="15618" max="15618" width="10.5546875" style="103" customWidth="1"/>
    <col min="15619" max="15619" width="27.6640625" style="103" customWidth="1"/>
    <col min="15620" max="15620" width="14.44140625" style="103" customWidth="1"/>
    <col min="15621" max="15622" width="15" style="103" customWidth="1"/>
    <col min="15623" max="15623" width="16.6640625" style="103" customWidth="1"/>
    <col min="15624" max="15624" width="13.109375" style="103" customWidth="1"/>
    <col min="15625" max="15626" width="12.5546875" style="103" customWidth="1"/>
    <col min="15627" max="15873" width="9.109375" style="103"/>
    <col min="15874" max="15874" width="10.5546875" style="103" customWidth="1"/>
    <col min="15875" max="15875" width="27.6640625" style="103" customWidth="1"/>
    <col min="15876" max="15876" width="14.44140625" style="103" customWidth="1"/>
    <col min="15877" max="15878" width="15" style="103" customWidth="1"/>
    <col min="15879" max="15879" width="16.6640625" style="103" customWidth="1"/>
    <col min="15880" max="15880" width="13.109375" style="103" customWidth="1"/>
    <col min="15881" max="15882" width="12.5546875" style="103" customWidth="1"/>
    <col min="15883" max="16129" width="9.109375" style="103"/>
    <col min="16130" max="16130" width="10.5546875" style="103" customWidth="1"/>
    <col min="16131" max="16131" width="27.6640625" style="103" customWidth="1"/>
    <col min="16132" max="16132" width="14.44140625" style="103" customWidth="1"/>
    <col min="16133" max="16134" width="15" style="103" customWidth="1"/>
    <col min="16135" max="16135" width="16.6640625" style="103" customWidth="1"/>
    <col min="16136" max="16136" width="13.109375" style="103" customWidth="1"/>
    <col min="16137" max="16138" width="12.5546875" style="103" customWidth="1"/>
    <col min="16139" max="16384" width="9.109375" style="103"/>
  </cols>
  <sheetData>
    <row r="1" spans="1:10" ht="13.8" x14ac:dyDescent="0.3">
      <c r="A1" s="444"/>
      <c r="B1" s="100" t="str">
        <f>INSTRUÇÕES!B1</f>
        <v>Tribunal Regional Federal da 6ª Região</v>
      </c>
      <c r="C1" s="445"/>
      <c r="D1" s="445"/>
      <c r="E1" s="445"/>
      <c r="F1" s="446"/>
      <c r="G1" s="447"/>
      <c r="H1" s="447"/>
      <c r="I1" s="446"/>
      <c r="J1" s="448"/>
    </row>
    <row r="2" spans="1:10" ht="13.8" x14ac:dyDescent="0.3">
      <c r="A2" s="449"/>
      <c r="B2" s="102" t="str">
        <f>INSTRUÇÕES!B2</f>
        <v>Seção Judiciária de Minas Gerais</v>
      </c>
      <c r="C2" s="339"/>
      <c r="D2" s="339"/>
      <c r="E2" s="339"/>
      <c r="F2" s="450"/>
      <c r="I2" s="450"/>
      <c r="J2" s="451"/>
    </row>
    <row r="3" spans="1:10" ht="13.8" x14ac:dyDescent="0.3">
      <c r="A3" s="452"/>
      <c r="B3" s="296" t="str">
        <f>INSTRUÇÕES!B3</f>
        <v>Subseção Judiciária de Manhuaçu</v>
      </c>
      <c r="C3" s="339"/>
      <c r="D3" s="339"/>
      <c r="E3" s="339"/>
      <c r="F3" s="450"/>
      <c r="I3" s="450"/>
      <c r="J3" s="451"/>
    </row>
    <row r="4" spans="1:10" ht="19.5" customHeight="1" x14ac:dyDescent="0.3">
      <c r="A4" s="701" t="s">
        <v>476</v>
      </c>
      <c r="B4" s="701"/>
      <c r="C4" s="701"/>
      <c r="D4" s="701"/>
      <c r="E4" s="701"/>
      <c r="F4" s="701"/>
      <c r="G4" s="701"/>
      <c r="H4" s="701"/>
      <c r="I4" s="701"/>
      <c r="J4" s="701"/>
    </row>
    <row r="5" spans="1:10" ht="19.5" customHeight="1" x14ac:dyDescent="0.3">
      <c r="A5" s="702" t="s">
        <v>232</v>
      </c>
      <c r="B5" s="702"/>
      <c r="C5" s="702"/>
      <c r="D5" s="702"/>
      <c r="E5" s="702"/>
      <c r="F5" s="702"/>
      <c r="G5" s="702"/>
      <c r="H5" s="702"/>
      <c r="I5" s="702"/>
      <c r="J5" s="702"/>
    </row>
    <row r="6" spans="1:10" s="282" customFormat="1" ht="36" customHeight="1" x14ac:dyDescent="0.3">
      <c r="A6" s="703" t="str">
        <f>Dados!A4</f>
        <v>Sindicato utilizado - SINSERHT X SINTEAC. Vigência: 01/01/2026 a 31/12/2026. Sendo a data base da categoria 01º de Janeiro. Com número de registro no MTE MG001237/2025.</v>
      </c>
      <c r="B6" s="703"/>
      <c r="C6" s="703"/>
      <c r="D6" s="703"/>
      <c r="E6" s="703"/>
      <c r="F6" s="703"/>
      <c r="G6" s="703"/>
      <c r="H6" s="703"/>
      <c r="I6" s="703"/>
      <c r="J6" s="703"/>
    </row>
    <row r="7" spans="1:10" ht="19.5" customHeight="1" x14ac:dyDescent="0.3">
      <c r="A7" s="704" t="str">
        <f>Dados!C9</f>
        <v>Assistente Administrativo acúmulo de função Zelador</v>
      </c>
      <c r="B7" s="704"/>
      <c r="C7" s="704"/>
      <c r="D7" s="704"/>
      <c r="E7" s="704"/>
      <c r="F7" s="705" t="s">
        <v>569</v>
      </c>
      <c r="G7" s="705" t="s">
        <v>570</v>
      </c>
      <c r="H7" s="705" t="s">
        <v>477</v>
      </c>
      <c r="I7" s="705" t="s">
        <v>478</v>
      </c>
      <c r="J7" s="705" t="s">
        <v>479</v>
      </c>
    </row>
    <row r="8" spans="1:10" ht="19.5" customHeight="1" x14ac:dyDescent="0.3">
      <c r="A8" s="706" t="s">
        <v>509</v>
      </c>
      <c r="B8" s="706"/>
      <c r="C8" s="706"/>
      <c r="D8" s="706"/>
      <c r="E8" s="453" t="s">
        <v>309</v>
      </c>
      <c r="F8" s="705"/>
      <c r="G8" s="705"/>
      <c r="H8" s="705"/>
      <c r="I8" s="705"/>
      <c r="J8" s="705"/>
    </row>
    <row r="9" spans="1:10" ht="19.5" customHeight="1" x14ac:dyDescent="0.3">
      <c r="A9" s="707" t="s">
        <v>481</v>
      </c>
      <c r="B9" s="707"/>
      <c r="C9" s="707"/>
      <c r="D9" s="707"/>
      <c r="E9" s="707"/>
      <c r="F9" s="707"/>
      <c r="G9" s="707"/>
      <c r="H9" s="707"/>
      <c r="I9" s="707"/>
      <c r="J9" s="707"/>
    </row>
    <row r="10" spans="1:10" ht="24" customHeight="1" x14ac:dyDescent="0.3">
      <c r="A10" s="454" t="s">
        <v>310</v>
      </c>
      <c r="B10" s="708" t="s">
        <v>482</v>
      </c>
      <c r="C10" s="708"/>
      <c r="D10" s="455" t="s">
        <v>483</v>
      </c>
      <c r="E10" s="456" t="s">
        <v>484</v>
      </c>
      <c r="F10" s="709" t="s">
        <v>313</v>
      </c>
      <c r="G10" s="709"/>
      <c r="H10" s="709"/>
      <c r="I10" s="709"/>
      <c r="J10" s="709"/>
    </row>
    <row r="11" spans="1:10" ht="19.5" customHeight="1" x14ac:dyDescent="0.3">
      <c r="A11" s="710">
        <v>1</v>
      </c>
      <c r="B11" s="711" t="str">
        <f>A7</f>
        <v>Assistente Administrativo acúmulo de função Zelador</v>
      </c>
      <c r="C11" s="711"/>
      <c r="D11" s="457">
        <f>Dados!$D$9</f>
        <v>200</v>
      </c>
      <c r="E11" s="458">
        <f>Dados!$E$9</f>
        <v>2231.7399999999998</v>
      </c>
      <c r="F11" s="459">
        <f>ROUND(E11/220*D11,2)</f>
        <v>2028.85</v>
      </c>
      <c r="G11" s="459">
        <f>F11</f>
        <v>2028.85</v>
      </c>
      <c r="H11" s="459"/>
      <c r="I11" s="459"/>
      <c r="J11" s="460"/>
    </row>
    <row r="12" spans="1:10" ht="19.5" customHeight="1" x14ac:dyDescent="0.3">
      <c r="A12" s="710"/>
      <c r="B12" s="711" t="s">
        <v>485</v>
      </c>
      <c r="C12" s="711"/>
      <c r="D12" s="507"/>
      <c r="E12" s="458">
        <f>Dados!$G$26</f>
        <v>1621</v>
      </c>
      <c r="F12" s="459">
        <f>D12*E12</f>
        <v>0</v>
      </c>
      <c r="G12" s="459">
        <f>F12</f>
        <v>0</v>
      </c>
      <c r="H12" s="459"/>
      <c r="I12" s="459"/>
      <c r="J12" s="460">
        <f>F12</f>
        <v>0</v>
      </c>
    </row>
    <row r="13" spans="1:10" ht="21.75" customHeight="1" x14ac:dyDescent="0.3">
      <c r="A13" s="710"/>
      <c r="B13" s="462" t="s">
        <v>486</v>
      </c>
      <c r="C13" s="463">
        <f>Dados!$I$9</f>
        <v>0.12</v>
      </c>
      <c r="D13" s="463">
        <f>Dados!$J$9</f>
        <v>0.25</v>
      </c>
      <c r="E13" s="464">
        <f>Dados!$K$9</f>
        <v>2028.85</v>
      </c>
      <c r="F13" s="465">
        <f>ROUND((E13*D13*C13),2)</f>
        <v>60.87</v>
      </c>
      <c r="G13" s="465">
        <f>F13</f>
        <v>60.87</v>
      </c>
      <c r="H13" s="465"/>
      <c r="I13" s="465"/>
      <c r="J13" s="466"/>
    </row>
    <row r="14" spans="1:10" ht="19.5" customHeight="1" x14ac:dyDescent="0.3">
      <c r="A14" s="710"/>
      <c r="B14" s="712" t="s">
        <v>487</v>
      </c>
      <c r="C14" s="712"/>
      <c r="D14" s="712"/>
      <c r="E14" s="712"/>
      <c r="F14" s="467">
        <f>SUM(F11:F13)</f>
        <v>2089.7199999999998</v>
      </c>
      <c r="G14" s="467">
        <f>SUM(G11:G13)</f>
        <v>2089.7199999999998</v>
      </c>
      <c r="H14" s="467">
        <f>SUM(H11:H13)</f>
        <v>0</v>
      </c>
      <c r="I14" s="467">
        <f>SUM(I11:I13)</f>
        <v>0</v>
      </c>
      <c r="J14" s="468">
        <f>SUM(J11:J13)</f>
        <v>0</v>
      </c>
    </row>
    <row r="15" spans="1:10" ht="19.5" customHeight="1" x14ac:dyDescent="0.3">
      <c r="A15" s="710"/>
      <c r="B15" s="713" t="s">
        <v>488</v>
      </c>
      <c r="C15" s="713"/>
      <c r="D15" s="713"/>
      <c r="E15" s="469">
        <f>Encargos!$C$57</f>
        <v>0.68199999999999994</v>
      </c>
      <c r="F15" s="459">
        <f>ROUND((E15*F14),2)</f>
        <v>1425.19</v>
      </c>
      <c r="G15" s="459">
        <f>F15</f>
        <v>1425.19</v>
      </c>
      <c r="H15" s="459"/>
      <c r="I15" s="459"/>
      <c r="J15" s="460">
        <f>ROUND((E15*J14),2)</f>
        <v>0</v>
      </c>
    </row>
    <row r="16" spans="1:10" ht="19.5" customHeight="1" x14ac:dyDescent="0.3">
      <c r="A16" s="714" t="s">
        <v>489</v>
      </c>
      <c r="B16" s="714"/>
      <c r="C16" s="714"/>
      <c r="D16" s="714"/>
      <c r="E16" s="714"/>
      <c r="F16" s="470">
        <f>SUM(F14:F15)</f>
        <v>3514.91</v>
      </c>
      <c r="G16" s="470">
        <f>SUM(G14:G15)</f>
        <v>3514.91</v>
      </c>
      <c r="H16" s="470">
        <f>SUM(H14:H15)</f>
        <v>0</v>
      </c>
      <c r="I16" s="470">
        <f>SUM(I14:I15)</f>
        <v>0</v>
      </c>
      <c r="J16" s="471">
        <f>SUM(J14:J15)</f>
        <v>0</v>
      </c>
    </row>
    <row r="17" spans="1:12" ht="19.5" customHeight="1" x14ac:dyDescent="0.3">
      <c r="A17" s="715" t="s">
        <v>490</v>
      </c>
      <c r="B17" s="715"/>
      <c r="C17" s="715"/>
      <c r="D17" s="715"/>
      <c r="E17" s="715"/>
      <c r="F17" s="715"/>
      <c r="G17" s="715"/>
      <c r="H17" s="715"/>
      <c r="I17" s="715"/>
      <c r="J17" s="715"/>
    </row>
    <row r="18" spans="1:12" ht="19.5" customHeight="1" x14ac:dyDescent="0.3">
      <c r="A18" s="716" t="s">
        <v>491</v>
      </c>
      <c r="B18" s="716"/>
      <c r="C18" s="318" t="s">
        <v>312</v>
      </c>
      <c r="D18" s="717" t="s">
        <v>492</v>
      </c>
      <c r="E18" s="717"/>
      <c r="F18" s="718" t="s">
        <v>313</v>
      </c>
      <c r="G18" s="718"/>
      <c r="H18" s="718"/>
      <c r="I18" s="718"/>
      <c r="J18" s="718"/>
    </row>
    <row r="19" spans="1:12" ht="19.5" customHeight="1" x14ac:dyDescent="0.3">
      <c r="A19" s="719" t="s">
        <v>493</v>
      </c>
      <c r="B19" s="719"/>
      <c r="C19" s="473"/>
      <c r="D19" s="473"/>
      <c r="E19" s="473"/>
      <c r="F19" s="459">
        <f>Dados!$N$9</f>
        <v>42.58</v>
      </c>
      <c r="G19" s="459">
        <f>F19</f>
        <v>42.58</v>
      </c>
      <c r="H19" s="459"/>
      <c r="I19" s="459"/>
      <c r="J19" s="460"/>
    </row>
    <row r="20" spans="1:12" ht="19.5" customHeight="1" x14ac:dyDescent="0.3">
      <c r="A20" s="719" t="s">
        <v>494</v>
      </c>
      <c r="B20" s="719"/>
      <c r="C20" s="473"/>
      <c r="D20" s="473"/>
      <c r="E20" s="473"/>
      <c r="F20" s="459">
        <f>Dados!$G$29</f>
        <v>6.51</v>
      </c>
      <c r="G20" s="459">
        <f>F20</f>
        <v>6.51</v>
      </c>
      <c r="H20" s="459"/>
      <c r="I20" s="459"/>
      <c r="J20" s="460"/>
    </row>
    <row r="21" spans="1:12" ht="23.25" customHeight="1" x14ac:dyDescent="0.3">
      <c r="A21" s="720" t="s">
        <v>190</v>
      </c>
      <c r="B21" s="720"/>
      <c r="C21" s="473"/>
      <c r="D21" s="473"/>
      <c r="E21" s="473"/>
      <c r="F21" s="459">
        <f>Dados!G30</f>
        <v>0</v>
      </c>
      <c r="G21" s="459">
        <f>F21</f>
        <v>0</v>
      </c>
      <c r="H21" s="459"/>
      <c r="I21" s="459"/>
      <c r="J21" s="460"/>
    </row>
    <row r="22" spans="1:12" ht="19.5" customHeight="1" x14ac:dyDescent="0.3">
      <c r="A22" s="719" t="s">
        <v>191</v>
      </c>
      <c r="B22" s="719"/>
      <c r="C22" s="474">
        <f>Dados!$G$33</f>
        <v>22</v>
      </c>
      <c r="D22" s="474">
        <f>Dados!$G$32</f>
        <v>2</v>
      </c>
      <c r="E22" s="475">
        <f>Dados!$G$31</f>
        <v>3.99</v>
      </c>
      <c r="F22" s="459">
        <f>IF(ROUND((E22*D22*C22)-(F11*Dados!$G$34),2)&lt;0,0,ROUND((E22*D22*C22)-(F11*Dados!$G$34),2))</f>
        <v>53.83</v>
      </c>
      <c r="G22" s="459">
        <f>F22</f>
        <v>53.83</v>
      </c>
      <c r="H22" s="459"/>
      <c r="I22" s="459">
        <f>F22</f>
        <v>53.83</v>
      </c>
      <c r="J22" s="460"/>
    </row>
    <row r="23" spans="1:12" ht="19.5" customHeight="1" x14ac:dyDescent="0.3">
      <c r="A23" s="719" t="s">
        <v>200</v>
      </c>
      <c r="B23" s="719"/>
      <c r="C23" s="474">
        <f>Dados!G36</f>
        <v>22</v>
      </c>
      <c r="D23" s="476">
        <f>Dados!G37</f>
        <v>0.2</v>
      </c>
      <c r="E23" s="475">
        <f>Dados!$G$35</f>
        <v>29.15</v>
      </c>
      <c r="F23" s="477">
        <f>ROUND((IF(D11&gt;150,((C23*E23)-(C23*(D23*E23))),0)),2)</f>
        <v>513.04</v>
      </c>
      <c r="G23" s="459">
        <f>F23</f>
        <v>513.04</v>
      </c>
      <c r="H23" s="459">
        <f>$F$23</f>
        <v>513.04</v>
      </c>
      <c r="I23" s="477"/>
      <c r="J23" s="460"/>
    </row>
    <row r="24" spans="1:12" ht="19.5" customHeight="1" x14ac:dyDescent="0.3">
      <c r="A24" s="719" t="s">
        <v>203</v>
      </c>
      <c r="B24" s="719"/>
      <c r="C24" s="474"/>
      <c r="D24" s="474"/>
      <c r="E24" s="475"/>
      <c r="F24" s="477">
        <f>Dados!$G$38</f>
        <v>52</v>
      </c>
      <c r="G24" s="459"/>
      <c r="H24" s="459"/>
      <c r="I24" s="477"/>
      <c r="J24" s="460"/>
    </row>
    <row r="25" spans="1:12" ht="19.5" customHeight="1" x14ac:dyDescent="0.3">
      <c r="A25" s="719" t="s">
        <v>203</v>
      </c>
      <c r="B25" s="719"/>
      <c r="C25" s="474"/>
      <c r="D25" s="474"/>
      <c r="E25" s="475"/>
      <c r="F25" s="477">
        <f>Dados!$G$39</f>
        <v>0</v>
      </c>
      <c r="G25" s="459"/>
      <c r="H25" s="459"/>
      <c r="I25" s="477"/>
      <c r="J25" s="460"/>
    </row>
    <row r="26" spans="1:12" ht="19.5" customHeight="1" x14ac:dyDescent="0.3">
      <c r="A26" s="719" t="s">
        <v>571</v>
      </c>
      <c r="B26" s="719"/>
      <c r="C26" s="474"/>
      <c r="D26" s="475"/>
      <c r="E26" s="475"/>
      <c r="F26" s="459"/>
      <c r="G26" s="459"/>
      <c r="H26" s="459"/>
      <c r="I26" s="459"/>
      <c r="J26" s="460"/>
      <c r="L26" s="478"/>
    </row>
    <row r="27" spans="1:12" ht="19.5" customHeight="1" x14ac:dyDescent="0.3">
      <c r="A27" s="472" t="s">
        <v>572</v>
      </c>
      <c r="B27" s="479"/>
      <c r="C27" s="474"/>
      <c r="D27" s="475"/>
      <c r="E27" s="475"/>
      <c r="F27" s="459"/>
      <c r="G27" s="459"/>
      <c r="H27" s="459"/>
      <c r="I27" s="459"/>
      <c r="J27" s="460"/>
    </row>
    <row r="28" spans="1:12" ht="19.5" customHeight="1" x14ac:dyDescent="0.3">
      <c r="A28" s="721" t="s">
        <v>495</v>
      </c>
      <c r="B28" s="721"/>
      <c r="C28" s="480"/>
      <c r="D28" s="481"/>
      <c r="E28" s="481"/>
      <c r="F28" s="465">
        <f>Dados!Q9</f>
        <v>1.66</v>
      </c>
      <c r="G28" s="465">
        <f>F28</f>
        <v>1.66</v>
      </c>
      <c r="H28" s="465"/>
      <c r="I28" s="465"/>
      <c r="J28" s="466"/>
    </row>
    <row r="29" spans="1:12" ht="19.5" customHeight="1" x14ac:dyDescent="0.3">
      <c r="A29" s="722" t="s">
        <v>496</v>
      </c>
      <c r="B29" s="722"/>
      <c r="C29" s="722"/>
      <c r="D29" s="722"/>
      <c r="E29" s="722"/>
      <c r="F29" s="470">
        <f>SUM(F19:F28)</f>
        <v>669.61999999999989</v>
      </c>
      <c r="G29" s="470">
        <f>SUM(G19:G28)</f>
        <v>617.61999999999989</v>
      </c>
      <c r="H29" s="470">
        <f>SUM(H19:H28)</f>
        <v>513.04</v>
      </c>
      <c r="I29" s="470">
        <f>SUM(I19:I28)</f>
        <v>53.83</v>
      </c>
      <c r="J29" s="471">
        <f>SUM(J19:J28)</f>
        <v>0</v>
      </c>
    </row>
    <row r="30" spans="1:12" ht="19.5" customHeight="1" x14ac:dyDescent="0.3">
      <c r="A30" s="722" t="s">
        <v>497</v>
      </c>
      <c r="B30" s="722"/>
      <c r="C30" s="722"/>
      <c r="D30" s="722"/>
      <c r="E30" s="722"/>
      <c r="F30" s="470">
        <f>F16+F29</f>
        <v>4184.53</v>
      </c>
      <c r="G30" s="470">
        <f>G16+G29</f>
        <v>4132.53</v>
      </c>
      <c r="H30" s="470">
        <f>H16+H29</f>
        <v>513.04</v>
      </c>
      <c r="I30" s="470">
        <f>I16+I29</f>
        <v>53.83</v>
      </c>
      <c r="J30" s="471">
        <f>J16+J29</f>
        <v>0</v>
      </c>
    </row>
    <row r="31" spans="1:12" ht="19.5" customHeight="1" x14ac:dyDescent="0.3">
      <c r="A31" s="707" t="s">
        <v>498</v>
      </c>
      <c r="B31" s="707"/>
      <c r="C31" s="707"/>
      <c r="D31" s="707"/>
      <c r="E31" s="707"/>
      <c r="F31" s="707"/>
      <c r="G31" s="707"/>
      <c r="H31" s="707"/>
      <c r="I31" s="707"/>
      <c r="J31" s="707"/>
    </row>
    <row r="32" spans="1:12" ht="19.5" customHeight="1" x14ac:dyDescent="0.3">
      <c r="A32" s="716" t="s">
        <v>499</v>
      </c>
      <c r="B32" s="716"/>
      <c r="C32" s="716"/>
      <c r="D32" s="482" t="s">
        <v>500</v>
      </c>
      <c r="E32" s="723" t="s">
        <v>313</v>
      </c>
      <c r="F32" s="723"/>
      <c r="G32" s="723"/>
      <c r="H32" s="723"/>
      <c r="I32" s="723"/>
      <c r="J32" s="723"/>
    </row>
    <row r="33" spans="1:12" ht="19.5" customHeight="1" x14ac:dyDescent="0.3">
      <c r="A33" s="483" t="s">
        <v>501</v>
      </c>
      <c r="B33" s="484"/>
      <c r="C33" s="484"/>
      <c r="D33" s="485">
        <f>Dados!$G$42</f>
        <v>1.7100000000000001E-2</v>
      </c>
      <c r="E33" s="486"/>
      <c r="F33" s="459">
        <f>ROUND((F30*$D$33),2)</f>
        <v>71.56</v>
      </c>
      <c r="G33" s="459">
        <f>ROUND((G30*$D$33),2)</f>
        <v>70.67</v>
      </c>
      <c r="H33" s="459">
        <f>ROUND((H30*$D$33),2)</f>
        <v>8.77</v>
      </c>
      <c r="I33" s="459">
        <f>ROUND((I30*$D$33),2)</f>
        <v>0.92</v>
      </c>
      <c r="J33" s="460">
        <f>ROUND((J30*$D$33),2)</f>
        <v>0</v>
      </c>
    </row>
    <row r="34" spans="1:12" ht="19.5" customHeight="1" x14ac:dyDescent="0.3">
      <c r="A34" s="724" t="s">
        <v>502</v>
      </c>
      <c r="B34" s="724"/>
      <c r="C34" s="724"/>
      <c r="D34" s="485"/>
      <c r="E34" s="486"/>
      <c r="F34" s="459">
        <f>F30+F33</f>
        <v>4256.09</v>
      </c>
      <c r="G34" s="459">
        <f>G30+G33</f>
        <v>4203.2</v>
      </c>
      <c r="H34" s="459">
        <f>H30+H33</f>
        <v>521.80999999999995</v>
      </c>
      <c r="I34" s="459">
        <f>I30+I33</f>
        <v>54.75</v>
      </c>
      <c r="J34" s="460">
        <f>J30+J33</f>
        <v>0</v>
      </c>
    </row>
    <row r="35" spans="1:12" ht="19.5" customHeight="1" x14ac:dyDescent="0.3">
      <c r="A35" s="487" t="s">
        <v>208</v>
      </c>
      <c r="B35" s="488"/>
      <c r="C35" s="488"/>
      <c r="D35" s="489">
        <f>Dados!$G$43</f>
        <v>1.7000000000000001E-2</v>
      </c>
      <c r="E35" s="490"/>
      <c r="F35" s="465">
        <f>ROUND((F34*$D$35),2)</f>
        <v>72.349999999999994</v>
      </c>
      <c r="G35" s="465">
        <f>ROUND((G34*$D$35),2)</f>
        <v>71.45</v>
      </c>
      <c r="H35" s="465">
        <f>ROUND((H34*$D$35),2)</f>
        <v>8.8699999999999992</v>
      </c>
      <c r="I35" s="465">
        <f>ROUND((I34*$D$35),2)</f>
        <v>0.93</v>
      </c>
      <c r="J35" s="466">
        <f>ROUND((J34*$D$35),2)</f>
        <v>0</v>
      </c>
    </row>
    <row r="36" spans="1:12" ht="19.5" customHeight="1" x14ac:dyDescent="0.3">
      <c r="A36" s="491" t="s">
        <v>503</v>
      </c>
      <c r="B36" s="492"/>
      <c r="C36" s="492"/>
      <c r="D36" s="493">
        <f>SUM(D33:D35)</f>
        <v>3.4100000000000005E-2</v>
      </c>
      <c r="E36" s="494"/>
      <c r="F36" s="470">
        <f>F33+F35</f>
        <v>143.91</v>
      </c>
      <c r="G36" s="470">
        <f>G33+G35</f>
        <v>142.12</v>
      </c>
      <c r="H36" s="470">
        <f>H33+H35</f>
        <v>17.64</v>
      </c>
      <c r="I36" s="470">
        <f>I33+I35</f>
        <v>1.85</v>
      </c>
      <c r="J36" s="471">
        <f>J33+J35</f>
        <v>0</v>
      </c>
    </row>
    <row r="37" spans="1:12" ht="19.5" customHeight="1" x14ac:dyDescent="0.3">
      <c r="A37" s="725" t="s">
        <v>504</v>
      </c>
      <c r="B37" s="725"/>
      <c r="C37" s="725"/>
      <c r="D37" s="725"/>
      <c r="E37" s="725"/>
      <c r="F37" s="495">
        <f>F30+F36</f>
        <v>4328.4399999999996</v>
      </c>
      <c r="G37" s="495">
        <f>G30+G36</f>
        <v>4274.6499999999996</v>
      </c>
      <c r="H37" s="495">
        <f>H30+H36</f>
        <v>530.67999999999995</v>
      </c>
      <c r="I37" s="495">
        <f>I30+I36</f>
        <v>55.68</v>
      </c>
      <c r="J37" s="496">
        <f>J30+J36</f>
        <v>0</v>
      </c>
    </row>
    <row r="38" spans="1:12" ht="19.5" customHeight="1" x14ac:dyDescent="0.3">
      <c r="A38" s="726" t="s">
        <v>505</v>
      </c>
      <c r="B38" s="726"/>
      <c r="C38" s="726"/>
      <c r="D38" s="726"/>
      <c r="E38" s="726"/>
      <c r="F38" s="726"/>
      <c r="G38" s="726"/>
      <c r="H38" s="726"/>
      <c r="I38" s="726"/>
      <c r="J38" s="726"/>
    </row>
    <row r="39" spans="1:12" ht="19.5" customHeight="1" x14ac:dyDescent="0.3">
      <c r="A39" s="719" t="s">
        <v>213</v>
      </c>
      <c r="B39" s="719"/>
      <c r="C39" s="719"/>
      <c r="D39" s="485">
        <f>Dados!G50</f>
        <v>0.03</v>
      </c>
      <c r="E39" s="497"/>
      <c r="F39" s="459">
        <f>ROUND(($F$45*D39),2)</f>
        <v>139.1</v>
      </c>
      <c r="G39" s="459">
        <f>ROUND((G45*$D$39),2)</f>
        <v>137.37</v>
      </c>
      <c r="H39" s="459">
        <f>ROUND((H45*$D$39),2)</f>
        <v>17.05</v>
      </c>
      <c r="I39" s="459">
        <f>ROUND((I45*$D$39),2)</f>
        <v>1.79</v>
      </c>
      <c r="J39" s="460">
        <f>ROUND((J45*$D$39),2)</f>
        <v>0</v>
      </c>
    </row>
    <row r="40" spans="1:12" ht="19.5" customHeight="1" x14ac:dyDescent="0.3">
      <c r="A40" s="719" t="s">
        <v>215</v>
      </c>
      <c r="B40" s="719"/>
      <c r="C40" s="719"/>
      <c r="D40" s="485">
        <f>Dados!G51</f>
        <v>6.4999999999999997E-3</v>
      </c>
      <c r="E40" s="497"/>
      <c r="F40" s="459">
        <f>ROUND((F45*$D$40),2)</f>
        <v>30.14</v>
      </c>
      <c r="G40" s="459">
        <f>ROUND((G45*$D$40),2)</f>
        <v>29.76</v>
      </c>
      <c r="H40" s="459">
        <f>ROUND((H45*$D$40),2)</f>
        <v>3.7</v>
      </c>
      <c r="I40" s="459">
        <f>ROUND((I45*$D$40),2)</f>
        <v>0.39</v>
      </c>
      <c r="J40" s="460">
        <f>ROUND((J45*$D$40),2)</f>
        <v>0</v>
      </c>
    </row>
    <row r="41" spans="1:12" ht="19.5" customHeight="1" x14ac:dyDescent="0.3">
      <c r="A41" s="719" t="s">
        <v>216</v>
      </c>
      <c r="B41" s="719"/>
      <c r="C41" s="719"/>
      <c r="D41" s="485">
        <f>Dados!G52</f>
        <v>0.03</v>
      </c>
      <c r="E41" s="497"/>
      <c r="F41" s="459">
        <f>ROUND((F45*$D$41),2)</f>
        <v>139.1</v>
      </c>
      <c r="G41" s="459">
        <f>ROUND((G45*$D$41),2)</f>
        <v>137.37</v>
      </c>
      <c r="H41" s="459">
        <f>ROUND((H45*$D$41),2)</f>
        <v>17.05</v>
      </c>
      <c r="I41" s="459">
        <f>ROUND((I45*$D$41),2)</f>
        <v>1.79</v>
      </c>
      <c r="J41" s="460">
        <f>ROUND((J45*$D$41),2)</f>
        <v>0</v>
      </c>
    </row>
    <row r="42" spans="1:12" ht="19.5" customHeight="1" x14ac:dyDescent="0.3">
      <c r="A42" s="719" t="s">
        <v>203</v>
      </c>
      <c r="B42" s="719"/>
      <c r="C42" s="719"/>
      <c r="D42" s="485">
        <f>Dados!G53</f>
        <v>0</v>
      </c>
      <c r="E42" s="497"/>
      <c r="F42" s="459">
        <f>ROUND((F45*$D$42),2)</f>
        <v>0</v>
      </c>
      <c r="G42" s="459">
        <f>ROUND((G45*$D$42),2)</f>
        <v>0</v>
      </c>
      <c r="H42" s="459">
        <f>ROUND((H45*$D$42),2)</f>
        <v>0</v>
      </c>
      <c r="I42" s="459">
        <f>ROUND((I45*$D$42),2)</f>
        <v>0</v>
      </c>
      <c r="J42" s="460">
        <f>ROUND((J45*$D$42),2)</f>
        <v>0</v>
      </c>
    </row>
    <row r="43" spans="1:12" ht="19.5" customHeight="1" x14ac:dyDescent="0.3">
      <c r="A43" s="728" t="s">
        <v>506</v>
      </c>
      <c r="B43" s="728"/>
      <c r="C43" s="728"/>
      <c r="D43" s="498">
        <f>SUM(D39:D42)</f>
        <v>6.6500000000000004E-2</v>
      </c>
      <c r="E43" s="499"/>
      <c r="F43" s="500">
        <f>SUM(F39:F42)</f>
        <v>308.34000000000003</v>
      </c>
      <c r="G43" s="500">
        <f>SUM(G39:G42)</f>
        <v>304.5</v>
      </c>
      <c r="H43" s="500">
        <f>SUM(H39:H42)</f>
        <v>37.799999999999997</v>
      </c>
      <c r="I43" s="500">
        <f>SUM(I39:I42)</f>
        <v>3.97</v>
      </c>
      <c r="J43" s="501">
        <f>SUM(J39:J41)</f>
        <v>0</v>
      </c>
    </row>
    <row r="44" spans="1:12" ht="19.5" customHeight="1" x14ac:dyDescent="0.3">
      <c r="A44" s="729" t="str">
        <f>CONCATENATE("Custo Mensal - ",A7)</f>
        <v>Custo Mensal - Assistente Administrativo acúmulo de função Zelador</v>
      </c>
      <c r="B44" s="729"/>
      <c r="C44" s="729"/>
      <c r="D44" s="729"/>
      <c r="E44" s="729"/>
      <c r="F44" s="502">
        <f>ROUND(F37/(1-D43),2)</f>
        <v>4636.79</v>
      </c>
      <c r="G44" s="502">
        <f>ROUND(G37/(1-D43),2)</f>
        <v>4579.16</v>
      </c>
      <c r="H44" s="502">
        <f>ROUND(H37/(1-D43),2)</f>
        <v>568.48</v>
      </c>
      <c r="I44" s="502">
        <f>ROUND(I37/(1-D43),2)</f>
        <v>59.65</v>
      </c>
      <c r="J44" s="503">
        <f>ROUND(J37/(1-D43),2)</f>
        <v>0</v>
      </c>
    </row>
    <row r="45" spans="1:12" ht="19.5" customHeight="1" x14ac:dyDescent="0.3">
      <c r="A45" s="730" t="str">
        <f>CONCATENATE("Valor do Custo Mensal - ",A7)</f>
        <v>Valor do Custo Mensal - Assistente Administrativo acúmulo de função Zelador</v>
      </c>
      <c r="B45" s="730"/>
      <c r="C45" s="730"/>
      <c r="D45" s="730"/>
      <c r="E45" s="730"/>
      <c r="F45" s="502">
        <f>F44</f>
        <v>4636.79</v>
      </c>
      <c r="G45" s="502">
        <f>G44</f>
        <v>4579.16</v>
      </c>
      <c r="H45" s="502">
        <f>H44</f>
        <v>568.48</v>
      </c>
      <c r="I45" s="502">
        <f>I44</f>
        <v>59.65</v>
      </c>
      <c r="J45" s="503">
        <f>J44</f>
        <v>0</v>
      </c>
      <c r="K45" s="504"/>
      <c r="L45" s="504"/>
    </row>
    <row r="46" spans="1:12" ht="27.75" customHeight="1" x14ac:dyDescent="0.3">
      <c r="A46" s="731" t="s">
        <v>507</v>
      </c>
      <c r="B46" s="731"/>
      <c r="C46" s="731"/>
      <c r="D46" s="731"/>
      <c r="E46" s="731"/>
      <c r="F46" s="505">
        <f>(F45/F14)</f>
        <v>2.21885707176081</v>
      </c>
      <c r="G46" s="505">
        <f>(G45/G14)</f>
        <v>2.191279214440212</v>
      </c>
      <c r="H46" s="727" t="s">
        <v>508</v>
      </c>
      <c r="I46" s="727"/>
      <c r="J46" s="506">
        <v>0</v>
      </c>
    </row>
    <row r="47" spans="1:12" ht="19.5" customHeight="1" x14ac:dyDescent="0.3"/>
  </sheetData>
  <sheetProtection algorithmName="SHA-512" hashValue="7me72AJDf4UUq91wtYssAYOfy5aHyQUHDUgm7y4JbXsyBQVAxhFvqlcPPwe2Bh2V6McmoA93UgEnnBzAqgp+Dw==" saltValue="sXF98vaRasDL22Pj1QM5BA=="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249977111117893"/>
    <pageSetUpPr fitToPage="1"/>
  </sheetPr>
  <dimension ref="A1:L33"/>
  <sheetViews>
    <sheetView showGridLines="0" view="pageBreakPreview" zoomScale="60" zoomScaleNormal="100" zoomScalePageLayoutView="140" workbookViewId="0">
      <selection activeCell="H38" sqref="H38"/>
    </sheetView>
  </sheetViews>
  <sheetFormatPr defaultColWidth="9.109375" defaultRowHeight="13.5" customHeight="1" x14ac:dyDescent="0.3"/>
  <cols>
    <col min="1" max="1" width="7.33203125" style="508" customWidth="1"/>
    <col min="2" max="3" width="9.109375" style="508"/>
    <col min="4" max="4" width="33" style="508" customWidth="1"/>
    <col min="5" max="5" width="9.44140625" style="508" customWidth="1"/>
    <col min="6" max="6" width="16" style="508" customWidth="1"/>
    <col min="7" max="7" width="16.5546875" style="508" customWidth="1"/>
    <col min="8" max="8" width="16.44140625" style="508" customWidth="1"/>
    <col min="9" max="16384" width="9.109375" style="508"/>
  </cols>
  <sheetData>
    <row r="1" spans="1:12" ht="13.8" x14ac:dyDescent="0.3">
      <c r="A1" s="99"/>
      <c r="B1" s="100" t="str">
        <f>INSTRUÇÕES!B1</f>
        <v>Tribunal Regional Federal da 6ª Região</v>
      </c>
      <c r="C1" s="100"/>
      <c r="D1" s="100"/>
      <c r="E1" s="100"/>
      <c r="F1" s="100"/>
      <c r="G1" s="100"/>
      <c r="H1" s="509"/>
    </row>
    <row r="2" spans="1:12" ht="13.8" x14ac:dyDescent="0.3">
      <c r="A2" s="101"/>
      <c r="B2" s="102" t="str">
        <f>INSTRUÇÕES!B2</f>
        <v>Seção Judiciária de Minas Gerais</v>
      </c>
      <c r="C2" s="102"/>
      <c r="D2" s="102"/>
      <c r="E2" s="102"/>
      <c r="F2" s="102"/>
      <c r="G2" s="102"/>
      <c r="H2" s="510"/>
    </row>
    <row r="3" spans="1:12" ht="13.8" x14ac:dyDescent="0.3">
      <c r="A3" s="101"/>
      <c r="B3" s="103" t="str">
        <f>INSTRUÇÕES!B3</f>
        <v>Subseção Judiciária de Manhuaçu</v>
      </c>
      <c r="C3" s="296"/>
      <c r="D3" s="296"/>
      <c r="E3" s="296"/>
      <c r="F3" s="296"/>
      <c r="G3" s="296"/>
      <c r="H3" s="511"/>
    </row>
    <row r="4" spans="1:12" s="513" customFormat="1" ht="30.75" customHeight="1" x14ac:dyDescent="0.3">
      <c r="A4" s="732" t="s">
        <v>510</v>
      </c>
      <c r="B4" s="732"/>
      <c r="C4" s="732"/>
      <c r="D4" s="732"/>
      <c r="E4" s="732"/>
      <c r="F4" s="732"/>
      <c r="G4" s="732"/>
      <c r="H4" s="732"/>
      <c r="I4" s="512"/>
      <c r="J4" s="512"/>
      <c r="K4" s="512"/>
      <c r="L4" s="512"/>
    </row>
    <row r="5" spans="1:12" s="514" customFormat="1" ht="51" customHeight="1" x14ac:dyDescent="0.3">
      <c r="A5" s="733" t="s">
        <v>511</v>
      </c>
      <c r="B5" s="733"/>
      <c r="C5" s="733"/>
      <c r="D5" s="733"/>
      <c r="E5" s="734" t="s">
        <v>500</v>
      </c>
      <c r="F5" s="541" t="str">
        <f>Dados!C7</f>
        <v>Servente de Limpeza com Adicional de Insalubridade (40%)</v>
      </c>
      <c r="G5" s="542" t="str">
        <f>Dados!C8</f>
        <v xml:space="preserve">Servente de Limpeza acúmulo de função Copeira </v>
      </c>
      <c r="H5" s="543" t="str">
        <f>Dados!C9</f>
        <v>Assistente Administrativo acúmulo de função Zelador</v>
      </c>
    </row>
    <row r="6" spans="1:12" s="515" customFormat="1" ht="22.5" customHeight="1" x14ac:dyDescent="0.3">
      <c r="A6" s="544" t="s">
        <v>512</v>
      </c>
      <c r="B6" s="735" t="s">
        <v>271</v>
      </c>
      <c r="C6" s="735"/>
      <c r="D6" s="735"/>
      <c r="E6" s="734"/>
      <c r="F6" s="736" t="s">
        <v>513</v>
      </c>
      <c r="G6" s="736"/>
      <c r="H6" s="736"/>
    </row>
    <row r="7" spans="1:12" ht="14.25" customHeight="1" x14ac:dyDescent="0.3">
      <c r="A7" s="545">
        <v>1</v>
      </c>
      <c r="B7" s="737" t="s">
        <v>514</v>
      </c>
      <c r="C7" s="737"/>
      <c r="D7" s="737"/>
      <c r="E7" s="737"/>
      <c r="F7" s="546">
        <f>Dados!M7</f>
        <v>2099.5500000000002</v>
      </c>
      <c r="G7" s="546">
        <f>Dados!M8</f>
        <v>1494.68</v>
      </c>
      <c r="H7" s="547">
        <f>Dados!M9</f>
        <v>2089.7199999999998</v>
      </c>
    </row>
    <row r="8" spans="1:12" ht="13.8" x14ac:dyDescent="0.3">
      <c r="A8" s="548" t="s">
        <v>515</v>
      </c>
      <c r="B8" s="738" t="s">
        <v>272</v>
      </c>
      <c r="C8" s="738"/>
      <c r="D8" s="738"/>
      <c r="E8" s="549">
        <f>Encargos!C39</f>
        <v>9.0899999999999995E-2</v>
      </c>
      <c r="F8" s="516">
        <f>ROUND(F7*$E$8,2)</f>
        <v>190.85</v>
      </c>
      <c r="G8" s="516">
        <f>ROUND(G7*$E$8,2)</f>
        <v>135.87</v>
      </c>
      <c r="H8" s="517">
        <f>ROUND(H7*$E$8,2)</f>
        <v>189.96</v>
      </c>
    </row>
    <row r="9" spans="1:12" ht="13.8" x14ac:dyDescent="0.3">
      <c r="A9" s="550" t="s">
        <v>516</v>
      </c>
      <c r="B9" s="739" t="s">
        <v>278</v>
      </c>
      <c r="C9" s="739"/>
      <c r="D9" s="739"/>
      <c r="E9" s="551">
        <f>E8*Encargos!C18</f>
        <v>3.1633200000000007E-2</v>
      </c>
      <c r="F9" s="518">
        <f>ROUND(F7*$E$9,2)</f>
        <v>66.42</v>
      </c>
      <c r="G9" s="518">
        <f>ROUND(G7*$E$9,2)</f>
        <v>47.28</v>
      </c>
      <c r="H9" s="519">
        <f>ROUND(H7*$E$9,2)</f>
        <v>66.099999999999994</v>
      </c>
    </row>
    <row r="10" spans="1:12" ht="12.75" customHeight="1" x14ac:dyDescent="0.3">
      <c r="A10" s="740" t="s">
        <v>517</v>
      </c>
      <c r="B10" s="740"/>
      <c r="C10" s="740"/>
      <c r="D10" s="740"/>
      <c r="E10" s="552">
        <f>SUM(E8:E9)</f>
        <v>0.12253320000000001</v>
      </c>
      <c r="F10" s="520">
        <f>SUM(F8:F9)</f>
        <v>257.27</v>
      </c>
      <c r="G10" s="520">
        <f>SUM(G8:G9)</f>
        <v>183.15</v>
      </c>
      <c r="H10" s="521">
        <f>SUM(H8:H9)</f>
        <v>256.06</v>
      </c>
    </row>
    <row r="11" spans="1:12" ht="12.75" customHeight="1" x14ac:dyDescent="0.3">
      <c r="A11" s="740" t="s">
        <v>518</v>
      </c>
      <c r="B11" s="740"/>
      <c r="C11" s="740"/>
      <c r="D11" s="740"/>
      <c r="E11" s="740"/>
      <c r="F11" s="520">
        <f>F10*12</f>
        <v>3087.24</v>
      </c>
      <c r="G11" s="520">
        <f>G10*12</f>
        <v>2197.8000000000002</v>
      </c>
      <c r="H11" s="521">
        <f>H10*12</f>
        <v>3072.7200000000003</v>
      </c>
    </row>
    <row r="12" spans="1:12" ht="13.8" x14ac:dyDescent="0.3">
      <c r="A12" s="553">
        <v>2</v>
      </c>
      <c r="B12" s="554" t="s">
        <v>519</v>
      </c>
      <c r="C12" s="554"/>
      <c r="D12" s="554"/>
      <c r="E12" s="554"/>
      <c r="F12" s="741" t="s">
        <v>309</v>
      </c>
      <c r="G12" s="741"/>
      <c r="H12" s="741"/>
    </row>
    <row r="13" spans="1:12" ht="13.8" x14ac:dyDescent="0.3">
      <c r="A13" s="550" t="s">
        <v>515</v>
      </c>
      <c r="B13" s="739" t="s">
        <v>520</v>
      </c>
      <c r="C13" s="739"/>
      <c r="D13" s="739"/>
      <c r="E13" s="555"/>
      <c r="F13" s="556">
        <f>'Servente Insalubre'!$F$23</f>
        <v>513.04</v>
      </c>
      <c r="G13" s="556">
        <f>'Servente acúmulo Copeira'!$F$23</f>
        <v>513.04</v>
      </c>
      <c r="H13" s="557">
        <f>'Assistente Adm. acúmulo Zelador'!$F$23</f>
        <v>513.04</v>
      </c>
    </row>
    <row r="14" spans="1:12" ht="13.8" x14ac:dyDescent="0.3">
      <c r="A14" s="550" t="s">
        <v>521</v>
      </c>
      <c r="B14" s="739" t="s">
        <v>522</v>
      </c>
      <c r="C14" s="739"/>
      <c r="D14" s="739"/>
      <c r="E14" s="555"/>
      <c r="F14" s="556">
        <f>'Servente Insalubre'!$F$22</f>
        <v>88.49</v>
      </c>
      <c r="G14" s="556">
        <f>'Servente acúmulo Copeira'!$F$22</f>
        <v>88.49</v>
      </c>
      <c r="H14" s="557">
        <f>'Assistente Adm. acúmulo Zelador'!$F$22</f>
        <v>53.83</v>
      </c>
    </row>
    <row r="15" spans="1:12" ht="13.8" x14ac:dyDescent="0.3">
      <c r="A15" s="550" t="s">
        <v>523</v>
      </c>
      <c r="B15" s="555" t="s">
        <v>524</v>
      </c>
      <c r="C15" s="555"/>
      <c r="D15" s="555"/>
      <c r="E15" s="555"/>
      <c r="F15" s="556">
        <v>0</v>
      </c>
      <c r="G15" s="556">
        <v>0</v>
      </c>
      <c r="H15" s="557">
        <v>0</v>
      </c>
    </row>
    <row r="16" spans="1:12" ht="13.8" x14ac:dyDescent="0.3">
      <c r="A16" s="742" t="s">
        <v>525</v>
      </c>
      <c r="B16" s="742"/>
      <c r="C16" s="742"/>
      <c r="D16" s="742"/>
      <c r="E16" s="742"/>
      <c r="F16" s="558">
        <f>SUM(F13:F15)</f>
        <v>601.53</v>
      </c>
      <c r="G16" s="558">
        <f>SUM(G13:G15)</f>
        <v>601.53</v>
      </c>
      <c r="H16" s="559">
        <f>SUM(H13:H15)</f>
        <v>566.87</v>
      </c>
    </row>
    <row r="17" spans="1:8" ht="12.75" customHeight="1" x14ac:dyDescent="0.3">
      <c r="A17" s="553">
        <v>5</v>
      </c>
      <c r="B17" s="743" t="s">
        <v>526</v>
      </c>
      <c r="C17" s="743"/>
      <c r="D17" s="743"/>
      <c r="E17" s="560" t="s">
        <v>500</v>
      </c>
      <c r="F17" s="741" t="s">
        <v>309</v>
      </c>
      <c r="G17" s="741"/>
      <c r="H17" s="741"/>
    </row>
    <row r="18" spans="1:8" ht="12.75" customHeight="1" x14ac:dyDescent="0.3">
      <c r="A18" s="550" t="s">
        <v>515</v>
      </c>
      <c r="B18" s="744" t="s">
        <v>527</v>
      </c>
      <c r="C18" s="744"/>
      <c r="D18" s="744"/>
      <c r="E18" s="561">
        <f>Dados!$G$42</f>
        <v>1.7100000000000001E-2</v>
      </c>
      <c r="F18" s="562">
        <f>ROUND(($E$18*F31),2)</f>
        <v>63.08</v>
      </c>
      <c r="G18" s="562">
        <f>ROUND(($E$18*G31),2)</f>
        <v>47.87</v>
      </c>
      <c r="H18" s="563">
        <f>ROUND(($E$18*H31),2)</f>
        <v>62.24</v>
      </c>
    </row>
    <row r="19" spans="1:8" ht="12.75" customHeight="1" x14ac:dyDescent="0.3">
      <c r="A19" s="550" t="s">
        <v>521</v>
      </c>
      <c r="B19" s="744" t="s">
        <v>208</v>
      </c>
      <c r="C19" s="744"/>
      <c r="D19" s="744"/>
      <c r="E19" s="561">
        <f>Dados!$G$43</f>
        <v>1.7000000000000001E-2</v>
      </c>
      <c r="F19" s="562">
        <f>ROUND(($E$19*(F18+F31)),2)</f>
        <v>63.78</v>
      </c>
      <c r="G19" s="562">
        <f>ROUND(($E$19*(G18+G31)),2)</f>
        <v>48.4</v>
      </c>
      <c r="H19" s="563">
        <f>ROUND(($E$19*(H18+H31)),2)</f>
        <v>62.93</v>
      </c>
    </row>
    <row r="20" spans="1:8" ht="12.75" customHeight="1" x14ac:dyDescent="0.3">
      <c r="A20" s="564" t="s">
        <v>523</v>
      </c>
      <c r="B20" s="745" t="s">
        <v>528</v>
      </c>
      <c r="C20" s="745"/>
      <c r="D20" s="745"/>
      <c r="E20" s="565">
        <f>SUM(E21:E24)</f>
        <v>6.6500000000000004E-2</v>
      </c>
      <c r="F20" s="566">
        <f>ROUND((((F31+F18+F19)/(1-$E$20))-(F31+F18+F19)),2)</f>
        <v>271.82</v>
      </c>
      <c r="G20" s="566">
        <f>ROUND((((G31+G18+G19)/(1-$E$20))-(G31+G18+G19)),2)</f>
        <v>206.27</v>
      </c>
      <c r="H20" s="567">
        <f>ROUND((((H31+H18+H19)/(1-$E$20))-(H31+H18+H19)),2)</f>
        <v>268.19</v>
      </c>
    </row>
    <row r="21" spans="1:8" ht="12.75" customHeight="1" x14ac:dyDescent="0.3">
      <c r="A21" s="568" t="s">
        <v>529</v>
      </c>
      <c r="B21" s="744" t="s">
        <v>530</v>
      </c>
      <c r="C21" s="744"/>
      <c r="D21" s="744"/>
      <c r="E21" s="561">
        <f>Dados!G50+Dados!G51</f>
        <v>3.6499999999999998E-2</v>
      </c>
      <c r="F21" s="562">
        <f>ROUND($E$21*F33,2)</f>
        <v>149.19</v>
      </c>
      <c r="G21" s="562">
        <f>ROUND($E$21*G33,2)</f>
        <v>113.22</v>
      </c>
      <c r="H21" s="563">
        <f>ROUND($E$21*H33,2)</f>
        <v>147.19999999999999</v>
      </c>
    </row>
    <row r="22" spans="1:8" ht="12.75" customHeight="1" x14ac:dyDescent="0.3">
      <c r="A22" s="550" t="s">
        <v>531</v>
      </c>
      <c r="B22" s="744" t="s">
        <v>532</v>
      </c>
      <c r="C22" s="744"/>
      <c r="D22" s="744"/>
      <c r="E22" s="561">
        <v>0</v>
      </c>
      <c r="F22" s="562">
        <f>ROUND($E$22*F33,2)</f>
        <v>0</v>
      </c>
      <c r="G22" s="562">
        <f>ROUND($E$22*G33,2)</f>
        <v>0</v>
      </c>
      <c r="H22" s="563">
        <f>ROUND($E$22*H33,2)</f>
        <v>0</v>
      </c>
    </row>
    <row r="23" spans="1:8" ht="12.75" customHeight="1" x14ac:dyDescent="0.3">
      <c r="A23" s="550" t="s">
        <v>533</v>
      </c>
      <c r="B23" s="744" t="s">
        <v>534</v>
      </c>
      <c r="C23" s="744"/>
      <c r="D23" s="744"/>
      <c r="E23" s="561">
        <f>Dados!G52</f>
        <v>0.03</v>
      </c>
      <c r="F23" s="562">
        <f>ROUND($E$23*F33,2)</f>
        <v>122.62</v>
      </c>
      <c r="G23" s="562">
        <f>ROUND($E$23*G33,2)</f>
        <v>93.06</v>
      </c>
      <c r="H23" s="563">
        <f>ROUND($E$23*H33,2)</f>
        <v>120.99</v>
      </c>
    </row>
    <row r="24" spans="1:8" ht="13.8" x14ac:dyDescent="0.3">
      <c r="A24" s="550" t="s">
        <v>535</v>
      </c>
      <c r="B24" s="744" t="str">
        <f>Dados!B53</f>
        <v>Outros (inserir somente com a justificativa legal)</v>
      </c>
      <c r="C24" s="744"/>
      <c r="D24" s="744"/>
      <c r="E24" s="561">
        <f>Dados!G53</f>
        <v>0</v>
      </c>
      <c r="F24" s="562">
        <f>ROUND($E$24*F33,2)</f>
        <v>0</v>
      </c>
      <c r="G24" s="562">
        <f>ROUND($E$24*G33,2)</f>
        <v>0</v>
      </c>
      <c r="H24" s="563">
        <f>ROUND($E$24*H33,2)</f>
        <v>0</v>
      </c>
    </row>
    <row r="25" spans="1:8" ht="13.8" x14ac:dyDescent="0.3">
      <c r="A25" s="569" t="s">
        <v>536</v>
      </c>
      <c r="B25" s="570"/>
      <c r="C25" s="570"/>
      <c r="D25" s="570"/>
      <c r="E25" s="570"/>
      <c r="F25" s="571">
        <f>SUM(F18:F20)</f>
        <v>398.68</v>
      </c>
      <c r="G25" s="571">
        <f>SUM(G18:G20)</f>
        <v>302.54000000000002</v>
      </c>
      <c r="H25" s="572">
        <f>SUM(H18:H20)</f>
        <v>393.36</v>
      </c>
    </row>
    <row r="26" spans="1:8" ht="19.5" customHeight="1" x14ac:dyDescent="0.3">
      <c r="A26" s="746" t="s">
        <v>537</v>
      </c>
      <c r="B26" s="746"/>
      <c r="C26" s="746"/>
      <c r="D26" s="746"/>
      <c r="E26" s="746"/>
      <c r="F26" s="746"/>
      <c r="G26" s="746"/>
      <c r="H26" s="746"/>
    </row>
    <row r="27" spans="1:8" ht="18" customHeight="1" x14ac:dyDescent="0.3">
      <c r="A27" s="747" t="s">
        <v>538</v>
      </c>
      <c r="B27" s="747"/>
      <c r="C27" s="747"/>
      <c r="D27" s="747"/>
      <c r="E27" s="747"/>
      <c r="F27" s="747"/>
      <c r="G27" s="747"/>
      <c r="H27" s="747"/>
    </row>
    <row r="28" spans="1:8" ht="14.25" customHeight="1" x14ac:dyDescent="0.3">
      <c r="A28" s="573" t="s">
        <v>539</v>
      </c>
      <c r="B28" s="574"/>
      <c r="C28" s="574"/>
      <c r="D28" s="574"/>
      <c r="E28" s="574"/>
      <c r="F28" s="748" t="s">
        <v>309</v>
      </c>
      <c r="G28" s="748"/>
      <c r="H28" s="748"/>
    </row>
    <row r="29" spans="1:8" ht="13.8" x14ac:dyDescent="0.3">
      <c r="A29" s="550" t="s">
        <v>515</v>
      </c>
      <c r="B29" s="555" t="s">
        <v>540</v>
      </c>
      <c r="C29" s="555"/>
      <c r="D29" s="555"/>
      <c r="E29" s="555"/>
      <c r="F29" s="575">
        <f>F11</f>
        <v>3087.24</v>
      </c>
      <c r="G29" s="575">
        <f>G11</f>
        <v>2197.8000000000002</v>
      </c>
      <c r="H29" s="576">
        <f>H11</f>
        <v>3072.7200000000003</v>
      </c>
    </row>
    <row r="30" spans="1:8" ht="13.8" x14ac:dyDescent="0.3">
      <c r="A30" s="550" t="s">
        <v>521</v>
      </c>
      <c r="B30" s="555" t="s">
        <v>519</v>
      </c>
      <c r="C30" s="555"/>
      <c r="D30" s="555"/>
      <c r="E30" s="555"/>
      <c r="F30" s="575">
        <f>F16</f>
        <v>601.53</v>
      </c>
      <c r="G30" s="575">
        <f>G16</f>
        <v>601.53</v>
      </c>
      <c r="H30" s="576">
        <f>H16</f>
        <v>566.87</v>
      </c>
    </row>
    <row r="31" spans="1:8" ht="13.8" x14ac:dyDescent="0.3">
      <c r="A31" s="742" t="s">
        <v>541</v>
      </c>
      <c r="B31" s="742"/>
      <c r="C31" s="742"/>
      <c r="D31" s="742"/>
      <c r="E31" s="577"/>
      <c r="F31" s="578">
        <f>SUM(F29:F30)</f>
        <v>3688.7699999999995</v>
      </c>
      <c r="G31" s="578">
        <f>SUM(G29:G30)</f>
        <v>2799.33</v>
      </c>
      <c r="H31" s="579">
        <f>SUM(H29:H30)</f>
        <v>3639.59</v>
      </c>
    </row>
    <row r="32" spans="1:8" ht="13.8" x14ac:dyDescent="0.3">
      <c r="A32" s="580" t="s">
        <v>542</v>
      </c>
      <c r="B32" s="581" t="s">
        <v>543</v>
      </c>
      <c r="C32" s="581"/>
      <c r="D32" s="581"/>
      <c r="E32" s="581"/>
      <c r="F32" s="582">
        <f>F25</f>
        <v>398.68</v>
      </c>
      <c r="G32" s="582">
        <f>G25</f>
        <v>302.54000000000002</v>
      </c>
      <c r="H32" s="583">
        <f>H25</f>
        <v>393.36</v>
      </c>
    </row>
    <row r="33" spans="1:8" ht="19.5" customHeight="1" x14ac:dyDescent="0.3">
      <c r="A33" s="584" t="s">
        <v>544</v>
      </c>
      <c r="B33" s="585"/>
      <c r="C33" s="585"/>
      <c r="D33" s="585"/>
      <c r="E33" s="585"/>
      <c r="F33" s="586">
        <f>SUM(F31:F32)</f>
        <v>4087.4499999999994</v>
      </c>
      <c r="G33" s="586">
        <f>SUM(G31:G32)</f>
        <v>3101.87</v>
      </c>
      <c r="H33" s="587">
        <f>SUM(H31:H32)</f>
        <v>4032.9500000000003</v>
      </c>
    </row>
  </sheetData>
  <sheetProtection algorithmName="SHA-512" hashValue="gHw9Y7/cySgXafFD740BqivRgCFr2Jy+ovfELokLp3UpuG2XmgVK6t/YePbSid5ctxtFBJ/bpOsmbPDML73amQ==" saltValue="s/7FTvhdT2QEg6/XS29CFQ==" spinCount="100000" sheet="1" objects="1" scenarios="1"/>
  <mergeCells count="27">
    <mergeCell ref="A31:D31"/>
    <mergeCell ref="B23:D23"/>
    <mergeCell ref="B24:D24"/>
    <mergeCell ref="A26:H26"/>
    <mergeCell ref="A27:H27"/>
    <mergeCell ref="F28:H28"/>
    <mergeCell ref="B18:D18"/>
    <mergeCell ref="B19:D19"/>
    <mergeCell ref="B20:D20"/>
    <mergeCell ref="B21:D21"/>
    <mergeCell ref="B22:D22"/>
    <mergeCell ref="F12:H12"/>
    <mergeCell ref="B13:D13"/>
    <mergeCell ref="B14:D14"/>
    <mergeCell ref="A16:E16"/>
    <mergeCell ref="B17:D17"/>
    <mergeCell ref="F17:H17"/>
    <mergeCell ref="B7:E7"/>
    <mergeCell ref="B8:D8"/>
    <mergeCell ref="B9:D9"/>
    <mergeCell ref="A10:D10"/>
    <mergeCell ref="A11:E11"/>
    <mergeCell ref="A4:H4"/>
    <mergeCell ref="A5:D5"/>
    <mergeCell ref="E5:E6"/>
    <mergeCell ref="B6:D6"/>
    <mergeCell ref="F6:H6"/>
  </mergeCells>
  <printOptions horizontalCentered="1" verticalCentered="1"/>
  <pageMargins left="0.51180555555555596" right="0.51180555555555596" top="0.78749999999999998" bottom="0.78749999999999998" header="0.511811023622047" footer="0.511811023622047"/>
  <pageSetup paperSize="9" scale="78"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I23"/>
  <sheetViews>
    <sheetView showGridLines="0" zoomScaleNormal="100" zoomScalePageLayoutView="140" workbookViewId="0"/>
  </sheetViews>
  <sheetFormatPr defaultColWidth="8.6640625" defaultRowHeight="14.25" customHeight="1" x14ac:dyDescent="0.3"/>
  <cols>
    <col min="1" max="1" width="7.88671875" customWidth="1"/>
    <col min="2" max="2" width="7.33203125" customWidth="1"/>
    <col min="3" max="3" width="4.44140625" customWidth="1"/>
    <col min="4" max="4" width="7.5546875" customWidth="1"/>
    <col min="5" max="5" width="5.44140625" customWidth="1"/>
    <col min="6" max="6" width="8.33203125" customWidth="1"/>
    <col min="7" max="7" width="7.44140625" customWidth="1"/>
    <col min="8" max="8" width="3.33203125" customWidth="1"/>
    <col min="9" max="9" width="7.33203125" customWidth="1"/>
    <col min="10" max="10" width="4.44140625" customWidth="1"/>
    <col min="11" max="11" width="7.5546875" customWidth="1"/>
    <col min="12" max="12" width="5.44140625" customWidth="1"/>
    <col min="13" max="13" width="8.33203125" customWidth="1"/>
    <col min="14" max="14" width="7.44140625" customWidth="1"/>
    <col min="15" max="15" width="3" customWidth="1"/>
    <col min="16" max="16" width="7.33203125" customWidth="1"/>
    <col min="17" max="17" width="4.44140625" customWidth="1"/>
    <col min="18" max="18" width="7.5546875" customWidth="1"/>
    <col min="19" max="19" width="5.44140625" customWidth="1"/>
    <col min="20" max="20" width="8.33203125" customWidth="1"/>
    <col min="21" max="21" width="7.44140625" customWidth="1"/>
    <col min="22" max="22" width="3" customWidth="1"/>
    <col min="23" max="23" width="7.33203125" customWidth="1"/>
    <col min="24" max="24" width="4.44140625" customWidth="1"/>
    <col min="25" max="25" width="7.5546875" customWidth="1"/>
    <col min="26" max="26" width="5.44140625" customWidth="1"/>
    <col min="27" max="27" width="8.33203125" customWidth="1"/>
    <col min="28" max="28" width="7.44140625" customWidth="1"/>
    <col min="29" max="29" width="3" customWidth="1"/>
    <col min="30" max="30" width="7.33203125" customWidth="1"/>
    <col min="31" max="31" width="4.44140625" customWidth="1"/>
    <col min="257" max="257" width="1.44140625" customWidth="1"/>
    <col min="258" max="258" width="7.33203125" customWidth="1"/>
    <col min="259" max="259" width="4.44140625" customWidth="1"/>
    <col min="260" max="260" width="7.5546875" customWidth="1"/>
    <col min="261" max="261" width="5.44140625" customWidth="1"/>
    <col min="262" max="262" width="8.33203125" customWidth="1"/>
    <col min="263" max="263" width="7.44140625" customWidth="1"/>
    <col min="264" max="264" width="3.33203125" customWidth="1"/>
    <col min="265" max="265" width="7.33203125" customWidth="1"/>
    <col min="266" max="266" width="4.44140625" customWidth="1"/>
    <col min="267" max="267" width="7.5546875" customWidth="1"/>
    <col min="268" max="268" width="5.44140625" customWidth="1"/>
    <col min="269" max="269" width="8.33203125" customWidth="1"/>
    <col min="270" max="270" width="7.44140625" customWidth="1"/>
    <col min="271" max="271" width="3" customWidth="1"/>
    <col min="272" max="272" width="7.33203125" customWidth="1"/>
    <col min="273" max="273" width="4.44140625" customWidth="1"/>
    <col min="274" max="274" width="7.5546875" customWidth="1"/>
    <col min="275" max="275" width="5.44140625" customWidth="1"/>
    <col min="276" max="276" width="8.33203125" customWidth="1"/>
    <col min="277" max="277" width="7.44140625" customWidth="1"/>
    <col min="278" max="278" width="3" customWidth="1"/>
    <col min="279" max="279" width="7.33203125" customWidth="1"/>
    <col min="280" max="280" width="4.44140625" customWidth="1"/>
    <col min="281" max="281" width="7.5546875" customWidth="1"/>
    <col min="282" max="282" width="5.44140625" customWidth="1"/>
    <col min="283" max="283" width="8.33203125" customWidth="1"/>
    <col min="284" max="284" width="7.44140625" customWidth="1"/>
    <col min="285" max="285" width="3" customWidth="1"/>
    <col min="286" max="286" width="7.33203125" customWidth="1"/>
    <col min="287" max="287" width="4.44140625" customWidth="1"/>
    <col min="513" max="513" width="1.44140625" customWidth="1"/>
    <col min="514" max="514" width="7.33203125" customWidth="1"/>
    <col min="515" max="515" width="4.44140625" customWidth="1"/>
    <col min="516" max="516" width="7.5546875" customWidth="1"/>
    <col min="517" max="517" width="5.44140625" customWidth="1"/>
    <col min="518" max="518" width="8.33203125" customWidth="1"/>
    <col min="519" max="519" width="7.44140625" customWidth="1"/>
    <col min="520" max="520" width="3.33203125" customWidth="1"/>
    <col min="521" max="521" width="7.33203125" customWidth="1"/>
    <col min="522" max="522" width="4.44140625" customWidth="1"/>
    <col min="523" max="523" width="7.5546875" customWidth="1"/>
    <col min="524" max="524" width="5.44140625" customWidth="1"/>
    <col min="525" max="525" width="8.33203125" customWidth="1"/>
    <col min="526" max="526" width="7.44140625" customWidth="1"/>
    <col min="527" max="527" width="3" customWidth="1"/>
    <col min="528" max="528" width="7.33203125" customWidth="1"/>
    <col min="529" max="529" width="4.44140625" customWidth="1"/>
    <col min="530" max="530" width="7.5546875" customWidth="1"/>
    <col min="531" max="531" width="5.44140625" customWidth="1"/>
    <col min="532" max="532" width="8.33203125" customWidth="1"/>
    <col min="533" max="533" width="7.44140625" customWidth="1"/>
    <col min="534" max="534" width="3" customWidth="1"/>
    <col min="535" max="535" width="7.33203125" customWidth="1"/>
    <col min="536" max="536" width="4.44140625" customWidth="1"/>
    <col min="537" max="537" width="7.5546875" customWidth="1"/>
    <col min="538" max="538" width="5.44140625" customWidth="1"/>
    <col min="539" max="539" width="8.33203125" customWidth="1"/>
    <col min="540" max="540" width="7.44140625" customWidth="1"/>
    <col min="541" max="541" width="3" customWidth="1"/>
    <col min="542" max="542" width="7.33203125" customWidth="1"/>
    <col min="543" max="543" width="4.44140625" customWidth="1"/>
    <col min="769" max="769" width="1.44140625" customWidth="1"/>
    <col min="770" max="770" width="7.33203125" customWidth="1"/>
    <col min="771" max="771" width="4.44140625" customWidth="1"/>
    <col min="772" max="772" width="7.5546875" customWidth="1"/>
    <col min="773" max="773" width="5.44140625" customWidth="1"/>
    <col min="774" max="774" width="8.33203125" customWidth="1"/>
    <col min="775" max="775" width="7.44140625" customWidth="1"/>
    <col min="776" max="776" width="3.33203125" customWidth="1"/>
    <col min="777" max="777" width="7.33203125" customWidth="1"/>
    <col min="778" max="778" width="4.44140625" customWidth="1"/>
    <col min="779" max="779" width="7.5546875" customWidth="1"/>
    <col min="780" max="780" width="5.44140625" customWidth="1"/>
    <col min="781" max="781" width="8.33203125" customWidth="1"/>
    <col min="782" max="782" width="7.44140625" customWidth="1"/>
    <col min="783" max="783" width="3" customWidth="1"/>
    <col min="784" max="784" width="7.33203125" customWidth="1"/>
    <col min="785" max="785" width="4.44140625" customWidth="1"/>
    <col min="786" max="786" width="7.5546875" customWidth="1"/>
    <col min="787" max="787" width="5.44140625" customWidth="1"/>
    <col min="788" max="788" width="8.33203125" customWidth="1"/>
    <col min="789" max="789" width="7.44140625" customWidth="1"/>
    <col min="790" max="790" width="3" customWidth="1"/>
    <col min="791" max="791" width="7.33203125" customWidth="1"/>
    <col min="792" max="792" width="4.44140625" customWidth="1"/>
    <col min="793" max="793" width="7.5546875" customWidth="1"/>
    <col min="794" max="794" width="5.44140625" customWidth="1"/>
    <col min="795" max="795" width="8.33203125" customWidth="1"/>
    <col min="796" max="796" width="7.44140625" customWidth="1"/>
    <col min="797" max="797" width="3" customWidth="1"/>
    <col min="798" max="798" width="7.33203125" customWidth="1"/>
    <col min="799" max="799" width="4.44140625" customWidth="1"/>
    <col min="1025" max="1025" width="1.44140625" customWidth="1"/>
    <col min="1026" max="1026" width="7.33203125" customWidth="1"/>
    <col min="1027" max="1027" width="4.44140625" customWidth="1"/>
    <col min="1028" max="1028" width="7.5546875" customWidth="1"/>
    <col min="1029" max="1029" width="5.44140625" customWidth="1"/>
    <col min="1030" max="1030" width="8.33203125" customWidth="1"/>
    <col min="1031" max="1031" width="7.44140625" customWidth="1"/>
    <col min="1032" max="1032" width="3.33203125" customWidth="1"/>
    <col min="1033" max="1033" width="7.33203125" customWidth="1"/>
    <col min="1034" max="1034" width="4.44140625" customWidth="1"/>
    <col min="1035" max="1035" width="7.5546875" customWidth="1"/>
    <col min="1036" max="1036" width="5.44140625" customWidth="1"/>
    <col min="1037" max="1037" width="8.33203125" customWidth="1"/>
    <col min="1038" max="1038" width="7.44140625" customWidth="1"/>
    <col min="1039" max="1039" width="3" customWidth="1"/>
    <col min="1040" max="1040" width="7.33203125" customWidth="1"/>
    <col min="1041" max="1041" width="4.44140625" customWidth="1"/>
    <col min="1042" max="1042" width="7.5546875" customWidth="1"/>
    <col min="1043" max="1043" width="5.44140625" customWidth="1"/>
    <col min="1044" max="1044" width="8.33203125" customWidth="1"/>
    <col min="1045" max="1045" width="7.44140625" customWidth="1"/>
    <col min="1046" max="1046" width="3" customWidth="1"/>
    <col min="1047" max="1047" width="7.33203125" customWidth="1"/>
    <col min="1048" max="1048" width="4.44140625" customWidth="1"/>
    <col min="1049" max="1049" width="7.5546875" customWidth="1"/>
    <col min="1050" max="1050" width="5.44140625" customWidth="1"/>
    <col min="1051" max="1051" width="8.33203125" customWidth="1"/>
    <col min="1052" max="1052" width="7.44140625" customWidth="1"/>
    <col min="1053" max="1053" width="3" customWidth="1"/>
    <col min="1054" max="1054" width="7.33203125" customWidth="1"/>
    <col min="1055" max="1055" width="4.44140625" customWidth="1"/>
    <col min="1281" max="1281" width="1.44140625" customWidth="1"/>
    <col min="1282" max="1282" width="7.33203125" customWidth="1"/>
    <col min="1283" max="1283" width="4.44140625" customWidth="1"/>
    <col min="1284" max="1284" width="7.5546875" customWidth="1"/>
    <col min="1285" max="1285" width="5.44140625" customWidth="1"/>
    <col min="1286" max="1286" width="8.33203125" customWidth="1"/>
    <col min="1287" max="1287" width="7.44140625" customWidth="1"/>
    <col min="1288" max="1288" width="3.33203125" customWidth="1"/>
    <col min="1289" max="1289" width="7.33203125" customWidth="1"/>
    <col min="1290" max="1290" width="4.44140625" customWidth="1"/>
    <col min="1291" max="1291" width="7.5546875" customWidth="1"/>
    <col min="1292" max="1292" width="5.44140625" customWidth="1"/>
    <col min="1293" max="1293" width="8.33203125" customWidth="1"/>
    <col min="1294" max="1294" width="7.44140625" customWidth="1"/>
    <col min="1295" max="1295" width="3" customWidth="1"/>
    <col min="1296" max="1296" width="7.33203125" customWidth="1"/>
    <col min="1297" max="1297" width="4.44140625" customWidth="1"/>
    <col min="1298" max="1298" width="7.5546875" customWidth="1"/>
    <col min="1299" max="1299" width="5.44140625" customWidth="1"/>
    <col min="1300" max="1300" width="8.33203125" customWidth="1"/>
    <col min="1301" max="1301" width="7.44140625" customWidth="1"/>
    <col min="1302" max="1302" width="3" customWidth="1"/>
    <col min="1303" max="1303" width="7.33203125" customWidth="1"/>
    <col min="1304" max="1304" width="4.44140625" customWidth="1"/>
    <col min="1305" max="1305" width="7.5546875" customWidth="1"/>
    <col min="1306" max="1306" width="5.44140625" customWidth="1"/>
    <col min="1307" max="1307" width="8.33203125" customWidth="1"/>
    <col min="1308" max="1308" width="7.44140625" customWidth="1"/>
    <col min="1309" max="1309" width="3" customWidth="1"/>
    <col min="1310" max="1310" width="7.33203125" customWidth="1"/>
    <col min="1311" max="1311" width="4.44140625" customWidth="1"/>
    <col min="1537" max="1537" width="1.44140625" customWidth="1"/>
    <col min="1538" max="1538" width="7.33203125" customWidth="1"/>
    <col min="1539" max="1539" width="4.44140625" customWidth="1"/>
    <col min="1540" max="1540" width="7.5546875" customWidth="1"/>
    <col min="1541" max="1541" width="5.44140625" customWidth="1"/>
    <col min="1542" max="1542" width="8.33203125" customWidth="1"/>
    <col min="1543" max="1543" width="7.44140625" customWidth="1"/>
    <col min="1544" max="1544" width="3.33203125" customWidth="1"/>
    <col min="1545" max="1545" width="7.33203125" customWidth="1"/>
    <col min="1546" max="1546" width="4.44140625" customWidth="1"/>
    <col min="1547" max="1547" width="7.5546875" customWidth="1"/>
    <col min="1548" max="1548" width="5.44140625" customWidth="1"/>
    <col min="1549" max="1549" width="8.33203125" customWidth="1"/>
    <col min="1550" max="1550" width="7.44140625" customWidth="1"/>
    <col min="1551" max="1551" width="3" customWidth="1"/>
    <col min="1552" max="1552" width="7.33203125" customWidth="1"/>
    <col min="1553" max="1553" width="4.44140625" customWidth="1"/>
    <col min="1554" max="1554" width="7.5546875" customWidth="1"/>
    <col min="1555" max="1555" width="5.44140625" customWidth="1"/>
    <col min="1556" max="1556" width="8.33203125" customWidth="1"/>
    <col min="1557" max="1557" width="7.44140625" customWidth="1"/>
    <col min="1558" max="1558" width="3" customWidth="1"/>
    <col min="1559" max="1559" width="7.33203125" customWidth="1"/>
    <col min="1560" max="1560" width="4.44140625" customWidth="1"/>
    <col min="1561" max="1561" width="7.5546875" customWidth="1"/>
    <col min="1562" max="1562" width="5.44140625" customWidth="1"/>
    <col min="1563" max="1563" width="8.33203125" customWidth="1"/>
    <col min="1564" max="1564" width="7.44140625" customWidth="1"/>
    <col min="1565" max="1565" width="3" customWidth="1"/>
    <col min="1566" max="1566" width="7.33203125" customWidth="1"/>
    <col min="1567" max="1567" width="4.44140625" customWidth="1"/>
    <col min="1793" max="1793" width="1.44140625" customWidth="1"/>
    <col min="1794" max="1794" width="7.33203125" customWidth="1"/>
    <col min="1795" max="1795" width="4.44140625" customWidth="1"/>
    <col min="1796" max="1796" width="7.5546875" customWidth="1"/>
    <col min="1797" max="1797" width="5.44140625" customWidth="1"/>
    <col min="1798" max="1798" width="8.33203125" customWidth="1"/>
    <col min="1799" max="1799" width="7.44140625" customWidth="1"/>
    <col min="1800" max="1800" width="3.33203125" customWidth="1"/>
    <col min="1801" max="1801" width="7.33203125" customWidth="1"/>
    <col min="1802" max="1802" width="4.44140625" customWidth="1"/>
    <col min="1803" max="1803" width="7.5546875" customWidth="1"/>
    <col min="1804" max="1804" width="5.44140625" customWidth="1"/>
    <col min="1805" max="1805" width="8.33203125" customWidth="1"/>
    <col min="1806" max="1806" width="7.44140625" customWidth="1"/>
    <col min="1807" max="1807" width="3" customWidth="1"/>
    <col min="1808" max="1808" width="7.33203125" customWidth="1"/>
    <col min="1809" max="1809" width="4.44140625" customWidth="1"/>
    <col min="1810" max="1810" width="7.5546875" customWidth="1"/>
    <col min="1811" max="1811" width="5.44140625" customWidth="1"/>
    <col min="1812" max="1812" width="8.33203125" customWidth="1"/>
    <col min="1813" max="1813" width="7.44140625" customWidth="1"/>
    <col min="1814" max="1814" width="3" customWidth="1"/>
    <col min="1815" max="1815" width="7.33203125" customWidth="1"/>
    <col min="1816" max="1816" width="4.44140625" customWidth="1"/>
    <col min="1817" max="1817" width="7.5546875" customWidth="1"/>
    <col min="1818" max="1818" width="5.44140625" customWidth="1"/>
    <col min="1819" max="1819" width="8.33203125" customWidth="1"/>
    <col min="1820" max="1820" width="7.44140625" customWidth="1"/>
    <col min="1821" max="1821" width="3" customWidth="1"/>
    <col min="1822" max="1822" width="7.33203125" customWidth="1"/>
    <col min="1823" max="1823" width="4.44140625" customWidth="1"/>
    <col min="2049" max="2049" width="1.44140625" customWidth="1"/>
    <col min="2050" max="2050" width="7.33203125" customWidth="1"/>
    <col min="2051" max="2051" width="4.44140625" customWidth="1"/>
    <col min="2052" max="2052" width="7.5546875" customWidth="1"/>
    <col min="2053" max="2053" width="5.44140625" customWidth="1"/>
    <col min="2054" max="2054" width="8.33203125" customWidth="1"/>
    <col min="2055" max="2055" width="7.44140625" customWidth="1"/>
    <col min="2056" max="2056" width="3.33203125" customWidth="1"/>
    <col min="2057" max="2057" width="7.33203125" customWidth="1"/>
    <col min="2058" max="2058" width="4.44140625" customWidth="1"/>
    <col min="2059" max="2059" width="7.5546875" customWidth="1"/>
    <col min="2060" max="2060" width="5.44140625" customWidth="1"/>
    <col min="2061" max="2061" width="8.33203125" customWidth="1"/>
    <col min="2062" max="2062" width="7.44140625" customWidth="1"/>
    <col min="2063" max="2063" width="3" customWidth="1"/>
    <col min="2064" max="2064" width="7.33203125" customWidth="1"/>
    <col min="2065" max="2065" width="4.44140625" customWidth="1"/>
    <col min="2066" max="2066" width="7.5546875" customWidth="1"/>
    <col min="2067" max="2067" width="5.44140625" customWidth="1"/>
    <col min="2068" max="2068" width="8.33203125" customWidth="1"/>
    <col min="2069" max="2069" width="7.44140625" customWidth="1"/>
    <col min="2070" max="2070" width="3" customWidth="1"/>
    <col min="2071" max="2071" width="7.33203125" customWidth="1"/>
    <col min="2072" max="2072" width="4.44140625" customWidth="1"/>
    <col min="2073" max="2073" width="7.5546875" customWidth="1"/>
    <col min="2074" max="2074" width="5.44140625" customWidth="1"/>
    <col min="2075" max="2075" width="8.33203125" customWidth="1"/>
    <col min="2076" max="2076" width="7.44140625" customWidth="1"/>
    <col min="2077" max="2077" width="3" customWidth="1"/>
    <col min="2078" max="2078" width="7.33203125" customWidth="1"/>
    <col min="2079" max="2079" width="4.44140625" customWidth="1"/>
    <col min="2305" max="2305" width="1.44140625" customWidth="1"/>
    <col min="2306" max="2306" width="7.33203125" customWidth="1"/>
    <col min="2307" max="2307" width="4.44140625" customWidth="1"/>
    <col min="2308" max="2308" width="7.5546875" customWidth="1"/>
    <col min="2309" max="2309" width="5.44140625" customWidth="1"/>
    <col min="2310" max="2310" width="8.33203125" customWidth="1"/>
    <col min="2311" max="2311" width="7.44140625" customWidth="1"/>
    <col min="2312" max="2312" width="3.33203125" customWidth="1"/>
    <col min="2313" max="2313" width="7.33203125" customWidth="1"/>
    <col min="2314" max="2314" width="4.44140625" customWidth="1"/>
    <col min="2315" max="2315" width="7.5546875" customWidth="1"/>
    <col min="2316" max="2316" width="5.44140625" customWidth="1"/>
    <col min="2317" max="2317" width="8.33203125" customWidth="1"/>
    <col min="2318" max="2318" width="7.44140625" customWidth="1"/>
    <col min="2319" max="2319" width="3" customWidth="1"/>
    <col min="2320" max="2320" width="7.33203125" customWidth="1"/>
    <col min="2321" max="2321" width="4.44140625" customWidth="1"/>
    <col min="2322" max="2322" width="7.5546875" customWidth="1"/>
    <col min="2323" max="2323" width="5.44140625" customWidth="1"/>
    <col min="2324" max="2324" width="8.33203125" customWidth="1"/>
    <col min="2325" max="2325" width="7.44140625" customWidth="1"/>
    <col min="2326" max="2326" width="3" customWidth="1"/>
    <col min="2327" max="2327" width="7.33203125" customWidth="1"/>
    <col min="2328" max="2328" width="4.44140625" customWidth="1"/>
    <col min="2329" max="2329" width="7.5546875" customWidth="1"/>
    <col min="2330" max="2330" width="5.44140625" customWidth="1"/>
    <col min="2331" max="2331" width="8.33203125" customWidth="1"/>
    <col min="2332" max="2332" width="7.44140625" customWidth="1"/>
    <col min="2333" max="2333" width="3" customWidth="1"/>
    <col min="2334" max="2334" width="7.33203125" customWidth="1"/>
    <col min="2335" max="2335" width="4.44140625" customWidth="1"/>
    <col min="2561" max="2561" width="1.44140625" customWidth="1"/>
    <col min="2562" max="2562" width="7.33203125" customWidth="1"/>
    <col min="2563" max="2563" width="4.44140625" customWidth="1"/>
    <col min="2564" max="2564" width="7.5546875" customWidth="1"/>
    <col min="2565" max="2565" width="5.44140625" customWidth="1"/>
    <col min="2566" max="2566" width="8.33203125" customWidth="1"/>
    <col min="2567" max="2567" width="7.44140625" customWidth="1"/>
    <col min="2568" max="2568" width="3.33203125" customWidth="1"/>
    <col min="2569" max="2569" width="7.33203125" customWidth="1"/>
    <col min="2570" max="2570" width="4.44140625" customWidth="1"/>
    <col min="2571" max="2571" width="7.5546875" customWidth="1"/>
    <col min="2572" max="2572" width="5.44140625" customWidth="1"/>
    <col min="2573" max="2573" width="8.33203125" customWidth="1"/>
    <col min="2574" max="2574" width="7.44140625" customWidth="1"/>
    <col min="2575" max="2575" width="3" customWidth="1"/>
    <col min="2576" max="2576" width="7.33203125" customWidth="1"/>
    <col min="2577" max="2577" width="4.44140625" customWidth="1"/>
    <col min="2578" max="2578" width="7.5546875" customWidth="1"/>
    <col min="2579" max="2579" width="5.44140625" customWidth="1"/>
    <col min="2580" max="2580" width="8.33203125" customWidth="1"/>
    <col min="2581" max="2581" width="7.44140625" customWidth="1"/>
    <col min="2582" max="2582" width="3" customWidth="1"/>
    <col min="2583" max="2583" width="7.33203125" customWidth="1"/>
    <col min="2584" max="2584" width="4.44140625" customWidth="1"/>
    <col min="2585" max="2585" width="7.5546875" customWidth="1"/>
    <col min="2586" max="2586" width="5.44140625" customWidth="1"/>
    <col min="2587" max="2587" width="8.33203125" customWidth="1"/>
    <col min="2588" max="2588" width="7.44140625" customWidth="1"/>
    <col min="2589" max="2589" width="3" customWidth="1"/>
    <col min="2590" max="2590" width="7.33203125" customWidth="1"/>
    <col min="2591" max="2591" width="4.44140625" customWidth="1"/>
    <col min="2817" max="2817" width="1.44140625" customWidth="1"/>
    <col min="2818" max="2818" width="7.33203125" customWidth="1"/>
    <col min="2819" max="2819" width="4.44140625" customWidth="1"/>
    <col min="2820" max="2820" width="7.5546875" customWidth="1"/>
    <col min="2821" max="2821" width="5.44140625" customWidth="1"/>
    <col min="2822" max="2822" width="8.33203125" customWidth="1"/>
    <col min="2823" max="2823" width="7.44140625" customWidth="1"/>
    <col min="2824" max="2824" width="3.33203125" customWidth="1"/>
    <col min="2825" max="2825" width="7.33203125" customWidth="1"/>
    <col min="2826" max="2826" width="4.44140625" customWidth="1"/>
    <col min="2827" max="2827" width="7.5546875" customWidth="1"/>
    <col min="2828" max="2828" width="5.44140625" customWidth="1"/>
    <col min="2829" max="2829" width="8.33203125" customWidth="1"/>
    <col min="2830" max="2830" width="7.44140625" customWidth="1"/>
    <col min="2831" max="2831" width="3" customWidth="1"/>
    <col min="2832" max="2832" width="7.33203125" customWidth="1"/>
    <col min="2833" max="2833" width="4.44140625" customWidth="1"/>
    <col min="2834" max="2834" width="7.5546875" customWidth="1"/>
    <col min="2835" max="2835" width="5.44140625" customWidth="1"/>
    <col min="2836" max="2836" width="8.33203125" customWidth="1"/>
    <col min="2837" max="2837" width="7.44140625" customWidth="1"/>
    <col min="2838" max="2838" width="3" customWidth="1"/>
    <col min="2839" max="2839" width="7.33203125" customWidth="1"/>
    <col min="2840" max="2840" width="4.44140625" customWidth="1"/>
    <col min="2841" max="2841" width="7.5546875" customWidth="1"/>
    <col min="2842" max="2842" width="5.44140625" customWidth="1"/>
    <col min="2843" max="2843" width="8.33203125" customWidth="1"/>
    <col min="2844" max="2844" width="7.44140625" customWidth="1"/>
    <col min="2845" max="2845" width="3" customWidth="1"/>
    <col min="2846" max="2846" width="7.33203125" customWidth="1"/>
    <col min="2847" max="2847" width="4.44140625" customWidth="1"/>
    <col min="3073" max="3073" width="1.44140625" customWidth="1"/>
    <col min="3074" max="3074" width="7.33203125" customWidth="1"/>
    <col min="3075" max="3075" width="4.44140625" customWidth="1"/>
    <col min="3076" max="3076" width="7.5546875" customWidth="1"/>
    <col min="3077" max="3077" width="5.44140625" customWidth="1"/>
    <col min="3078" max="3078" width="8.33203125" customWidth="1"/>
    <col min="3079" max="3079" width="7.44140625" customWidth="1"/>
    <col min="3080" max="3080" width="3.33203125" customWidth="1"/>
    <col min="3081" max="3081" width="7.33203125" customWidth="1"/>
    <col min="3082" max="3082" width="4.44140625" customWidth="1"/>
    <col min="3083" max="3083" width="7.5546875" customWidth="1"/>
    <col min="3084" max="3084" width="5.44140625" customWidth="1"/>
    <col min="3085" max="3085" width="8.33203125" customWidth="1"/>
    <col min="3086" max="3086" width="7.44140625" customWidth="1"/>
    <col min="3087" max="3087" width="3" customWidth="1"/>
    <col min="3088" max="3088" width="7.33203125" customWidth="1"/>
    <col min="3089" max="3089" width="4.44140625" customWidth="1"/>
    <col min="3090" max="3090" width="7.5546875" customWidth="1"/>
    <col min="3091" max="3091" width="5.44140625" customWidth="1"/>
    <col min="3092" max="3092" width="8.33203125" customWidth="1"/>
    <col min="3093" max="3093" width="7.44140625" customWidth="1"/>
    <col min="3094" max="3094" width="3" customWidth="1"/>
    <col min="3095" max="3095" width="7.33203125" customWidth="1"/>
    <col min="3096" max="3096" width="4.44140625" customWidth="1"/>
    <col min="3097" max="3097" width="7.5546875" customWidth="1"/>
    <col min="3098" max="3098" width="5.44140625" customWidth="1"/>
    <col min="3099" max="3099" width="8.33203125" customWidth="1"/>
    <col min="3100" max="3100" width="7.44140625" customWidth="1"/>
    <col min="3101" max="3101" width="3" customWidth="1"/>
    <col min="3102" max="3102" width="7.33203125" customWidth="1"/>
    <col min="3103" max="3103" width="4.44140625" customWidth="1"/>
    <col min="3329" max="3329" width="1.44140625" customWidth="1"/>
    <col min="3330" max="3330" width="7.33203125" customWidth="1"/>
    <col min="3331" max="3331" width="4.44140625" customWidth="1"/>
    <col min="3332" max="3332" width="7.5546875" customWidth="1"/>
    <col min="3333" max="3333" width="5.44140625" customWidth="1"/>
    <col min="3334" max="3334" width="8.33203125" customWidth="1"/>
    <col min="3335" max="3335" width="7.44140625" customWidth="1"/>
    <col min="3336" max="3336" width="3.33203125" customWidth="1"/>
    <col min="3337" max="3337" width="7.33203125" customWidth="1"/>
    <col min="3338" max="3338" width="4.44140625" customWidth="1"/>
    <col min="3339" max="3339" width="7.5546875" customWidth="1"/>
    <col min="3340" max="3340" width="5.44140625" customWidth="1"/>
    <col min="3341" max="3341" width="8.33203125" customWidth="1"/>
    <col min="3342" max="3342" width="7.44140625" customWidth="1"/>
    <col min="3343" max="3343" width="3" customWidth="1"/>
    <col min="3344" max="3344" width="7.33203125" customWidth="1"/>
    <col min="3345" max="3345" width="4.44140625" customWidth="1"/>
    <col min="3346" max="3346" width="7.5546875" customWidth="1"/>
    <col min="3347" max="3347" width="5.44140625" customWidth="1"/>
    <col min="3348" max="3348" width="8.33203125" customWidth="1"/>
    <col min="3349" max="3349" width="7.44140625" customWidth="1"/>
    <col min="3350" max="3350" width="3" customWidth="1"/>
    <col min="3351" max="3351" width="7.33203125" customWidth="1"/>
    <col min="3352" max="3352" width="4.44140625" customWidth="1"/>
    <col min="3353" max="3353" width="7.5546875" customWidth="1"/>
    <col min="3354" max="3354" width="5.44140625" customWidth="1"/>
    <col min="3355" max="3355" width="8.33203125" customWidth="1"/>
    <col min="3356" max="3356" width="7.44140625" customWidth="1"/>
    <col min="3357" max="3357" width="3" customWidth="1"/>
    <col min="3358" max="3358" width="7.33203125" customWidth="1"/>
    <col min="3359" max="3359" width="4.44140625" customWidth="1"/>
    <col min="3585" max="3585" width="1.44140625" customWidth="1"/>
    <col min="3586" max="3586" width="7.33203125" customWidth="1"/>
    <col min="3587" max="3587" width="4.44140625" customWidth="1"/>
    <col min="3588" max="3588" width="7.5546875" customWidth="1"/>
    <col min="3589" max="3589" width="5.44140625" customWidth="1"/>
    <col min="3590" max="3590" width="8.33203125" customWidth="1"/>
    <col min="3591" max="3591" width="7.44140625" customWidth="1"/>
    <col min="3592" max="3592" width="3.33203125" customWidth="1"/>
    <col min="3593" max="3593" width="7.33203125" customWidth="1"/>
    <col min="3594" max="3594" width="4.44140625" customWidth="1"/>
    <col min="3595" max="3595" width="7.5546875" customWidth="1"/>
    <col min="3596" max="3596" width="5.44140625" customWidth="1"/>
    <col min="3597" max="3597" width="8.33203125" customWidth="1"/>
    <col min="3598" max="3598" width="7.44140625" customWidth="1"/>
    <col min="3599" max="3599" width="3" customWidth="1"/>
    <col min="3600" max="3600" width="7.33203125" customWidth="1"/>
    <col min="3601" max="3601" width="4.44140625" customWidth="1"/>
    <col min="3602" max="3602" width="7.5546875" customWidth="1"/>
    <col min="3603" max="3603" width="5.44140625" customWidth="1"/>
    <col min="3604" max="3604" width="8.33203125" customWidth="1"/>
    <col min="3605" max="3605" width="7.44140625" customWidth="1"/>
    <col min="3606" max="3606" width="3" customWidth="1"/>
    <col min="3607" max="3607" width="7.33203125" customWidth="1"/>
    <col min="3608" max="3608" width="4.44140625" customWidth="1"/>
    <col min="3609" max="3609" width="7.5546875" customWidth="1"/>
    <col min="3610" max="3610" width="5.44140625" customWidth="1"/>
    <col min="3611" max="3611" width="8.33203125" customWidth="1"/>
    <col min="3612" max="3612" width="7.44140625" customWidth="1"/>
    <col min="3613" max="3613" width="3" customWidth="1"/>
    <col min="3614" max="3614" width="7.33203125" customWidth="1"/>
    <col min="3615" max="3615" width="4.44140625" customWidth="1"/>
    <col min="3841" max="3841" width="1.44140625" customWidth="1"/>
    <col min="3842" max="3842" width="7.33203125" customWidth="1"/>
    <col min="3843" max="3843" width="4.44140625" customWidth="1"/>
    <col min="3844" max="3844" width="7.5546875" customWidth="1"/>
    <col min="3845" max="3845" width="5.44140625" customWidth="1"/>
    <col min="3846" max="3846" width="8.33203125" customWidth="1"/>
    <col min="3847" max="3847" width="7.44140625" customWidth="1"/>
    <col min="3848" max="3848" width="3.33203125" customWidth="1"/>
    <col min="3849" max="3849" width="7.33203125" customWidth="1"/>
    <col min="3850" max="3850" width="4.44140625" customWidth="1"/>
    <col min="3851" max="3851" width="7.5546875" customWidth="1"/>
    <col min="3852" max="3852" width="5.44140625" customWidth="1"/>
    <col min="3853" max="3853" width="8.33203125" customWidth="1"/>
    <col min="3854" max="3854" width="7.44140625" customWidth="1"/>
    <col min="3855" max="3855" width="3" customWidth="1"/>
    <col min="3856" max="3856" width="7.33203125" customWidth="1"/>
    <col min="3857" max="3857" width="4.44140625" customWidth="1"/>
    <col min="3858" max="3858" width="7.5546875" customWidth="1"/>
    <col min="3859" max="3859" width="5.44140625" customWidth="1"/>
    <col min="3860" max="3860" width="8.33203125" customWidth="1"/>
    <col min="3861" max="3861" width="7.44140625" customWidth="1"/>
    <col min="3862" max="3862" width="3" customWidth="1"/>
    <col min="3863" max="3863" width="7.33203125" customWidth="1"/>
    <col min="3864" max="3864" width="4.44140625" customWidth="1"/>
    <col min="3865" max="3865" width="7.5546875" customWidth="1"/>
    <col min="3866" max="3866" width="5.44140625" customWidth="1"/>
    <col min="3867" max="3867" width="8.33203125" customWidth="1"/>
    <col min="3868" max="3868" width="7.44140625" customWidth="1"/>
    <col min="3869" max="3869" width="3" customWidth="1"/>
    <col min="3870" max="3870" width="7.33203125" customWidth="1"/>
    <col min="3871" max="3871" width="4.44140625" customWidth="1"/>
    <col min="4097" max="4097" width="1.44140625" customWidth="1"/>
    <col min="4098" max="4098" width="7.33203125" customWidth="1"/>
    <col min="4099" max="4099" width="4.44140625" customWidth="1"/>
    <col min="4100" max="4100" width="7.5546875" customWidth="1"/>
    <col min="4101" max="4101" width="5.44140625" customWidth="1"/>
    <col min="4102" max="4102" width="8.33203125" customWidth="1"/>
    <col min="4103" max="4103" width="7.44140625" customWidth="1"/>
    <col min="4104" max="4104" width="3.33203125" customWidth="1"/>
    <col min="4105" max="4105" width="7.33203125" customWidth="1"/>
    <col min="4106" max="4106" width="4.44140625" customWidth="1"/>
    <col min="4107" max="4107" width="7.5546875" customWidth="1"/>
    <col min="4108" max="4108" width="5.44140625" customWidth="1"/>
    <col min="4109" max="4109" width="8.33203125" customWidth="1"/>
    <col min="4110" max="4110" width="7.44140625" customWidth="1"/>
    <col min="4111" max="4111" width="3" customWidth="1"/>
    <col min="4112" max="4112" width="7.33203125" customWidth="1"/>
    <col min="4113" max="4113" width="4.44140625" customWidth="1"/>
    <col min="4114" max="4114" width="7.5546875" customWidth="1"/>
    <col min="4115" max="4115" width="5.44140625" customWidth="1"/>
    <col min="4116" max="4116" width="8.33203125" customWidth="1"/>
    <col min="4117" max="4117" width="7.44140625" customWidth="1"/>
    <col min="4118" max="4118" width="3" customWidth="1"/>
    <col min="4119" max="4119" width="7.33203125" customWidth="1"/>
    <col min="4120" max="4120" width="4.44140625" customWidth="1"/>
    <col min="4121" max="4121" width="7.5546875" customWidth="1"/>
    <col min="4122" max="4122" width="5.44140625" customWidth="1"/>
    <col min="4123" max="4123" width="8.33203125" customWidth="1"/>
    <col min="4124" max="4124" width="7.44140625" customWidth="1"/>
    <col min="4125" max="4125" width="3" customWidth="1"/>
    <col min="4126" max="4126" width="7.33203125" customWidth="1"/>
    <col min="4127" max="4127" width="4.44140625" customWidth="1"/>
    <col min="4353" max="4353" width="1.44140625" customWidth="1"/>
    <col min="4354" max="4354" width="7.33203125" customWidth="1"/>
    <col min="4355" max="4355" width="4.44140625" customWidth="1"/>
    <col min="4356" max="4356" width="7.5546875" customWidth="1"/>
    <col min="4357" max="4357" width="5.44140625" customWidth="1"/>
    <col min="4358" max="4358" width="8.33203125" customWidth="1"/>
    <col min="4359" max="4359" width="7.44140625" customWidth="1"/>
    <col min="4360" max="4360" width="3.33203125" customWidth="1"/>
    <col min="4361" max="4361" width="7.33203125" customWidth="1"/>
    <col min="4362" max="4362" width="4.44140625" customWidth="1"/>
    <col min="4363" max="4363" width="7.5546875" customWidth="1"/>
    <col min="4364" max="4364" width="5.44140625" customWidth="1"/>
    <col min="4365" max="4365" width="8.33203125" customWidth="1"/>
    <col min="4366" max="4366" width="7.44140625" customWidth="1"/>
    <col min="4367" max="4367" width="3" customWidth="1"/>
    <col min="4368" max="4368" width="7.33203125" customWidth="1"/>
    <col min="4369" max="4369" width="4.44140625" customWidth="1"/>
    <col min="4370" max="4370" width="7.5546875" customWidth="1"/>
    <col min="4371" max="4371" width="5.44140625" customWidth="1"/>
    <col min="4372" max="4372" width="8.33203125" customWidth="1"/>
    <col min="4373" max="4373" width="7.44140625" customWidth="1"/>
    <col min="4374" max="4374" width="3" customWidth="1"/>
    <col min="4375" max="4375" width="7.33203125" customWidth="1"/>
    <col min="4376" max="4376" width="4.44140625" customWidth="1"/>
    <col min="4377" max="4377" width="7.5546875" customWidth="1"/>
    <col min="4378" max="4378" width="5.44140625" customWidth="1"/>
    <col min="4379" max="4379" width="8.33203125" customWidth="1"/>
    <col min="4380" max="4380" width="7.44140625" customWidth="1"/>
    <col min="4381" max="4381" width="3" customWidth="1"/>
    <col min="4382" max="4382" width="7.33203125" customWidth="1"/>
    <col min="4383" max="4383" width="4.44140625" customWidth="1"/>
    <col min="4609" max="4609" width="1.44140625" customWidth="1"/>
    <col min="4610" max="4610" width="7.33203125" customWidth="1"/>
    <col min="4611" max="4611" width="4.44140625" customWidth="1"/>
    <col min="4612" max="4612" width="7.5546875" customWidth="1"/>
    <col min="4613" max="4613" width="5.44140625" customWidth="1"/>
    <col min="4614" max="4614" width="8.33203125" customWidth="1"/>
    <col min="4615" max="4615" width="7.44140625" customWidth="1"/>
    <col min="4616" max="4616" width="3.33203125" customWidth="1"/>
    <col min="4617" max="4617" width="7.33203125" customWidth="1"/>
    <col min="4618" max="4618" width="4.44140625" customWidth="1"/>
    <col min="4619" max="4619" width="7.5546875" customWidth="1"/>
    <col min="4620" max="4620" width="5.44140625" customWidth="1"/>
    <col min="4621" max="4621" width="8.33203125" customWidth="1"/>
    <col min="4622" max="4622" width="7.44140625" customWidth="1"/>
    <col min="4623" max="4623" width="3" customWidth="1"/>
    <col min="4624" max="4624" width="7.33203125" customWidth="1"/>
    <col min="4625" max="4625" width="4.44140625" customWidth="1"/>
    <col min="4626" max="4626" width="7.5546875" customWidth="1"/>
    <col min="4627" max="4627" width="5.44140625" customWidth="1"/>
    <col min="4628" max="4628" width="8.33203125" customWidth="1"/>
    <col min="4629" max="4629" width="7.44140625" customWidth="1"/>
    <col min="4630" max="4630" width="3" customWidth="1"/>
    <col min="4631" max="4631" width="7.33203125" customWidth="1"/>
    <col min="4632" max="4632" width="4.44140625" customWidth="1"/>
    <col min="4633" max="4633" width="7.5546875" customWidth="1"/>
    <col min="4634" max="4634" width="5.44140625" customWidth="1"/>
    <col min="4635" max="4635" width="8.33203125" customWidth="1"/>
    <col min="4636" max="4636" width="7.44140625" customWidth="1"/>
    <col min="4637" max="4637" width="3" customWidth="1"/>
    <col min="4638" max="4638" width="7.33203125" customWidth="1"/>
    <col min="4639" max="4639" width="4.44140625" customWidth="1"/>
    <col min="4865" max="4865" width="1.44140625" customWidth="1"/>
    <col min="4866" max="4866" width="7.33203125" customWidth="1"/>
    <col min="4867" max="4867" width="4.44140625" customWidth="1"/>
    <col min="4868" max="4868" width="7.5546875" customWidth="1"/>
    <col min="4869" max="4869" width="5.44140625" customWidth="1"/>
    <col min="4870" max="4870" width="8.33203125" customWidth="1"/>
    <col min="4871" max="4871" width="7.44140625" customWidth="1"/>
    <col min="4872" max="4872" width="3.33203125" customWidth="1"/>
    <col min="4873" max="4873" width="7.33203125" customWidth="1"/>
    <col min="4874" max="4874" width="4.44140625" customWidth="1"/>
    <col min="4875" max="4875" width="7.5546875" customWidth="1"/>
    <col min="4876" max="4876" width="5.44140625" customWidth="1"/>
    <col min="4877" max="4877" width="8.33203125" customWidth="1"/>
    <col min="4878" max="4878" width="7.44140625" customWidth="1"/>
    <col min="4879" max="4879" width="3" customWidth="1"/>
    <col min="4880" max="4880" width="7.33203125" customWidth="1"/>
    <col min="4881" max="4881" width="4.44140625" customWidth="1"/>
    <col min="4882" max="4882" width="7.5546875" customWidth="1"/>
    <col min="4883" max="4883" width="5.44140625" customWidth="1"/>
    <col min="4884" max="4884" width="8.33203125" customWidth="1"/>
    <col min="4885" max="4885" width="7.44140625" customWidth="1"/>
    <col min="4886" max="4886" width="3" customWidth="1"/>
    <col min="4887" max="4887" width="7.33203125" customWidth="1"/>
    <col min="4888" max="4888" width="4.44140625" customWidth="1"/>
    <col min="4889" max="4889" width="7.5546875" customWidth="1"/>
    <col min="4890" max="4890" width="5.44140625" customWidth="1"/>
    <col min="4891" max="4891" width="8.33203125" customWidth="1"/>
    <col min="4892" max="4892" width="7.44140625" customWidth="1"/>
    <col min="4893" max="4893" width="3" customWidth="1"/>
    <col min="4894" max="4894" width="7.33203125" customWidth="1"/>
    <col min="4895" max="4895" width="4.44140625" customWidth="1"/>
    <col min="5121" max="5121" width="1.44140625" customWidth="1"/>
    <col min="5122" max="5122" width="7.33203125" customWidth="1"/>
    <col min="5123" max="5123" width="4.44140625" customWidth="1"/>
    <col min="5124" max="5124" width="7.5546875" customWidth="1"/>
    <col min="5125" max="5125" width="5.44140625" customWidth="1"/>
    <col min="5126" max="5126" width="8.33203125" customWidth="1"/>
    <col min="5127" max="5127" width="7.44140625" customWidth="1"/>
    <col min="5128" max="5128" width="3.33203125" customWidth="1"/>
    <col min="5129" max="5129" width="7.33203125" customWidth="1"/>
    <col min="5130" max="5130" width="4.44140625" customWidth="1"/>
    <col min="5131" max="5131" width="7.5546875" customWidth="1"/>
    <col min="5132" max="5132" width="5.44140625" customWidth="1"/>
    <col min="5133" max="5133" width="8.33203125" customWidth="1"/>
    <col min="5134" max="5134" width="7.44140625" customWidth="1"/>
    <col min="5135" max="5135" width="3" customWidth="1"/>
    <col min="5136" max="5136" width="7.33203125" customWidth="1"/>
    <col min="5137" max="5137" width="4.44140625" customWidth="1"/>
    <col min="5138" max="5138" width="7.5546875" customWidth="1"/>
    <col min="5139" max="5139" width="5.44140625" customWidth="1"/>
    <col min="5140" max="5140" width="8.33203125" customWidth="1"/>
    <col min="5141" max="5141" width="7.44140625" customWidth="1"/>
    <col min="5142" max="5142" width="3" customWidth="1"/>
    <col min="5143" max="5143" width="7.33203125" customWidth="1"/>
    <col min="5144" max="5144" width="4.44140625" customWidth="1"/>
    <col min="5145" max="5145" width="7.5546875" customWidth="1"/>
    <col min="5146" max="5146" width="5.44140625" customWidth="1"/>
    <col min="5147" max="5147" width="8.33203125" customWidth="1"/>
    <col min="5148" max="5148" width="7.44140625" customWidth="1"/>
    <col min="5149" max="5149" width="3" customWidth="1"/>
    <col min="5150" max="5150" width="7.33203125" customWidth="1"/>
    <col min="5151" max="5151" width="4.44140625" customWidth="1"/>
    <col min="5377" max="5377" width="1.44140625" customWidth="1"/>
    <col min="5378" max="5378" width="7.33203125" customWidth="1"/>
    <col min="5379" max="5379" width="4.44140625" customWidth="1"/>
    <col min="5380" max="5380" width="7.5546875" customWidth="1"/>
    <col min="5381" max="5381" width="5.44140625" customWidth="1"/>
    <col min="5382" max="5382" width="8.33203125" customWidth="1"/>
    <col min="5383" max="5383" width="7.44140625" customWidth="1"/>
    <col min="5384" max="5384" width="3.33203125" customWidth="1"/>
    <col min="5385" max="5385" width="7.33203125" customWidth="1"/>
    <col min="5386" max="5386" width="4.44140625" customWidth="1"/>
    <col min="5387" max="5387" width="7.5546875" customWidth="1"/>
    <col min="5388" max="5388" width="5.44140625" customWidth="1"/>
    <col min="5389" max="5389" width="8.33203125" customWidth="1"/>
    <col min="5390" max="5390" width="7.44140625" customWidth="1"/>
    <col min="5391" max="5391" width="3" customWidth="1"/>
    <col min="5392" max="5392" width="7.33203125" customWidth="1"/>
    <col min="5393" max="5393" width="4.44140625" customWidth="1"/>
    <col min="5394" max="5394" width="7.5546875" customWidth="1"/>
    <col min="5395" max="5395" width="5.44140625" customWidth="1"/>
    <col min="5396" max="5396" width="8.33203125" customWidth="1"/>
    <col min="5397" max="5397" width="7.44140625" customWidth="1"/>
    <col min="5398" max="5398" width="3" customWidth="1"/>
    <col min="5399" max="5399" width="7.33203125" customWidth="1"/>
    <col min="5400" max="5400" width="4.44140625" customWidth="1"/>
    <col min="5401" max="5401" width="7.5546875" customWidth="1"/>
    <col min="5402" max="5402" width="5.44140625" customWidth="1"/>
    <col min="5403" max="5403" width="8.33203125" customWidth="1"/>
    <col min="5404" max="5404" width="7.44140625" customWidth="1"/>
    <col min="5405" max="5405" width="3" customWidth="1"/>
    <col min="5406" max="5406" width="7.33203125" customWidth="1"/>
    <col min="5407" max="5407" width="4.44140625" customWidth="1"/>
    <col min="5633" max="5633" width="1.44140625" customWidth="1"/>
    <col min="5634" max="5634" width="7.33203125" customWidth="1"/>
    <col min="5635" max="5635" width="4.44140625" customWidth="1"/>
    <col min="5636" max="5636" width="7.5546875" customWidth="1"/>
    <col min="5637" max="5637" width="5.44140625" customWidth="1"/>
    <col min="5638" max="5638" width="8.33203125" customWidth="1"/>
    <col min="5639" max="5639" width="7.44140625" customWidth="1"/>
    <col min="5640" max="5640" width="3.33203125" customWidth="1"/>
    <col min="5641" max="5641" width="7.33203125" customWidth="1"/>
    <col min="5642" max="5642" width="4.44140625" customWidth="1"/>
    <col min="5643" max="5643" width="7.5546875" customWidth="1"/>
    <col min="5644" max="5644" width="5.44140625" customWidth="1"/>
    <col min="5645" max="5645" width="8.33203125" customWidth="1"/>
    <col min="5646" max="5646" width="7.44140625" customWidth="1"/>
    <col min="5647" max="5647" width="3" customWidth="1"/>
    <col min="5648" max="5648" width="7.33203125" customWidth="1"/>
    <col min="5649" max="5649" width="4.44140625" customWidth="1"/>
    <col min="5650" max="5650" width="7.5546875" customWidth="1"/>
    <col min="5651" max="5651" width="5.44140625" customWidth="1"/>
    <col min="5652" max="5652" width="8.33203125" customWidth="1"/>
    <col min="5653" max="5653" width="7.44140625" customWidth="1"/>
    <col min="5654" max="5654" width="3" customWidth="1"/>
    <col min="5655" max="5655" width="7.33203125" customWidth="1"/>
    <col min="5656" max="5656" width="4.44140625" customWidth="1"/>
    <col min="5657" max="5657" width="7.5546875" customWidth="1"/>
    <col min="5658" max="5658" width="5.44140625" customWidth="1"/>
    <col min="5659" max="5659" width="8.33203125" customWidth="1"/>
    <col min="5660" max="5660" width="7.44140625" customWidth="1"/>
    <col min="5661" max="5661" width="3" customWidth="1"/>
    <col min="5662" max="5662" width="7.33203125" customWidth="1"/>
    <col min="5663" max="5663" width="4.44140625" customWidth="1"/>
    <col min="5889" max="5889" width="1.44140625" customWidth="1"/>
    <col min="5890" max="5890" width="7.33203125" customWidth="1"/>
    <col min="5891" max="5891" width="4.44140625" customWidth="1"/>
    <col min="5892" max="5892" width="7.5546875" customWidth="1"/>
    <col min="5893" max="5893" width="5.44140625" customWidth="1"/>
    <col min="5894" max="5894" width="8.33203125" customWidth="1"/>
    <col min="5895" max="5895" width="7.44140625" customWidth="1"/>
    <col min="5896" max="5896" width="3.33203125" customWidth="1"/>
    <col min="5897" max="5897" width="7.33203125" customWidth="1"/>
    <col min="5898" max="5898" width="4.44140625" customWidth="1"/>
    <col min="5899" max="5899" width="7.5546875" customWidth="1"/>
    <col min="5900" max="5900" width="5.44140625" customWidth="1"/>
    <col min="5901" max="5901" width="8.33203125" customWidth="1"/>
    <col min="5902" max="5902" width="7.44140625" customWidth="1"/>
    <col min="5903" max="5903" width="3" customWidth="1"/>
    <col min="5904" max="5904" width="7.33203125" customWidth="1"/>
    <col min="5905" max="5905" width="4.44140625" customWidth="1"/>
    <col min="5906" max="5906" width="7.5546875" customWidth="1"/>
    <col min="5907" max="5907" width="5.44140625" customWidth="1"/>
    <col min="5908" max="5908" width="8.33203125" customWidth="1"/>
    <col min="5909" max="5909" width="7.44140625" customWidth="1"/>
    <col min="5910" max="5910" width="3" customWidth="1"/>
    <col min="5911" max="5911" width="7.33203125" customWidth="1"/>
    <col min="5912" max="5912" width="4.44140625" customWidth="1"/>
    <col min="5913" max="5913" width="7.5546875" customWidth="1"/>
    <col min="5914" max="5914" width="5.44140625" customWidth="1"/>
    <col min="5915" max="5915" width="8.33203125" customWidth="1"/>
    <col min="5916" max="5916" width="7.44140625" customWidth="1"/>
    <col min="5917" max="5917" width="3" customWidth="1"/>
    <col min="5918" max="5918" width="7.33203125" customWidth="1"/>
    <col min="5919" max="5919" width="4.44140625" customWidth="1"/>
    <col min="6145" max="6145" width="1.44140625" customWidth="1"/>
    <col min="6146" max="6146" width="7.33203125" customWidth="1"/>
    <col min="6147" max="6147" width="4.44140625" customWidth="1"/>
    <col min="6148" max="6148" width="7.5546875" customWidth="1"/>
    <col min="6149" max="6149" width="5.44140625" customWidth="1"/>
    <col min="6150" max="6150" width="8.33203125" customWidth="1"/>
    <col min="6151" max="6151" width="7.44140625" customWidth="1"/>
    <col min="6152" max="6152" width="3.33203125" customWidth="1"/>
    <col min="6153" max="6153" width="7.33203125" customWidth="1"/>
    <col min="6154" max="6154" width="4.44140625" customWidth="1"/>
    <col min="6155" max="6155" width="7.5546875" customWidth="1"/>
    <col min="6156" max="6156" width="5.44140625" customWidth="1"/>
    <col min="6157" max="6157" width="8.33203125" customWidth="1"/>
    <col min="6158" max="6158" width="7.44140625" customWidth="1"/>
    <col min="6159" max="6159" width="3" customWidth="1"/>
    <col min="6160" max="6160" width="7.33203125" customWidth="1"/>
    <col min="6161" max="6161" width="4.44140625" customWidth="1"/>
    <col min="6162" max="6162" width="7.5546875" customWidth="1"/>
    <col min="6163" max="6163" width="5.44140625" customWidth="1"/>
    <col min="6164" max="6164" width="8.33203125" customWidth="1"/>
    <col min="6165" max="6165" width="7.44140625" customWidth="1"/>
    <col min="6166" max="6166" width="3" customWidth="1"/>
    <col min="6167" max="6167" width="7.33203125" customWidth="1"/>
    <col min="6168" max="6168" width="4.44140625" customWidth="1"/>
    <col min="6169" max="6169" width="7.5546875" customWidth="1"/>
    <col min="6170" max="6170" width="5.44140625" customWidth="1"/>
    <col min="6171" max="6171" width="8.33203125" customWidth="1"/>
    <col min="6172" max="6172" width="7.44140625" customWidth="1"/>
    <col min="6173" max="6173" width="3" customWidth="1"/>
    <col min="6174" max="6174" width="7.33203125" customWidth="1"/>
    <col min="6175" max="6175" width="4.44140625" customWidth="1"/>
    <col min="6401" max="6401" width="1.44140625" customWidth="1"/>
    <col min="6402" max="6402" width="7.33203125" customWidth="1"/>
    <col min="6403" max="6403" width="4.44140625" customWidth="1"/>
    <col min="6404" max="6404" width="7.5546875" customWidth="1"/>
    <col min="6405" max="6405" width="5.44140625" customWidth="1"/>
    <col min="6406" max="6406" width="8.33203125" customWidth="1"/>
    <col min="6407" max="6407" width="7.44140625" customWidth="1"/>
    <col min="6408" max="6408" width="3.33203125" customWidth="1"/>
    <col min="6409" max="6409" width="7.33203125" customWidth="1"/>
    <col min="6410" max="6410" width="4.44140625" customWidth="1"/>
    <col min="6411" max="6411" width="7.5546875" customWidth="1"/>
    <col min="6412" max="6412" width="5.44140625" customWidth="1"/>
    <col min="6413" max="6413" width="8.33203125" customWidth="1"/>
    <col min="6414" max="6414" width="7.44140625" customWidth="1"/>
    <col min="6415" max="6415" width="3" customWidth="1"/>
    <col min="6416" max="6416" width="7.33203125" customWidth="1"/>
    <col min="6417" max="6417" width="4.44140625" customWidth="1"/>
    <col min="6418" max="6418" width="7.5546875" customWidth="1"/>
    <col min="6419" max="6419" width="5.44140625" customWidth="1"/>
    <col min="6420" max="6420" width="8.33203125" customWidth="1"/>
    <col min="6421" max="6421" width="7.44140625" customWidth="1"/>
    <col min="6422" max="6422" width="3" customWidth="1"/>
    <col min="6423" max="6423" width="7.33203125" customWidth="1"/>
    <col min="6424" max="6424" width="4.44140625" customWidth="1"/>
    <col min="6425" max="6425" width="7.5546875" customWidth="1"/>
    <col min="6426" max="6426" width="5.44140625" customWidth="1"/>
    <col min="6427" max="6427" width="8.33203125" customWidth="1"/>
    <col min="6428" max="6428" width="7.44140625" customWidth="1"/>
    <col min="6429" max="6429" width="3" customWidth="1"/>
    <col min="6430" max="6430" width="7.33203125" customWidth="1"/>
    <col min="6431" max="6431" width="4.44140625" customWidth="1"/>
    <col min="6657" max="6657" width="1.44140625" customWidth="1"/>
    <col min="6658" max="6658" width="7.33203125" customWidth="1"/>
    <col min="6659" max="6659" width="4.44140625" customWidth="1"/>
    <col min="6660" max="6660" width="7.5546875" customWidth="1"/>
    <col min="6661" max="6661" width="5.44140625" customWidth="1"/>
    <col min="6662" max="6662" width="8.33203125" customWidth="1"/>
    <col min="6663" max="6663" width="7.44140625" customWidth="1"/>
    <col min="6664" max="6664" width="3.33203125" customWidth="1"/>
    <col min="6665" max="6665" width="7.33203125" customWidth="1"/>
    <col min="6666" max="6666" width="4.44140625" customWidth="1"/>
    <col min="6667" max="6667" width="7.5546875" customWidth="1"/>
    <col min="6668" max="6668" width="5.44140625" customWidth="1"/>
    <col min="6669" max="6669" width="8.33203125" customWidth="1"/>
    <col min="6670" max="6670" width="7.44140625" customWidth="1"/>
    <col min="6671" max="6671" width="3" customWidth="1"/>
    <col min="6672" max="6672" width="7.33203125" customWidth="1"/>
    <col min="6673" max="6673" width="4.44140625" customWidth="1"/>
    <col min="6674" max="6674" width="7.5546875" customWidth="1"/>
    <col min="6675" max="6675" width="5.44140625" customWidth="1"/>
    <col min="6676" max="6676" width="8.33203125" customWidth="1"/>
    <col min="6677" max="6677" width="7.44140625" customWidth="1"/>
    <col min="6678" max="6678" width="3" customWidth="1"/>
    <col min="6679" max="6679" width="7.33203125" customWidth="1"/>
    <col min="6680" max="6680" width="4.44140625" customWidth="1"/>
    <col min="6681" max="6681" width="7.5546875" customWidth="1"/>
    <col min="6682" max="6682" width="5.44140625" customWidth="1"/>
    <col min="6683" max="6683" width="8.33203125" customWidth="1"/>
    <col min="6684" max="6684" width="7.44140625" customWidth="1"/>
    <col min="6685" max="6685" width="3" customWidth="1"/>
    <col min="6686" max="6686" width="7.33203125" customWidth="1"/>
    <col min="6687" max="6687" width="4.44140625" customWidth="1"/>
    <col min="6913" max="6913" width="1.44140625" customWidth="1"/>
    <col min="6914" max="6914" width="7.33203125" customWidth="1"/>
    <col min="6915" max="6915" width="4.44140625" customWidth="1"/>
    <col min="6916" max="6916" width="7.5546875" customWidth="1"/>
    <col min="6917" max="6917" width="5.44140625" customWidth="1"/>
    <col min="6918" max="6918" width="8.33203125" customWidth="1"/>
    <col min="6919" max="6919" width="7.44140625" customWidth="1"/>
    <col min="6920" max="6920" width="3.33203125" customWidth="1"/>
    <col min="6921" max="6921" width="7.33203125" customWidth="1"/>
    <col min="6922" max="6922" width="4.44140625" customWidth="1"/>
    <col min="6923" max="6923" width="7.5546875" customWidth="1"/>
    <col min="6924" max="6924" width="5.44140625" customWidth="1"/>
    <col min="6925" max="6925" width="8.33203125" customWidth="1"/>
    <col min="6926" max="6926" width="7.44140625" customWidth="1"/>
    <col min="6927" max="6927" width="3" customWidth="1"/>
    <col min="6928" max="6928" width="7.33203125" customWidth="1"/>
    <col min="6929" max="6929" width="4.44140625" customWidth="1"/>
    <col min="6930" max="6930" width="7.5546875" customWidth="1"/>
    <col min="6931" max="6931" width="5.44140625" customWidth="1"/>
    <col min="6932" max="6932" width="8.33203125" customWidth="1"/>
    <col min="6933" max="6933" width="7.44140625" customWidth="1"/>
    <col min="6934" max="6934" width="3" customWidth="1"/>
    <col min="6935" max="6935" width="7.33203125" customWidth="1"/>
    <col min="6936" max="6936" width="4.44140625" customWidth="1"/>
    <col min="6937" max="6937" width="7.5546875" customWidth="1"/>
    <col min="6938" max="6938" width="5.44140625" customWidth="1"/>
    <col min="6939" max="6939" width="8.33203125" customWidth="1"/>
    <col min="6940" max="6940" width="7.44140625" customWidth="1"/>
    <col min="6941" max="6941" width="3" customWidth="1"/>
    <col min="6942" max="6942" width="7.33203125" customWidth="1"/>
    <col min="6943" max="6943" width="4.44140625" customWidth="1"/>
    <col min="7169" max="7169" width="1.44140625" customWidth="1"/>
    <col min="7170" max="7170" width="7.33203125" customWidth="1"/>
    <col min="7171" max="7171" width="4.44140625" customWidth="1"/>
    <col min="7172" max="7172" width="7.5546875" customWidth="1"/>
    <col min="7173" max="7173" width="5.44140625" customWidth="1"/>
    <col min="7174" max="7174" width="8.33203125" customWidth="1"/>
    <col min="7175" max="7175" width="7.44140625" customWidth="1"/>
    <col min="7176" max="7176" width="3.33203125" customWidth="1"/>
    <col min="7177" max="7177" width="7.33203125" customWidth="1"/>
    <col min="7178" max="7178" width="4.44140625" customWidth="1"/>
    <col min="7179" max="7179" width="7.5546875" customWidth="1"/>
    <col min="7180" max="7180" width="5.44140625" customWidth="1"/>
    <col min="7181" max="7181" width="8.33203125" customWidth="1"/>
    <col min="7182" max="7182" width="7.44140625" customWidth="1"/>
    <col min="7183" max="7183" width="3" customWidth="1"/>
    <col min="7184" max="7184" width="7.33203125" customWidth="1"/>
    <col min="7185" max="7185" width="4.44140625" customWidth="1"/>
    <col min="7186" max="7186" width="7.5546875" customWidth="1"/>
    <col min="7187" max="7187" width="5.44140625" customWidth="1"/>
    <col min="7188" max="7188" width="8.33203125" customWidth="1"/>
    <col min="7189" max="7189" width="7.44140625" customWidth="1"/>
    <col min="7190" max="7190" width="3" customWidth="1"/>
    <col min="7191" max="7191" width="7.33203125" customWidth="1"/>
    <col min="7192" max="7192" width="4.44140625" customWidth="1"/>
    <col min="7193" max="7193" width="7.5546875" customWidth="1"/>
    <col min="7194" max="7194" width="5.44140625" customWidth="1"/>
    <col min="7195" max="7195" width="8.33203125" customWidth="1"/>
    <col min="7196" max="7196" width="7.44140625" customWidth="1"/>
    <col min="7197" max="7197" width="3" customWidth="1"/>
    <col min="7198" max="7198" width="7.33203125" customWidth="1"/>
    <col min="7199" max="7199" width="4.44140625" customWidth="1"/>
    <col min="7425" max="7425" width="1.44140625" customWidth="1"/>
    <col min="7426" max="7426" width="7.33203125" customWidth="1"/>
    <col min="7427" max="7427" width="4.44140625" customWidth="1"/>
    <col min="7428" max="7428" width="7.5546875" customWidth="1"/>
    <col min="7429" max="7429" width="5.44140625" customWidth="1"/>
    <col min="7430" max="7430" width="8.33203125" customWidth="1"/>
    <col min="7431" max="7431" width="7.44140625" customWidth="1"/>
    <col min="7432" max="7432" width="3.33203125" customWidth="1"/>
    <col min="7433" max="7433" width="7.33203125" customWidth="1"/>
    <col min="7434" max="7434" width="4.44140625" customWidth="1"/>
    <col min="7435" max="7435" width="7.5546875" customWidth="1"/>
    <col min="7436" max="7436" width="5.44140625" customWidth="1"/>
    <col min="7437" max="7437" width="8.33203125" customWidth="1"/>
    <col min="7438" max="7438" width="7.44140625" customWidth="1"/>
    <col min="7439" max="7439" width="3" customWidth="1"/>
    <col min="7440" max="7440" width="7.33203125" customWidth="1"/>
    <col min="7441" max="7441" width="4.44140625" customWidth="1"/>
    <col min="7442" max="7442" width="7.5546875" customWidth="1"/>
    <col min="7443" max="7443" width="5.44140625" customWidth="1"/>
    <col min="7444" max="7444" width="8.33203125" customWidth="1"/>
    <col min="7445" max="7445" width="7.44140625" customWidth="1"/>
    <col min="7446" max="7446" width="3" customWidth="1"/>
    <col min="7447" max="7447" width="7.33203125" customWidth="1"/>
    <col min="7448" max="7448" width="4.44140625" customWidth="1"/>
    <col min="7449" max="7449" width="7.5546875" customWidth="1"/>
    <col min="7450" max="7450" width="5.44140625" customWidth="1"/>
    <col min="7451" max="7451" width="8.33203125" customWidth="1"/>
    <col min="7452" max="7452" width="7.44140625" customWidth="1"/>
    <col min="7453" max="7453" width="3" customWidth="1"/>
    <col min="7454" max="7454" width="7.33203125" customWidth="1"/>
    <col min="7455" max="7455" width="4.44140625" customWidth="1"/>
    <col min="7681" max="7681" width="1.44140625" customWidth="1"/>
    <col min="7682" max="7682" width="7.33203125" customWidth="1"/>
    <col min="7683" max="7683" width="4.44140625" customWidth="1"/>
    <col min="7684" max="7684" width="7.5546875" customWidth="1"/>
    <col min="7685" max="7685" width="5.44140625" customWidth="1"/>
    <col min="7686" max="7686" width="8.33203125" customWidth="1"/>
    <col min="7687" max="7687" width="7.44140625" customWidth="1"/>
    <col min="7688" max="7688" width="3.33203125" customWidth="1"/>
    <col min="7689" max="7689" width="7.33203125" customWidth="1"/>
    <col min="7690" max="7690" width="4.44140625" customWidth="1"/>
    <col min="7691" max="7691" width="7.5546875" customWidth="1"/>
    <col min="7692" max="7692" width="5.44140625" customWidth="1"/>
    <col min="7693" max="7693" width="8.33203125" customWidth="1"/>
    <col min="7694" max="7694" width="7.44140625" customWidth="1"/>
    <col min="7695" max="7695" width="3" customWidth="1"/>
    <col min="7696" max="7696" width="7.33203125" customWidth="1"/>
    <col min="7697" max="7697" width="4.44140625" customWidth="1"/>
    <col min="7698" max="7698" width="7.5546875" customWidth="1"/>
    <col min="7699" max="7699" width="5.44140625" customWidth="1"/>
    <col min="7700" max="7700" width="8.33203125" customWidth="1"/>
    <col min="7701" max="7701" width="7.44140625" customWidth="1"/>
    <col min="7702" max="7702" width="3" customWidth="1"/>
    <col min="7703" max="7703" width="7.33203125" customWidth="1"/>
    <col min="7704" max="7704" width="4.44140625" customWidth="1"/>
    <col min="7705" max="7705" width="7.5546875" customWidth="1"/>
    <col min="7706" max="7706" width="5.44140625" customWidth="1"/>
    <col min="7707" max="7707" width="8.33203125" customWidth="1"/>
    <col min="7708" max="7708" width="7.44140625" customWidth="1"/>
    <col min="7709" max="7709" width="3" customWidth="1"/>
    <col min="7710" max="7710" width="7.33203125" customWidth="1"/>
    <col min="7711" max="7711" width="4.44140625" customWidth="1"/>
    <col min="7937" max="7937" width="1.44140625" customWidth="1"/>
    <col min="7938" max="7938" width="7.33203125" customWidth="1"/>
    <col min="7939" max="7939" width="4.44140625" customWidth="1"/>
    <col min="7940" max="7940" width="7.5546875" customWidth="1"/>
    <col min="7941" max="7941" width="5.44140625" customWidth="1"/>
    <col min="7942" max="7942" width="8.33203125" customWidth="1"/>
    <col min="7943" max="7943" width="7.44140625" customWidth="1"/>
    <col min="7944" max="7944" width="3.33203125" customWidth="1"/>
    <col min="7945" max="7945" width="7.33203125" customWidth="1"/>
    <col min="7946" max="7946" width="4.44140625" customWidth="1"/>
    <col min="7947" max="7947" width="7.5546875" customWidth="1"/>
    <col min="7948" max="7948" width="5.44140625" customWidth="1"/>
    <col min="7949" max="7949" width="8.33203125" customWidth="1"/>
    <col min="7950" max="7950" width="7.44140625" customWidth="1"/>
    <col min="7951" max="7951" width="3" customWidth="1"/>
    <col min="7952" max="7952" width="7.33203125" customWidth="1"/>
    <col min="7953" max="7953" width="4.44140625" customWidth="1"/>
    <col min="7954" max="7954" width="7.5546875" customWidth="1"/>
    <col min="7955" max="7955" width="5.44140625" customWidth="1"/>
    <col min="7956" max="7956" width="8.33203125" customWidth="1"/>
    <col min="7957" max="7957" width="7.44140625" customWidth="1"/>
    <col min="7958" max="7958" width="3" customWidth="1"/>
    <col min="7959" max="7959" width="7.33203125" customWidth="1"/>
    <col min="7960" max="7960" width="4.44140625" customWidth="1"/>
    <col min="7961" max="7961" width="7.5546875" customWidth="1"/>
    <col min="7962" max="7962" width="5.44140625" customWidth="1"/>
    <col min="7963" max="7963" width="8.33203125" customWidth="1"/>
    <col min="7964" max="7964" width="7.44140625" customWidth="1"/>
    <col min="7965" max="7965" width="3" customWidth="1"/>
    <col min="7966" max="7966" width="7.33203125" customWidth="1"/>
    <col min="7967" max="7967" width="4.44140625" customWidth="1"/>
    <col min="8193" max="8193" width="1.44140625" customWidth="1"/>
    <col min="8194" max="8194" width="7.33203125" customWidth="1"/>
    <col min="8195" max="8195" width="4.44140625" customWidth="1"/>
    <col min="8196" max="8196" width="7.5546875" customWidth="1"/>
    <col min="8197" max="8197" width="5.44140625" customWidth="1"/>
    <col min="8198" max="8198" width="8.33203125" customWidth="1"/>
    <col min="8199" max="8199" width="7.44140625" customWidth="1"/>
    <col min="8200" max="8200" width="3.33203125" customWidth="1"/>
    <col min="8201" max="8201" width="7.33203125" customWidth="1"/>
    <col min="8202" max="8202" width="4.44140625" customWidth="1"/>
    <col min="8203" max="8203" width="7.5546875" customWidth="1"/>
    <col min="8204" max="8204" width="5.44140625" customWidth="1"/>
    <col min="8205" max="8205" width="8.33203125" customWidth="1"/>
    <col min="8206" max="8206" width="7.44140625" customWidth="1"/>
    <col min="8207" max="8207" width="3" customWidth="1"/>
    <col min="8208" max="8208" width="7.33203125" customWidth="1"/>
    <col min="8209" max="8209" width="4.44140625" customWidth="1"/>
    <col min="8210" max="8210" width="7.5546875" customWidth="1"/>
    <col min="8211" max="8211" width="5.44140625" customWidth="1"/>
    <col min="8212" max="8212" width="8.33203125" customWidth="1"/>
    <col min="8213" max="8213" width="7.44140625" customWidth="1"/>
    <col min="8214" max="8214" width="3" customWidth="1"/>
    <col min="8215" max="8215" width="7.33203125" customWidth="1"/>
    <col min="8216" max="8216" width="4.44140625" customWidth="1"/>
    <col min="8217" max="8217" width="7.5546875" customWidth="1"/>
    <col min="8218" max="8218" width="5.44140625" customWidth="1"/>
    <col min="8219" max="8219" width="8.33203125" customWidth="1"/>
    <col min="8220" max="8220" width="7.44140625" customWidth="1"/>
    <col min="8221" max="8221" width="3" customWidth="1"/>
    <col min="8222" max="8222" width="7.33203125" customWidth="1"/>
    <col min="8223" max="8223" width="4.44140625" customWidth="1"/>
    <col min="8449" max="8449" width="1.44140625" customWidth="1"/>
    <col min="8450" max="8450" width="7.33203125" customWidth="1"/>
    <col min="8451" max="8451" width="4.44140625" customWidth="1"/>
    <col min="8452" max="8452" width="7.5546875" customWidth="1"/>
    <col min="8453" max="8453" width="5.44140625" customWidth="1"/>
    <col min="8454" max="8454" width="8.33203125" customWidth="1"/>
    <col min="8455" max="8455" width="7.44140625" customWidth="1"/>
    <col min="8456" max="8456" width="3.33203125" customWidth="1"/>
    <col min="8457" max="8457" width="7.33203125" customWidth="1"/>
    <col min="8458" max="8458" width="4.44140625" customWidth="1"/>
    <col min="8459" max="8459" width="7.5546875" customWidth="1"/>
    <col min="8460" max="8460" width="5.44140625" customWidth="1"/>
    <col min="8461" max="8461" width="8.33203125" customWidth="1"/>
    <col min="8462" max="8462" width="7.44140625" customWidth="1"/>
    <col min="8463" max="8463" width="3" customWidth="1"/>
    <col min="8464" max="8464" width="7.33203125" customWidth="1"/>
    <col min="8465" max="8465" width="4.44140625" customWidth="1"/>
    <col min="8466" max="8466" width="7.5546875" customWidth="1"/>
    <col min="8467" max="8467" width="5.44140625" customWidth="1"/>
    <col min="8468" max="8468" width="8.33203125" customWidth="1"/>
    <col min="8469" max="8469" width="7.44140625" customWidth="1"/>
    <col min="8470" max="8470" width="3" customWidth="1"/>
    <col min="8471" max="8471" width="7.33203125" customWidth="1"/>
    <col min="8472" max="8472" width="4.44140625" customWidth="1"/>
    <col min="8473" max="8473" width="7.5546875" customWidth="1"/>
    <col min="8474" max="8474" width="5.44140625" customWidth="1"/>
    <col min="8475" max="8475" width="8.33203125" customWidth="1"/>
    <col min="8476" max="8476" width="7.44140625" customWidth="1"/>
    <col min="8477" max="8477" width="3" customWidth="1"/>
    <col min="8478" max="8478" width="7.33203125" customWidth="1"/>
    <col min="8479" max="8479" width="4.44140625" customWidth="1"/>
    <col min="8705" max="8705" width="1.44140625" customWidth="1"/>
    <col min="8706" max="8706" width="7.33203125" customWidth="1"/>
    <col min="8707" max="8707" width="4.44140625" customWidth="1"/>
    <col min="8708" max="8708" width="7.5546875" customWidth="1"/>
    <col min="8709" max="8709" width="5.44140625" customWidth="1"/>
    <col min="8710" max="8710" width="8.33203125" customWidth="1"/>
    <col min="8711" max="8711" width="7.44140625" customWidth="1"/>
    <col min="8712" max="8712" width="3.33203125" customWidth="1"/>
    <col min="8713" max="8713" width="7.33203125" customWidth="1"/>
    <col min="8714" max="8714" width="4.44140625" customWidth="1"/>
    <col min="8715" max="8715" width="7.5546875" customWidth="1"/>
    <col min="8716" max="8716" width="5.44140625" customWidth="1"/>
    <col min="8717" max="8717" width="8.33203125" customWidth="1"/>
    <col min="8718" max="8718" width="7.44140625" customWidth="1"/>
    <col min="8719" max="8719" width="3" customWidth="1"/>
    <col min="8720" max="8720" width="7.33203125" customWidth="1"/>
    <col min="8721" max="8721" width="4.44140625" customWidth="1"/>
    <col min="8722" max="8722" width="7.5546875" customWidth="1"/>
    <col min="8723" max="8723" width="5.44140625" customWidth="1"/>
    <col min="8724" max="8724" width="8.33203125" customWidth="1"/>
    <col min="8725" max="8725" width="7.44140625" customWidth="1"/>
    <col min="8726" max="8726" width="3" customWidth="1"/>
    <col min="8727" max="8727" width="7.33203125" customWidth="1"/>
    <col min="8728" max="8728" width="4.44140625" customWidth="1"/>
    <col min="8729" max="8729" width="7.5546875" customWidth="1"/>
    <col min="8730" max="8730" width="5.44140625" customWidth="1"/>
    <col min="8731" max="8731" width="8.33203125" customWidth="1"/>
    <col min="8732" max="8732" width="7.44140625" customWidth="1"/>
    <col min="8733" max="8733" width="3" customWidth="1"/>
    <col min="8734" max="8734" width="7.33203125" customWidth="1"/>
    <col min="8735" max="8735" width="4.44140625" customWidth="1"/>
    <col min="8961" max="8961" width="1.44140625" customWidth="1"/>
    <col min="8962" max="8962" width="7.33203125" customWidth="1"/>
    <col min="8963" max="8963" width="4.44140625" customWidth="1"/>
    <col min="8964" max="8964" width="7.5546875" customWidth="1"/>
    <col min="8965" max="8965" width="5.44140625" customWidth="1"/>
    <col min="8966" max="8966" width="8.33203125" customWidth="1"/>
    <col min="8967" max="8967" width="7.44140625" customWidth="1"/>
    <col min="8968" max="8968" width="3.33203125" customWidth="1"/>
    <col min="8969" max="8969" width="7.33203125" customWidth="1"/>
    <col min="8970" max="8970" width="4.44140625" customWidth="1"/>
    <col min="8971" max="8971" width="7.5546875" customWidth="1"/>
    <col min="8972" max="8972" width="5.44140625" customWidth="1"/>
    <col min="8973" max="8973" width="8.33203125" customWidth="1"/>
    <col min="8974" max="8974" width="7.44140625" customWidth="1"/>
    <col min="8975" max="8975" width="3" customWidth="1"/>
    <col min="8976" max="8976" width="7.33203125" customWidth="1"/>
    <col min="8977" max="8977" width="4.44140625" customWidth="1"/>
    <col min="8978" max="8978" width="7.5546875" customWidth="1"/>
    <col min="8979" max="8979" width="5.44140625" customWidth="1"/>
    <col min="8980" max="8980" width="8.33203125" customWidth="1"/>
    <col min="8981" max="8981" width="7.44140625" customWidth="1"/>
    <col min="8982" max="8982" width="3" customWidth="1"/>
    <col min="8983" max="8983" width="7.33203125" customWidth="1"/>
    <col min="8984" max="8984" width="4.44140625" customWidth="1"/>
    <col min="8985" max="8985" width="7.5546875" customWidth="1"/>
    <col min="8986" max="8986" width="5.44140625" customWidth="1"/>
    <col min="8987" max="8987" width="8.33203125" customWidth="1"/>
    <col min="8988" max="8988" width="7.44140625" customWidth="1"/>
    <col min="8989" max="8989" width="3" customWidth="1"/>
    <col min="8990" max="8990" width="7.33203125" customWidth="1"/>
    <col min="8991" max="8991" width="4.44140625" customWidth="1"/>
    <col min="9217" max="9217" width="1.44140625" customWidth="1"/>
    <col min="9218" max="9218" width="7.33203125" customWidth="1"/>
    <col min="9219" max="9219" width="4.44140625" customWidth="1"/>
    <col min="9220" max="9220" width="7.5546875" customWidth="1"/>
    <col min="9221" max="9221" width="5.44140625" customWidth="1"/>
    <col min="9222" max="9222" width="8.33203125" customWidth="1"/>
    <col min="9223" max="9223" width="7.44140625" customWidth="1"/>
    <col min="9224" max="9224" width="3.33203125" customWidth="1"/>
    <col min="9225" max="9225" width="7.33203125" customWidth="1"/>
    <col min="9226" max="9226" width="4.44140625" customWidth="1"/>
    <col min="9227" max="9227" width="7.5546875" customWidth="1"/>
    <col min="9228" max="9228" width="5.44140625" customWidth="1"/>
    <col min="9229" max="9229" width="8.33203125" customWidth="1"/>
    <col min="9230" max="9230" width="7.44140625" customWidth="1"/>
    <col min="9231" max="9231" width="3" customWidth="1"/>
    <col min="9232" max="9232" width="7.33203125" customWidth="1"/>
    <col min="9233" max="9233" width="4.44140625" customWidth="1"/>
    <col min="9234" max="9234" width="7.5546875" customWidth="1"/>
    <col min="9235" max="9235" width="5.44140625" customWidth="1"/>
    <col min="9236" max="9236" width="8.33203125" customWidth="1"/>
    <col min="9237" max="9237" width="7.44140625" customWidth="1"/>
    <col min="9238" max="9238" width="3" customWidth="1"/>
    <col min="9239" max="9239" width="7.33203125" customWidth="1"/>
    <col min="9240" max="9240" width="4.44140625" customWidth="1"/>
    <col min="9241" max="9241" width="7.5546875" customWidth="1"/>
    <col min="9242" max="9242" width="5.44140625" customWidth="1"/>
    <col min="9243" max="9243" width="8.33203125" customWidth="1"/>
    <col min="9244" max="9244" width="7.44140625" customWidth="1"/>
    <col min="9245" max="9245" width="3" customWidth="1"/>
    <col min="9246" max="9246" width="7.33203125" customWidth="1"/>
    <col min="9247" max="9247" width="4.44140625" customWidth="1"/>
    <col min="9473" max="9473" width="1.44140625" customWidth="1"/>
    <col min="9474" max="9474" width="7.33203125" customWidth="1"/>
    <col min="9475" max="9475" width="4.44140625" customWidth="1"/>
    <col min="9476" max="9476" width="7.5546875" customWidth="1"/>
    <col min="9477" max="9477" width="5.44140625" customWidth="1"/>
    <col min="9478" max="9478" width="8.33203125" customWidth="1"/>
    <col min="9479" max="9479" width="7.44140625" customWidth="1"/>
    <col min="9480" max="9480" width="3.33203125" customWidth="1"/>
    <col min="9481" max="9481" width="7.33203125" customWidth="1"/>
    <col min="9482" max="9482" width="4.44140625" customWidth="1"/>
    <col min="9483" max="9483" width="7.5546875" customWidth="1"/>
    <col min="9484" max="9484" width="5.44140625" customWidth="1"/>
    <col min="9485" max="9485" width="8.33203125" customWidth="1"/>
    <col min="9486" max="9486" width="7.44140625" customWidth="1"/>
    <col min="9487" max="9487" width="3" customWidth="1"/>
    <col min="9488" max="9488" width="7.33203125" customWidth="1"/>
    <col min="9489" max="9489" width="4.44140625" customWidth="1"/>
    <col min="9490" max="9490" width="7.5546875" customWidth="1"/>
    <col min="9491" max="9491" width="5.44140625" customWidth="1"/>
    <col min="9492" max="9492" width="8.33203125" customWidth="1"/>
    <col min="9493" max="9493" width="7.44140625" customWidth="1"/>
    <col min="9494" max="9494" width="3" customWidth="1"/>
    <col min="9495" max="9495" width="7.33203125" customWidth="1"/>
    <col min="9496" max="9496" width="4.44140625" customWidth="1"/>
    <col min="9497" max="9497" width="7.5546875" customWidth="1"/>
    <col min="9498" max="9498" width="5.44140625" customWidth="1"/>
    <col min="9499" max="9499" width="8.33203125" customWidth="1"/>
    <col min="9500" max="9500" width="7.44140625" customWidth="1"/>
    <col min="9501" max="9501" width="3" customWidth="1"/>
    <col min="9502" max="9502" width="7.33203125" customWidth="1"/>
    <col min="9503" max="9503" width="4.44140625" customWidth="1"/>
    <col min="9729" max="9729" width="1.44140625" customWidth="1"/>
    <col min="9730" max="9730" width="7.33203125" customWidth="1"/>
    <col min="9731" max="9731" width="4.44140625" customWidth="1"/>
    <col min="9732" max="9732" width="7.5546875" customWidth="1"/>
    <col min="9733" max="9733" width="5.44140625" customWidth="1"/>
    <col min="9734" max="9734" width="8.33203125" customWidth="1"/>
    <col min="9735" max="9735" width="7.44140625" customWidth="1"/>
    <col min="9736" max="9736" width="3.33203125" customWidth="1"/>
    <col min="9737" max="9737" width="7.33203125" customWidth="1"/>
    <col min="9738" max="9738" width="4.44140625" customWidth="1"/>
    <col min="9739" max="9739" width="7.5546875" customWidth="1"/>
    <col min="9740" max="9740" width="5.44140625" customWidth="1"/>
    <col min="9741" max="9741" width="8.33203125" customWidth="1"/>
    <col min="9742" max="9742" width="7.44140625" customWidth="1"/>
    <col min="9743" max="9743" width="3" customWidth="1"/>
    <col min="9744" max="9744" width="7.33203125" customWidth="1"/>
    <col min="9745" max="9745" width="4.44140625" customWidth="1"/>
    <col min="9746" max="9746" width="7.5546875" customWidth="1"/>
    <col min="9747" max="9747" width="5.44140625" customWidth="1"/>
    <col min="9748" max="9748" width="8.33203125" customWidth="1"/>
    <col min="9749" max="9749" width="7.44140625" customWidth="1"/>
    <col min="9750" max="9750" width="3" customWidth="1"/>
    <col min="9751" max="9751" width="7.33203125" customWidth="1"/>
    <col min="9752" max="9752" width="4.44140625" customWidth="1"/>
    <col min="9753" max="9753" width="7.5546875" customWidth="1"/>
    <col min="9754" max="9754" width="5.44140625" customWidth="1"/>
    <col min="9755" max="9755" width="8.33203125" customWidth="1"/>
    <col min="9756" max="9756" width="7.44140625" customWidth="1"/>
    <col min="9757" max="9757" width="3" customWidth="1"/>
    <col min="9758" max="9758" width="7.33203125" customWidth="1"/>
    <col min="9759" max="9759" width="4.44140625" customWidth="1"/>
    <col min="9985" max="9985" width="1.44140625" customWidth="1"/>
    <col min="9986" max="9986" width="7.33203125" customWidth="1"/>
    <col min="9987" max="9987" width="4.44140625" customWidth="1"/>
    <col min="9988" max="9988" width="7.5546875" customWidth="1"/>
    <col min="9989" max="9989" width="5.44140625" customWidth="1"/>
    <col min="9990" max="9990" width="8.33203125" customWidth="1"/>
    <col min="9991" max="9991" width="7.44140625" customWidth="1"/>
    <col min="9992" max="9992" width="3.33203125" customWidth="1"/>
    <col min="9993" max="9993" width="7.33203125" customWidth="1"/>
    <col min="9994" max="9994" width="4.44140625" customWidth="1"/>
    <col min="9995" max="9995" width="7.5546875" customWidth="1"/>
    <col min="9996" max="9996" width="5.44140625" customWidth="1"/>
    <col min="9997" max="9997" width="8.33203125" customWidth="1"/>
    <col min="9998" max="9998" width="7.44140625" customWidth="1"/>
    <col min="9999" max="9999" width="3" customWidth="1"/>
    <col min="10000" max="10000" width="7.33203125" customWidth="1"/>
    <col min="10001" max="10001" width="4.44140625" customWidth="1"/>
    <col min="10002" max="10002" width="7.5546875" customWidth="1"/>
    <col min="10003" max="10003" width="5.44140625" customWidth="1"/>
    <col min="10004" max="10004" width="8.33203125" customWidth="1"/>
    <col min="10005" max="10005" width="7.44140625" customWidth="1"/>
    <col min="10006" max="10006" width="3" customWidth="1"/>
    <col min="10007" max="10007" width="7.33203125" customWidth="1"/>
    <col min="10008" max="10008" width="4.44140625" customWidth="1"/>
    <col min="10009" max="10009" width="7.5546875" customWidth="1"/>
    <col min="10010" max="10010" width="5.44140625" customWidth="1"/>
    <col min="10011" max="10011" width="8.33203125" customWidth="1"/>
    <col min="10012" max="10012" width="7.44140625" customWidth="1"/>
    <col min="10013" max="10013" width="3" customWidth="1"/>
    <col min="10014" max="10014" width="7.33203125" customWidth="1"/>
    <col min="10015" max="10015" width="4.44140625" customWidth="1"/>
    <col min="10241" max="10241" width="1.44140625" customWidth="1"/>
    <col min="10242" max="10242" width="7.33203125" customWidth="1"/>
    <col min="10243" max="10243" width="4.44140625" customWidth="1"/>
    <col min="10244" max="10244" width="7.5546875" customWidth="1"/>
    <col min="10245" max="10245" width="5.44140625" customWidth="1"/>
    <col min="10246" max="10246" width="8.33203125" customWidth="1"/>
    <col min="10247" max="10247" width="7.44140625" customWidth="1"/>
    <col min="10248" max="10248" width="3.33203125" customWidth="1"/>
    <col min="10249" max="10249" width="7.33203125" customWidth="1"/>
    <col min="10250" max="10250" width="4.44140625" customWidth="1"/>
    <col min="10251" max="10251" width="7.5546875" customWidth="1"/>
    <col min="10252" max="10252" width="5.44140625" customWidth="1"/>
    <col min="10253" max="10253" width="8.33203125" customWidth="1"/>
    <col min="10254" max="10254" width="7.44140625" customWidth="1"/>
    <col min="10255" max="10255" width="3" customWidth="1"/>
    <col min="10256" max="10256" width="7.33203125" customWidth="1"/>
    <col min="10257" max="10257" width="4.44140625" customWidth="1"/>
    <col min="10258" max="10258" width="7.5546875" customWidth="1"/>
    <col min="10259" max="10259" width="5.44140625" customWidth="1"/>
    <col min="10260" max="10260" width="8.33203125" customWidth="1"/>
    <col min="10261" max="10261" width="7.44140625" customWidth="1"/>
    <col min="10262" max="10262" width="3" customWidth="1"/>
    <col min="10263" max="10263" width="7.33203125" customWidth="1"/>
    <col min="10264" max="10264" width="4.44140625" customWidth="1"/>
    <col min="10265" max="10265" width="7.5546875" customWidth="1"/>
    <col min="10266" max="10266" width="5.44140625" customWidth="1"/>
    <col min="10267" max="10267" width="8.33203125" customWidth="1"/>
    <col min="10268" max="10268" width="7.44140625" customWidth="1"/>
    <col min="10269" max="10269" width="3" customWidth="1"/>
    <col min="10270" max="10270" width="7.33203125" customWidth="1"/>
    <col min="10271" max="10271" width="4.44140625" customWidth="1"/>
    <col min="10497" max="10497" width="1.44140625" customWidth="1"/>
    <col min="10498" max="10498" width="7.33203125" customWidth="1"/>
    <col min="10499" max="10499" width="4.44140625" customWidth="1"/>
    <col min="10500" max="10500" width="7.5546875" customWidth="1"/>
    <col min="10501" max="10501" width="5.44140625" customWidth="1"/>
    <col min="10502" max="10502" width="8.33203125" customWidth="1"/>
    <col min="10503" max="10503" width="7.44140625" customWidth="1"/>
    <col min="10504" max="10504" width="3.33203125" customWidth="1"/>
    <col min="10505" max="10505" width="7.33203125" customWidth="1"/>
    <col min="10506" max="10506" width="4.44140625" customWidth="1"/>
    <col min="10507" max="10507" width="7.5546875" customWidth="1"/>
    <col min="10508" max="10508" width="5.44140625" customWidth="1"/>
    <col min="10509" max="10509" width="8.33203125" customWidth="1"/>
    <col min="10510" max="10510" width="7.44140625" customWidth="1"/>
    <col min="10511" max="10511" width="3" customWidth="1"/>
    <col min="10512" max="10512" width="7.33203125" customWidth="1"/>
    <col min="10513" max="10513" width="4.44140625" customWidth="1"/>
    <col min="10514" max="10514" width="7.5546875" customWidth="1"/>
    <col min="10515" max="10515" width="5.44140625" customWidth="1"/>
    <col min="10516" max="10516" width="8.33203125" customWidth="1"/>
    <col min="10517" max="10517" width="7.44140625" customWidth="1"/>
    <col min="10518" max="10518" width="3" customWidth="1"/>
    <col min="10519" max="10519" width="7.33203125" customWidth="1"/>
    <col min="10520" max="10520" width="4.44140625" customWidth="1"/>
    <col min="10521" max="10521" width="7.5546875" customWidth="1"/>
    <col min="10522" max="10522" width="5.44140625" customWidth="1"/>
    <col min="10523" max="10523" width="8.33203125" customWidth="1"/>
    <col min="10524" max="10524" width="7.44140625" customWidth="1"/>
    <col min="10525" max="10525" width="3" customWidth="1"/>
    <col min="10526" max="10526" width="7.33203125" customWidth="1"/>
    <col min="10527" max="10527" width="4.44140625" customWidth="1"/>
    <col min="10753" max="10753" width="1.44140625" customWidth="1"/>
    <col min="10754" max="10754" width="7.33203125" customWidth="1"/>
    <col min="10755" max="10755" width="4.44140625" customWidth="1"/>
    <col min="10756" max="10756" width="7.5546875" customWidth="1"/>
    <col min="10757" max="10757" width="5.44140625" customWidth="1"/>
    <col min="10758" max="10758" width="8.33203125" customWidth="1"/>
    <col min="10759" max="10759" width="7.44140625" customWidth="1"/>
    <col min="10760" max="10760" width="3.33203125" customWidth="1"/>
    <col min="10761" max="10761" width="7.33203125" customWidth="1"/>
    <col min="10762" max="10762" width="4.44140625" customWidth="1"/>
    <col min="10763" max="10763" width="7.5546875" customWidth="1"/>
    <col min="10764" max="10764" width="5.44140625" customWidth="1"/>
    <col min="10765" max="10765" width="8.33203125" customWidth="1"/>
    <col min="10766" max="10766" width="7.44140625" customWidth="1"/>
    <col min="10767" max="10767" width="3" customWidth="1"/>
    <col min="10768" max="10768" width="7.33203125" customWidth="1"/>
    <col min="10769" max="10769" width="4.44140625" customWidth="1"/>
    <col min="10770" max="10770" width="7.5546875" customWidth="1"/>
    <col min="10771" max="10771" width="5.44140625" customWidth="1"/>
    <col min="10772" max="10772" width="8.33203125" customWidth="1"/>
    <col min="10773" max="10773" width="7.44140625" customWidth="1"/>
    <col min="10774" max="10774" width="3" customWidth="1"/>
    <col min="10775" max="10775" width="7.33203125" customWidth="1"/>
    <col min="10776" max="10776" width="4.44140625" customWidth="1"/>
    <col min="10777" max="10777" width="7.5546875" customWidth="1"/>
    <col min="10778" max="10778" width="5.44140625" customWidth="1"/>
    <col min="10779" max="10779" width="8.33203125" customWidth="1"/>
    <col min="10780" max="10780" width="7.44140625" customWidth="1"/>
    <col min="10781" max="10781" width="3" customWidth="1"/>
    <col min="10782" max="10782" width="7.33203125" customWidth="1"/>
    <col min="10783" max="10783" width="4.44140625" customWidth="1"/>
    <col min="11009" max="11009" width="1.44140625" customWidth="1"/>
    <col min="11010" max="11010" width="7.33203125" customWidth="1"/>
    <col min="11011" max="11011" width="4.44140625" customWidth="1"/>
    <col min="11012" max="11012" width="7.5546875" customWidth="1"/>
    <col min="11013" max="11013" width="5.44140625" customWidth="1"/>
    <col min="11014" max="11014" width="8.33203125" customWidth="1"/>
    <col min="11015" max="11015" width="7.44140625" customWidth="1"/>
    <col min="11016" max="11016" width="3.33203125" customWidth="1"/>
    <col min="11017" max="11017" width="7.33203125" customWidth="1"/>
    <col min="11018" max="11018" width="4.44140625" customWidth="1"/>
    <col min="11019" max="11019" width="7.5546875" customWidth="1"/>
    <col min="11020" max="11020" width="5.44140625" customWidth="1"/>
    <col min="11021" max="11021" width="8.33203125" customWidth="1"/>
    <col min="11022" max="11022" width="7.44140625" customWidth="1"/>
    <col min="11023" max="11023" width="3" customWidth="1"/>
    <col min="11024" max="11024" width="7.33203125" customWidth="1"/>
    <col min="11025" max="11025" width="4.44140625" customWidth="1"/>
    <col min="11026" max="11026" width="7.5546875" customWidth="1"/>
    <col min="11027" max="11027" width="5.44140625" customWidth="1"/>
    <col min="11028" max="11028" width="8.33203125" customWidth="1"/>
    <col min="11029" max="11029" width="7.44140625" customWidth="1"/>
    <col min="11030" max="11030" width="3" customWidth="1"/>
    <col min="11031" max="11031" width="7.33203125" customWidth="1"/>
    <col min="11032" max="11032" width="4.44140625" customWidth="1"/>
    <col min="11033" max="11033" width="7.5546875" customWidth="1"/>
    <col min="11034" max="11034" width="5.44140625" customWidth="1"/>
    <col min="11035" max="11035" width="8.33203125" customWidth="1"/>
    <col min="11036" max="11036" width="7.44140625" customWidth="1"/>
    <col min="11037" max="11037" width="3" customWidth="1"/>
    <col min="11038" max="11038" width="7.33203125" customWidth="1"/>
    <col min="11039" max="11039" width="4.44140625" customWidth="1"/>
    <col min="11265" max="11265" width="1.44140625" customWidth="1"/>
    <col min="11266" max="11266" width="7.33203125" customWidth="1"/>
    <col min="11267" max="11267" width="4.44140625" customWidth="1"/>
    <col min="11268" max="11268" width="7.5546875" customWidth="1"/>
    <col min="11269" max="11269" width="5.44140625" customWidth="1"/>
    <col min="11270" max="11270" width="8.33203125" customWidth="1"/>
    <col min="11271" max="11271" width="7.44140625" customWidth="1"/>
    <col min="11272" max="11272" width="3.33203125" customWidth="1"/>
    <col min="11273" max="11273" width="7.33203125" customWidth="1"/>
    <col min="11274" max="11274" width="4.44140625" customWidth="1"/>
    <col min="11275" max="11275" width="7.5546875" customWidth="1"/>
    <col min="11276" max="11276" width="5.44140625" customWidth="1"/>
    <col min="11277" max="11277" width="8.33203125" customWidth="1"/>
    <col min="11278" max="11278" width="7.44140625" customWidth="1"/>
    <col min="11279" max="11279" width="3" customWidth="1"/>
    <col min="11280" max="11280" width="7.33203125" customWidth="1"/>
    <col min="11281" max="11281" width="4.44140625" customWidth="1"/>
    <col min="11282" max="11282" width="7.5546875" customWidth="1"/>
    <col min="11283" max="11283" width="5.44140625" customWidth="1"/>
    <col min="11284" max="11284" width="8.33203125" customWidth="1"/>
    <col min="11285" max="11285" width="7.44140625" customWidth="1"/>
    <col min="11286" max="11286" width="3" customWidth="1"/>
    <col min="11287" max="11287" width="7.33203125" customWidth="1"/>
    <col min="11288" max="11288" width="4.44140625" customWidth="1"/>
    <col min="11289" max="11289" width="7.5546875" customWidth="1"/>
    <col min="11290" max="11290" width="5.44140625" customWidth="1"/>
    <col min="11291" max="11291" width="8.33203125" customWidth="1"/>
    <col min="11292" max="11292" width="7.44140625" customWidth="1"/>
    <col min="11293" max="11293" width="3" customWidth="1"/>
    <col min="11294" max="11294" width="7.33203125" customWidth="1"/>
    <col min="11295" max="11295" width="4.44140625" customWidth="1"/>
    <col min="11521" max="11521" width="1.44140625" customWidth="1"/>
    <col min="11522" max="11522" width="7.33203125" customWidth="1"/>
    <col min="11523" max="11523" width="4.44140625" customWidth="1"/>
    <col min="11524" max="11524" width="7.5546875" customWidth="1"/>
    <col min="11525" max="11525" width="5.44140625" customWidth="1"/>
    <col min="11526" max="11526" width="8.33203125" customWidth="1"/>
    <col min="11527" max="11527" width="7.44140625" customWidth="1"/>
    <col min="11528" max="11528" width="3.33203125" customWidth="1"/>
    <col min="11529" max="11529" width="7.33203125" customWidth="1"/>
    <col min="11530" max="11530" width="4.44140625" customWidth="1"/>
    <col min="11531" max="11531" width="7.5546875" customWidth="1"/>
    <col min="11532" max="11532" width="5.44140625" customWidth="1"/>
    <col min="11533" max="11533" width="8.33203125" customWidth="1"/>
    <col min="11534" max="11534" width="7.44140625" customWidth="1"/>
    <col min="11535" max="11535" width="3" customWidth="1"/>
    <col min="11536" max="11536" width="7.33203125" customWidth="1"/>
    <col min="11537" max="11537" width="4.44140625" customWidth="1"/>
    <col min="11538" max="11538" width="7.5546875" customWidth="1"/>
    <col min="11539" max="11539" width="5.44140625" customWidth="1"/>
    <col min="11540" max="11540" width="8.33203125" customWidth="1"/>
    <col min="11541" max="11541" width="7.44140625" customWidth="1"/>
    <col min="11542" max="11542" width="3" customWidth="1"/>
    <col min="11543" max="11543" width="7.33203125" customWidth="1"/>
    <col min="11544" max="11544" width="4.44140625" customWidth="1"/>
    <col min="11545" max="11545" width="7.5546875" customWidth="1"/>
    <col min="11546" max="11546" width="5.44140625" customWidth="1"/>
    <col min="11547" max="11547" width="8.33203125" customWidth="1"/>
    <col min="11548" max="11548" width="7.44140625" customWidth="1"/>
    <col min="11549" max="11549" width="3" customWidth="1"/>
    <col min="11550" max="11550" width="7.33203125" customWidth="1"/>
    <col min="11551" max="11551" width="4.44140625" customWidth="1"/>
    <col min="11777" max="11777" width="1.44140625" customWidth="1"/>
    <col min="11778" max="11778" width="7.33203125" customWidth="1"/>
    <col min="11779" max="11779" width="4.44140625" customWidth="1"/>
    <col min="11780" max="11780" width="7.5546875" customWidth="1"/>
    <col min="11781" max="11781" width="5.44140625" customWidth="1"/>
    <col min="11782" max="11782" width="8.33203125" customWidth="1"/>
    <col min="11783" max="11783" width="7.44140625" customWidth="1"/>
    <col min="11784" max="11784" width="3.33203125" customWidth="1"/>
    <col min="11785" max="11785" width="7.33203125" customWidth="1"/>
    <col min="11786" max="11786" width="4.44140625" customWidth="1"/>
    <col min="11787" max="11787" width="7.5546875" customWidth="1"/>
    <col min="11788" max="11788" width="5.44140625" customWidth="1"/>
    <col min="11789" max="11789" width="8.33203125" customWidth="1"/>
    <col min="11790" max="11790" width="7.44140625" customWidth="1"/>
    <col min="11791" max="11791" width="3" customWidth="1"/>
    <col min="11792" max="11792" width="7.33203125" customWidth="1"/>
    <col min="11793" max="11793" width="4.44140625" customWidth="1"/>
    <col min="11794" max="11794" width="7.5546875" customWidth="1"/>
    <col min="11795" max="11795" width="5.44140625" customWidth="1"/>
    <col min="11796" max="11796" width="8.33203125" customWidth="1"/>
    <col min="11797" max="11797" width="7.44140625" customWidth="1"/>
    <col min="11798" max="11798" width="3" customWidth="1"/>
    <col min="11799" max="11799" width="7.33203125" customWidth="1"/>
    <col min="11800" max="11800" width="4.44140625" customWidth="1"/>
    <col min="11801" max="11801" width="7.5546875" customWidth="1"/>
    <col min="11802" max="11802" width="5.44140625" customWidth="1"/>
    <col min="11803" max="11803" width="8.33203125" customWidth="1"/>
    <col min="11804" max="11804" width="7.44140625" customWidth="1"/>
    <col min="11805" max="11805" width="3" customWidth="1"/>
    <col min="11806" max="11806" width="7.33203125" customWidth="1"/>
    <col min="11807" max="11807" width="4.44140625" customWidth="1"/>
    <col min="12033" max="12033" width="1.44140625" customWidth="1"/>
    <col min="12034" max="12034" width="7.33203125" customWidth="1"/>
    <col min="12035" max="12035" width="4.44140625" customWidth="1"/>
    <col min="12036" max="12036" width="7.5546875" customWidth="1"/>
    <col min="12037" max="12037" width="5.44140625" customWidth="1"/>
    <col min="12038" max="12038" width="8.33203125" customWidth="1"/>
    <col min="12039" max="12039" width="7.44140625" customWidth="1"/>
    <col min="12040" max="12040" width="3.33203125" customWidth="1"/>
    <col min="12041" max="12041" width="7.33203125" customWidth="1"/>
    <col min="12042" max="12042" width="4.44140625" customWidth="1"/>
    <col min="12043" max="12043" width="7.5546875" customWidth="1"/>
    <col min="12044" max="12044" width="5.44140625" customWidth="1"/>
    <col min="12045" max="12045" width="8.33203125" customWidth="1"/>
    <col min="12046" max="12046" width="7.44140625" customWidth="1"/>
    <col min="12047" max="12047" width="3" customWidth="1"/>
    <col min="12048" max="12048" width="7.33203125" customWidth="1"/>
    <col min="12049" max="12049" width="4.44140625" customWidth="1"/>
    <col min="12050" max="12050" width="7.5546875" customWidth="1"/>
    <col min="12051" max="12051" width="5.44140625" customWidth="1"/>
    <col min="12052" max="12052" width="8.33203125" customWidth="1"/>
    <col min="12053" max="12053" width="7.44140625" customWidth="1"/>
    <col min="12054" max="12054" width="3" customWidth="1"/>
    <col min="12055" max="12055" width="7.33203125" customWidth="1"/>
    <col min="12056" max="12056" width="4.44140625" customWidth="1"/>
    <col min="12057" max="12057" width="7.5546875" customWidth="1"/>
    <col min="12058" max="12058" width="5.44140625" customWidth="1"/>
    <col min="12059" max="12059" width="8.33203125" customWidth="1"/>
    <col min="12060" max="12060" width="7.44140625" customWidth="1"/>
    <col min="12061" max="12061" width="3" customWidth="1"/>
    <col min="12062" max="12062" width="7.33203125" customWidth="1"/>
    <col min="12063" max="12063" width="4.44140625" customWidth="1"/>
    <col min="12289" max="12289" width="1.44140625" customWidth="1"/>
    <col min="12290" max="12290" width="7.33203125" customWidth="1"/>
    <col min="12291" max="12291" width="4.44140625" customWidth="1"/>
    <col min="12292" max="12292" width="7.5546875" customWidth="1"/>
    <col min="12293" max="12293" width="5.44140625" customWidth="1"/>
    <col min="12294" max="12294" width="8.33203125" customWidth="1"/>
    <col min="12295" max="12295" width="7.44140625" customWidth="1"/>
    <col min="12296" max="12296" width="3.33203125" customWidth="1"/>
    <col min="12297" max="12297" width="7.33203125" customWidth="1"/>
    <col min="12298" max="12298" width="4.44140625" customWidth="1"/>
    <col min="12299" max="12299" width="7.5546875" customWidth="1"/>
    <col min="12300" max="12300" width="5.44140625" customWidth="1"/>
    <col min="12301" max="12301" width="8.33203125" customWidth="1"/>
    <col min="12302" max="12302" width="7.44140625" customWidth="1"/>
    <col min="12303" max="12303" width="3" customWidth="1"/>
    <col min="12304" max="12304" width="7.33203125" customWidth="1"/>
    <col min="12305" max="12305" width="4.44140625" customWidth="1"/>
    <col min="12306" max="12306" width="7.5546875" customWidth="1"/>
    <col min="12307" max="12307" width="5.44140625" customWidth="1"/>
    <col min="12308" max="12308" width="8.33203125" customWidth="1"/>
    <col min="12309" max="12309" width="7.44140625" customWidth="1"/>
    <col min="12310" max="12310" width="3" customWidth="1"/>
    <col min="12311" max="12311" width="7.33203125" customWidth="1"/>
    <col min="12312" max="12312" width="4.44140625" customWidth="1"/>
    <col min="12313" max="12313" width="7.5546875" customWidth="1"/>
    <col min="12314" max="12314" width="5.44140625" customWidth="1"/>
    <col min="12315" max="12315" width="8.33203125" customWidth="1"/>
    <col min="12316" max="12316" width="7.44140625" customWidth="1"/>
    <col min="12317" max="12317" width="3" customWidth="1"/>
    <col min="12318" max="12318" width="7.33203125" customWidth="1"/>
    <col min="12319" max="12319" width="4.44140625" customWidth="1"/>
    <col min="12545" max="12545" width="1.44140625" customWidth="1"/>
    <col min="12546" max="12546" width="7.33203125" customWidth="1"/>
    <col min="12547" max="12547" width="4.44140625" customWidth="1"/>
    <col min="12548" max="12548" width="7.5546875" customWidth="1"/>
    <col min="12549" max="12549" width="5.44140625" customWidth="1"/>
    <col min="12550" max="12550" width="8.33203125" customWidth="1"/>
    <col min="12551" max="12551" width="7.44140625" customWidth="1"/>
    <col min="12552" max="12552" width="3.33203125" customWidth="1"/>
    <col min="12553" max="12553" width="7.33203125" customWidth="1"/>
    <col min="12554" max="12554" width="4.44140625" customWidth="1"/>
    <col min="12555" max="12555" width="7.5546875" customWidth="1"/>
    <col min="12556" max="12556" width="5.44140625" customWidth="1"/>
    <col min="12557" max="12557" width="8.33203125" customWidth="1"/>
    <col min="12558" max="12558" width="7.44140625" customWidth="1"/>
    <col min="12559" max="12559" width="3" customWidth="1"/>
    <col min="12560" max="12560" width="7.33203125" customWidth="1"/>
    <col min="12561" max="12561" width="4.44140625" customWidth="1"/>
    <col min="12562" max="12562" width="7.5546875" customWidth="1"/>
    <col min="12563" max="12563" width="5.44140625" customWidth="1"/>
    <col min="12564" max="12564" width="8.33203125" customWidth="1"/>
    <col min="12565" max="12565" width="7.44140625" customWidth="1"/>
    <col min="12566" max="12566" width="3" customWidth="1"/>
    <col min="12567" max="12567" width="7.33203125" customWidth="1"/>
    <col min="12568" max="12568" width="4.44140625" customWidth="1"/>
    <col min="12569" max="12569" width="7.5546875" customWidth="1"/>
    <col min="12570" max="12570" width="5.44140625" customWidth="1"/>
    <col min="12571" max="12571" width="8.33203125" customWidth="1"/>
    <col min="12572" max="12572" width="7.44140625" customWidth="1"/>
    <col min="12573" max="12573" width="3" customWidth="1"/>
    <col min="12574" max="12574" width="7.33203125" customWidth="1"/>
    <col min="12575" max="12575" width="4.44140625" customWidth="1"/>
    <col min="12801" max="12801" width="1.44140625" customWidth="1"/>
    <col min="12802" max="12802" width="7.33203125" customWidth="1"/>
    <col min="12803" max="12803" width="4.44140625" customWidth="1"/>
    <col min="12804" max="12804" width="7.5546875" customWidth="1"/>
    <col min="12805" max="12805" width="5.44140625" customWidth="1"/>
    <col min="12806" max="12806" width="8.33203125" customWidth="1"/>
    <col min="12807" max="12807" width="7.44140625" customWidth="1"/>
    <col min="12808" max="12808" width="3.33203125" customWidth="1"/>
    <col min="12809" max="12809" width="7.33203125" customWidth="1"/>
    <col min="12810" max="12810" width="4.44140625" customWidth="1"/>
    <col min="12811" max="12811" width="7.5546875" customWidth="1"/>
    <col min="12812" max="12812" width="5.44140625" customWidth="1"/>
    <col min="12813" max="12813" width="8.33203125" customWidth="1"/>
    <col min="12814" max="12814" width="7.44140625" customWidth="1"/>
    <col min="12815" max="12815" width="3" customWidth="1"/>
    <col min="12816" max="12816" width="7.33203125" customWidth="1"/>
    <col min="12817" max="12817" width="4.44140625" customWidth="1"/>
    <col min="12818" max="12818" width="7.5546875" customWidth="1"/>
    <col min="12819" max="12819" width="5.44140625" customWidth="1"/>
    <col min="12820" max="12820" width="8.33203125" customWidth="1"/>
    <col min="12821" max="12821" width="7.44140625" customWidth="1"/>
    <col min="12822" max="12822" width="3" customWidth="1"/>
    <col min="12823" max="12823" width="7.33203125" customWidth="1"/>
    <col min="12824" max="12824" width="4.44140625" customWidth="1"/>
    <col min="12825" max="12825" width="7.5546875" customWidth="1"/>
    <col min="12826" max="12826" width="5.44140625" customWidth="1"/>
    <col min="12827" max="12827" width="8.33203125" customWidth="1"/>
    <col min="12828" max="12828" width="7.44140625" customWidth="1"/>
    <col min="12829" max="12829" width="3" customWidth="1"/>
    <col min="12830" max="12830" width="7.33203125" customWidth="1"/>
    <col min="12831" max="12831" width="4.44140625" customWidth="1"/>
    <col min="13057" max="13057" width="1.44140625" customWidth="1"/>
    <col min="13058" max="13058" width="7.33203125" customWidth="1"/>
    <col min="13059" max="13059" width="4.44140625" customWidth="1"/>
    <col min="13060" max="13060" width="7.5546875" customWidth="1"/>
    <col min="13061" max="13061" width="5.44140625" customWidth="1"/>
    <col min="13062" max="13062" width="8.33203125" customWidth="1"/>
    <col min="13063" max="13063" width="7.44140625" customWidth="1"/>
    <col min="13064" max="13064" width="3.33203125" customWidth="1"/>
    <col min="13065" max="13065" width="7.33203125" customWidth="1"/>
    <col min="13066" max="13066" width="4.44140625" customWidth="1"/>
    <col min="13067" max="13067" width="7.5546875" customWidth="1"/>
    <col min="13068" max="13068" width="5.44140625" customWidth="1"/>
    <col min="13069" max="13069" width="8.33203125" customWidth="1"/>
    <col min="13070" max="13070" width="7.44140625" customWidth="1"/>
    <col min="13071" max="13071" width="3" customWidth="1"/>
    <col min="13072" max="13072" width="7.33203125" customWidth="1"/>
    <col min="13073" max="13073" width="4.44140625" customWidth="1"/>
    <col min="13074" max="13074" width="7.5546875" customWidth="1"/>
    <col min="13075" max="13075" width="5.44140625" customWidth="1"/>
    <col min="13076" max="13076" width="8.33203125" customWidth="1"/>
    <col min="13077" max="13077" width="7.44140625" customWidth="1"/>
    <col min="13078" max="13078" width="3" customWidth="1"/>
    <col min="13079" max="13079" width="7.33203125" customWidth="1"/>
    <col min="13080" max="13080" width="4.44140625" customWidth="1"/>
    <col min="13081" max="13081" width="7.5546875" customWidth="1"/>
    <col min="13082" max="13082" width="5.44140625" customWidth="1"/>
    <col min="13083" max="13083" width="8.33203125" customWidth="1"/>
    <col min="13084" max="13084" width="7.44140625" customWidth="1"/>
    <col min="13085" max="13085" width="3" customWidth="1"/>
    <col min="13086" max="13086" width="7.33203125" customWidth="1"/>
    <col min="13087" max="13087" width="4.44140625" customWidth="1"/>
    <col min="13313" max="13313" width="1.44140625" customWidth="1"/>
    <col min="13314" max="13314" width="7.33203125" customWidth="1"/>
    <col min="13315" max="13315" width="4.44140625" customWidth="1"/>
    <col min="13316" max="13316" width="7.5546875" customWidth="1"/>
    <col min="13317" max="13317" width="5.44140625" customWidth="1"/>
    <col min="13318" max="13318" width="8.33203125" customWidth="1"/>
    <col min="13319" max="13319" width="7.44140625" customWidth="1"/>
    <col min="13320" max="13320" width="3.33203125" customWidth="1"/>
    <col min="13321" max="13321" width="7.33203125" customWidth="1"/>
    <col min="13322" max="13322" width="4.44140625" customWidth="1"/>
    <col min="13323" max="13323" width="7.5546875" customWidth="1"/>
    <col min="13324" max="13324" width="5.44140625" customWidth="1"/>
    <col min="13325" max="13325" width="8.33203125" customWidth="1"/>
    <col min="13326" max="13326" width="7.44140625" customWidth="1"/>
    <col min="13327" max="13327" width="3" customWidth="1"/>
    <col min="13328" max="13328" width="7.33203125" customWidth="1"/>
    <col min="13329" max="13329" width="4.44140625" customWidth="1"/>
    <col min="13330" max="13330" width="7.5546875" customWidth="1"/>
    <col min="13331" max="13331" width="5.44140625" customWidth="1"/>
    <col min="13332" max="13332" width="8.33203125" customWidth="1"/>
    <col min="13333" max="13333" width="7.44140625" customWidth="1"/>
    <col min="13334" max="13334" width="3" customWidth="1"/>
    <col min="13335" max="13335" width="7.33203125" customWidth="1"/>
    <col min="13336" max="13336" width="4.44140625" customWidth="1"/>
    <col min="13337" max="13337" width="7.5546875" customWidth="1"/>
    <col min="13338" max="13338" width="5.44140625" customWidth="1"/>
    <col min="13339" max="13339" width="8.33203125" customWidth="1"/>
    <col min="13340" max="13340" width="7.44140625" customWidth="1"/>
    <col min="13341" max="13341" width="3" customWidth="1"/>
    <col min="13342" max="13342" width="7.33203125" customWidth="1"/>
    <col min="13343" max="13343" width="4.44140625" customWidth="1"/>
    <col min="13569" max="13569" width="1.44140625" customWidth="1"/>
    <col min="13570" max="13570" width="7.33203125" customWidth="1"/>
    <col min="13571" max="13571" width="4.44140625" customWidth="1"/>
    <col min="13572" max="13572" width="7.5546875" customWidth="1"/>
    <col min="13573" max="13573" width="5.44140625" customWidth="1"/>
    <col min="13574" max="13574" width="8.33203125" customWidth="1"/>
    <col min="13575" max="13575" width="7.44140625" customWidth="1"/>
    <col min="13576" max="13576" width="3.33203125" customWidth="1"/>
    <col min="13577" max="13577" width="7.33203125" customWidth="1"/>
    <col min="13578" max="13578" width="4.44140625" customWidth="1"/>
    <col min="13579" max="13579" width="7.5546875" customWidth="1"/>
    <col min="13580" max="13580" width="5.44140625" customWidth="1"/>
    <col min="13581" max="13581" width="8.33203125" customWidth="1"/>
    <col min="13582" max="13582" width="7.44140625" customWidth="1"/>
    <col min="13583" max="13583" width="3" customWidth="1"/>
    <col min="13584" max="13584" width="7.33203125" customWidth="1"/>
    <col min="13585" max="13585" width="4.44140625" customWidth="1"/>
    <col min="13586" max="13586" width="7.5546875" customWidth="1"/>
    <col min="13587" max="13587" width="5.44140625" customWidth="1"/>
    <col min="13588" max="13588" width="8.33203125" customWidth="1"/>
    <col min="13589" max="13589" width="7.44140625" customWidth="1"/>
    <col min="13590" max="13590" width="3" customWidth="1"/>
    <col min="13591" max="13591" width="7.33203125" customWidth="1"/>
    <col min="13592" max="13592" width="4.44140625" customWidth="1"/>
    <col min="13593" max="13593" width="7.5546875" customWidth="1"/>
    <col min="13594" max="13594" width="5.44140625" customWidth="1"/>
    <col min="13595" max="13595" width="8.33203125" customWidth="1"/>
    <col min="13596" max="13596" width="7.44140625" customWidth="1"/>
    <col min="13597" max="13597" width="3" customWidth="1"/>
    <col min="13598" max="13598" width="7.33203125" customWidth="1"/>
    <col min="13599" max="13599" width="4.44140625" customWidth="1"/>
    <col min="13825" max="13825" width="1.44140625" customWidth="1"/>
    <col min="13826" max="13826" width="7.33203125" customWidth="1"/>
    <col min="13827" max="13827" width="4.44140625" customWidth="1"/>
    <col min="13828" max="13828" width="7.5546875" customWidth="1"/>
    <col min="13829" max="13829" width="5.44140625" customWidth="1"/>
    <col min="13830" max="13830" width="8.33203125" customWidth="1"/>
    <col min="13831" max="13831" width="7.44140625" customWidth="1"/>
    <col min="13832" max="13832" width="3.33203125" customWidth="1"/>
    <col min="13833" max="13833" width="7.33203125" customWidth="1"/>
    <col min="13834" max="13834" width="4.44140625" customWidth="1"/>
    <col min="13835" max="13835" width="7.5546875" customWidth="1"/>
    <col min="13836" max="13836" width="5.44140625" customWidth="1"/>
    <col min="13837" max="13837" width="8.33203125" customWidth="1"/>
    <col min="13838" max="13838" width="7.44140625" customWidth="1"/>
    <col min="13839" max="13839" width="3" customWidth="1"/>
    <col min="13840" max="13840" width="7.33203125" customWidth="1"/>
    <col min="13841" max="13841" width="4.44140625" customWidth="1"/>
    <col min="13842" max="13842" width="7.5546875" customWidth="1"/>
    <col min="13843" max="13843" width="5.44140625" customWidth="1"/>
    <col min="13844" max="13844" width="8.33203125" customWidth="1"/>
    <col min="13845" max="13845" width="7.44140625" customWidth="1"/>
    <col min="13846" max="13846" width="3" customWidth="1"/>
    <col min="13847" max="13847" width="7.33203125" customWidth="1"/>
    <col min="13848" max="13848" width="4.44140625" customWidth="1"/>
    <col min="13849" max="13849" width="7.5546875" customWidth="1"/>
    <col min="13850" max="13850" width="5.44140625" customWidth="1"/>
    <col min="13851" max="13851" width="8.33203125" customWidth="1"/>
    <col min="13852" max="13852" width="7.44140625" customWidth="1"/>
    <col min="13853" max="13853" width="3" customWidth="1"/>
    <col min="13854" max="13854" width="7.33203125" customWidth="1"/>
    <col min="13855" max="13855" width="4.44140625" customWidth="1"/>
    <col min="14081" max="14081" width="1.44140625" customWidth="1"/>
    <col min="14082" max="14082" width="7.33203125" customWidth="1"/>
    <col min="14083" max="14083" width="4.44140625" customWidth="1"/>
    <col min="14084" max="14084" width="7.5546875" customWidth="1"/>
    <col min="14085" max="14085" width="5.44140625" customWidth="1"/>
    <col min="14086" max="14086" width="8.33203125" customWidth="1"/>
    <col min="14087" max="14087" width="7.44140625" customWidth="1"/>
    <col min="14088" max="14088" width="3.33203125" customWidth="1"/>
    <col min="14089" max="14089" width="7.33203125" customWidth="1"/>
    <col min="14090" max="14090" width="4.44140625" customWidth="1"/>
    <col min="14091" max="14091" width="7.5546875" customWidth="1"/>
    <col min="14092" max="14092" width="5.44140625" customWidth="1"/>
    <col min="14093" max="14093" width="8.33203125" customWidth="1"/>
    <col min="14094" max="14094" width="7.44140625" customWidth="1"/>
    <col min="14095" max="14095" width="3" customWidth="1"/>
    <col min="14096" max="14096" width="7.33203125" customWidth="1"/>
    <col min="14097" max="14097" width="4.44140625" customWidth="1"/>
    <col min="14098" max="14098" width="7.5546875" customWidth="1"/>
    <col min="14099" max="14099" width="5.44140625" customWidth="1"/>
    <col min="14100" max="14100" width="8.33203125" customWidth="1"/>
    <col min="14101" max="14101" width="7.44140625" customWidth="1"/>
    <col min="14102" max="14102" width="3" customWidth="1"/>
    <col min="14103" max="14103" width="7.33203125" customWidth="1"/>
    <col min="14104" max="14104" width="4.44140625" customWidth="1"/>
    <col min="14105" max="14105" width="7.5546875" customWidth="1"/>
    <col min="14106" max="14106" width="5.44140625" customWidth="1"/>
    <col min="14107" max="14107" width="8.33203125" customWidth="1"/>
    <col min="14108" max="14108" width="7.44140625" customWidth="1"/>
    <col min="14109" max="14109" width="3" customWidth="1"/>
    <col min="14110" max="14110" width="7.33203125" customWidth="1"/>
    <col min="14111" max="14111" width="4.44140625" customWidth="1"/>
    <col min="14337" max="14337" width="1.44140625" customWidth="1"/>
    <col min="14338" max="14338" width="7.33203125" customWidth="1"/>
    <col min="14339" max="14339" width="4.44140625" customWidth="1"/>
    <col min="14340" max="14340" width="7.5546875" customWidth="1"/>
    <col min="14341" max="14341" width="5.44140625" customWidth="1"/>
    <col min="14342" max="14342" width="8.33203125" customWidth="1"/>
    <col min="14343" max="14343" width="7.44140625" customWidth="1"/>
    <col min="14344" max="14344" width="3.33203125" customWidth="1"/>
    <col min="14345" max="14345" width="7.33203125" customWidth="1"/>
    <col min="14346" max="14346" width="4.44140625" customWidth="1"/>
    <col min="14347" max="14347" width="7.5546875" customWidth="1"/>
    <col min="14348" max="14348" width="5.44140625" customWidth="1"/>
    <col min="14349" max="14349" width="8.33203125" customWidth="1"/>
    <col min="14350" max="14350" width="7.44140625" customWidth="1"/>
    <col min="14351" max="14351" width="3" customWidth="1"/>
    <col min="14352" max="14352" width="7.33203125" customWidth="1"/>
    <col min="14353" max="14353" width="4.44140625" customWidth="1"/>
    <col min="14354" max="14354" width="7.5546875" customWidth="1"/>
    <col min="14355" max="14355" width="5.44140625" customWidth="1"/>
    <col min="14356" max="14356" width="8.33203125" customWidth="1"/>
    <col min="14357" max="14357" width="7.44140625" customWidth="1"/>
    <col min="14358" max="14358" width="3" customWidth="1"/>
    <col min="14359" max="14359" width="7.33203125" customWidth="1"/>
    <col min="14360" max="14360" width="4.44140625" customWidth="1"/>
    <col min="14361" max="14361" width="7.5546875" customWidth="1"/>
    <col min="14362" max="14362" width="5.44140625" customWidth="1"/>
    <col min="14363" max="14363" width="8.33203125" customWidth="1"/>
    <col min="14364" max="14364" width="7.44140625" customWidth="1"/>
    <col min="14365" max="14365" width="3" customWidth="1"/>
    <col min="14366" max="14366" width="7.33203125" customWidth="1"/>
    <col min="14367" max="14367" width="4.44140625" customWidth="1"/>
    <col min="14593" max="14593" width="1.44140625" customWidth="1"/>
    <col min="14594" max="14594" width="7.33203125" customWidth="1"/>
    <col min="14595" max="14595" width="4.44140625" customWidth="1"/>
    <col min="14596" max="14596" width="7.5546875" customWidth="1"/>
    <col min="14597" max="14597" width="5.44140625" customWidth="1"/>
    <col min="14598" max="14598" width="8.33203125" customWidth="1"/>
    <col min="14599" max="14599" width="7.44140625" customWidth="1"/>
    <col min="14600" max="14600" width="3.33203125" customWidth="1"/>
    <col min="14601" max="14601" width="7.33203125" customWidth="1"/>
    <col min="14602" max="14602" width="4.44140625" customWidth="1"/>
    <col min="14603" max="14603" width="7.5546875" customWidth="1"/>
    <col min="14604" max="14604" width="5.44140625" customWidth="1"/>
    <col min="14605" max="14605" width="8.33203125" customWidth="1"/>
    <col min="14606" max="14606" width="7.44140625" customWidth="1"/>
    <col min="14607" max="14607" width="3" customWidth="1"/>
    <col min="14608" max="14608" width="7.33203125" customWidth="1"/>
    <col min="14609" max="14609" width="4.44140625" customWidth="1"/>
    <col min="14610" max="14610" width="7.5546875" customWidth="1"/>
    <col min="14611" max="14611" width="5.44140625" customWidth="1"/>
    <col min="14612" max="14612" width="8.33203125" customWidth="1"/>
    <col min="14613" max="14613" width="7.44140625" customWidth="1"/>
    <col min="14614" max="14614" width="3" customWidth="1"/>
    <col min="14615" max="14615" width="7.33203125" customWidth="1"/>
    <col min="14616" max="14616" width="4.44140625" customWidth="1"/>
    <col min="14617" max="14617" width="7.5546875" customWidth="1"/>
    <col min="14618" max="14618" width="5.44140625" customWidth="1"/>
    <col min="14619" max="14619" width="8.33203125" customWidth="1"/>
    <col min="14620" max="14620" width="7.44140625" customWidth="1"/>
    <col min="14621" max="14621" width="3" customWidth="1"/>
    <col min="14622" max="14622" width="7.33203125" customWidth="1"/>
    <col min="14623" max="14623" width="4.44140625" customWidth="1"/>
    <col min="14849" max="14849" width="1.44140625" customWidth="1"/>
    <col min="14850" max="14850" width="7.33203125" customWidth="1"/>
    <col min="14851" max="14851" width="4.44140625" customWidth="1"/>
    <col min="14852" max="14852" width="7.5546875" customWidth="1"/>
    <col min="14853" max="14853" width="5.44140625" customWidth="1"/>
    <col min="14854" max="14854" width="8.33203125" customWidth="1"/>
    <col min="14855" max="14855" width="7.44140625" customWidth="1"/>
    <col min="14856" max="14856" width="3.33203125" customWidth="1"/>
    <col min="14857" max="14857" width="7.33203125" customWidth="1"/>
    <col min="14858" max="14858" width="4.44140625" customWidth="1"/>
    <col min="14859" max="14859" width="7.5546875" customWidth="1"/>
    <col min="14860" max="14860" width="5.44140625" customWidth="1"/>
    <col min="14861" max="14861" width="8.33203125" customWidth="1"/>
    <col min="14862" max="14862" width="7.44140625" customWidth="1"/>
    <col min="14863" max="14863" width="3" customWidth="1"/>
    <col min="14864" max="14864" width="7.33203125" customWidth="1"/>
    <col min="14865" max="14865" width="4.44140625" customWidth="1"/>
    <col min="14866" max="14866" width="7.5546875" customWidth="1"/>
    <col min="14867" max="14867" width="5.44140625" customWidth="1"/>
    <col min="14868" max="14868" width="8.33203125" customWidth="1"/>
    <col min="14869" max="14869" width="7.44140625" customWidth="1"/>
    <col min="14870" max="14870" width="3" customWidth="1"/>
    <col min="14871" max="14871" width="7.33203125" customWidth="1"/>
    <col min="14872" max="14872" width="4.44140625" customWidth="1"/>
    <col min="14873" max="14873" width="7.5546875" customWidth="1"/>
    <col min="14874" max="14874" width="5.44140625" customWidth="1"/>
    <col min="14875" max="14875" width="8.33203125" customWidth="1"/>
    <col min="14876" max="14876" width="7.44140625" customWidth="1"/>
    <col min="14877" max="14877" width="3" customWidth="1"/>
    <col min="14878" max="14878" width="7.33203125" customWidth="1"/>
    <col min="14879" max="14879" width="4.44140625" customWidth="1"/>
    <col min="15105" max="15105" width="1.44140625" customWidth="1"/>
    <col min="15106" max="15106" width="7.33203125" customWidth="1"/>
    <col min="15107" max="15107" width="4.44140625" customWidth="1"/>
    <col min="15108" max="15108" width="7.5546875" customWidth="1"/>
    <col min="15109" max="15109" width="5.44140625" customWidth="1"/>
    <col min="15110" max="15110" width="8.33203125" customWidth="1"/>
    <col min="15111" max="15111" width="7.44140625" customWidth="1"/>
    <col min="15112" max="15112" width="3.33203125" customWidth="1"/>
    <col min="15113" max="15113" width="7.33203125" customWidth="1"/>
    <col min="15114" max="15114" width="4.44140625" customWidth="1"/>
    <col min="15115" max="15115" width="7.5546875" customWidth="1"/>
    <col min="15116" max="15116" width="5.44140625" customWidth="1"/>
    <col min="15117" max="15117" width="8.33203125" customWidth="1"/>
    <col min="15118" max="15118" width="7.44140625" customWidth="1"/>
    <col min="15119" max="15119" width="3" customWidth="1"/>
    <col min="15120" max="15120" width="7.33203125" customWidth="1"/>
    <col min="15121" max="15121" width="4.44140625" customWidth="1"/>
    <col min="15122" max="15122" width="7.5546875" customWidth="1"/>
    <col min="15123" max="15123" width="5.44140625" customWidth="1"/>
    <col min="15124" max="15124" width="8.33203125" customWidth="1"/>
    <col min="15125" max="15125" width="7.44140625" customWidth="1"/>
    <col min="15126" max="15126" width="3" customWidth="1"/>
    <col min="15127" max="15127" width="7.33203125" customWidth="1"/>
    <col min="15128" max="15128" width="4.44140625" customWidth="1"/>
    <col min="15129" max="15129" width="7.5546875" customWidth="1"/>
    <col min="15130" max="15130" width="5.44140625" customWidth="1"/>
    <col min="15131" max="15131" width="8.33203125" customWidth="1"/>
    <col min="15132" max="15132" width="7.44140625" customWidth="1"/>
    <col min="15133" max="15133" width="3" customWidth="1"/>
    <col min="15134" max="15134" width="7.33203125" customWidth="1"/>
    <col min="15135" max="15135" width="4.44140625" customWidth="1"/>
    <col min="15361" max="15361" width="1.44140625" customWidth="1"/>
    <col min="15362" max="15362" width="7.33203125" customWidth="1"/>
    <col min="15363" max="15363" width="4.44140625" customWidth="1"/>
    <col min="15364" max="15364" width="7.5546875" customWidth="1"/>
    <col min="15365" max="15365" width="5.44140625" customWidth="1"/>
    <col min="15366" max="15366" width="8.33203125" customWidth="1"/>
    <col min="15367" max="15367" width="7.44140625" customWidth="1"/>
    <col min="15368" max="15368" width="3.33203125" customWidth="1"/>
    <col min="15369" max="15369" width="7.33203125" customWidth="1"/>
    <col min="15370" max="15370" width="4.44140625" customWidth="1"/>
    <col min="15371" max="15371" width="7.5546875" customWidth="1"/>
    <col min="15372" max="15372" width="5.44140625" customWidth="1"/>
    <col min="15373" max="15373" width="8.33203125" customWidth="1"/>
    <col min="15374" max="15374" width="7.44140625" customWidth="1"/>
    <col min="15375" max="15375" width="3" customWidth="1"/>
    <col min="15376" max="15376" width="7.33203125" customWidth="1"/>
    <col min="15377" max="15377" width="4.44140625" customWidth="1"/>
    <col min="15378" max="15378" width="7.5546875" customWidth="1"/>
    <col min="15379" max="15379" width="5.44140625" customWidth="1"/>
    <col min="15380" max="15380" width="8.33203125" customWidth="1"/>
    <col min="15381" max="15381" width="7.44140625" customWidth="1"/>
    <col min="15382" max="15382" width="3" customWidth="1"/>
    <col min="15383" max="15383" width="7.33203125" customWidth="1"/>
    <col min="15384" max="15384" width="4.44140625" customWidth="1"/>
    <col min="15385" max="15385" width="7.5546875" customWidth="1"/>
    <col min="15386" max="15386" width="5.44140625" customWidth="1"/>
    <col min="15387" max="15387" width="8.33203125" customWidth="1"/>
    <col min="15388" max="15388" width="7.44140625" customWidth="1"/>
    <col min="15389" max="15389" width="3" customWidth="1"/>
    <col min="15390" max="15390" width="7.33203125" customWidth="1"/>
    <col min="15391" max="15391" width="4.44140625" customWidth="1"/>
    <col min="15617" max="15617" width="1.44140625" customWidth="1"/>
    <col min="15618" max="15618" width="7.33203125" customWidth="1"/>
    <col min="15619" max="15619" width="4.44140625" customWidth="1"/>
    <col min="15620" max="15620" width="7.5546875" customWidth="1"/>
    <col min="15621" max="15621" width="5.44140625" customWidth="1"/>
    <col min="15622" max="15622" width="8.33203125" customWidth="1"/>
    <col min="15623" max="15623" width="7.44140625" customWidth="1"/>
    <col min="15624" max="15624" width="3.33203125" customWidth="1"/>
    <col min="15625" max="15625" width="7.33203125" customWidth="1"/>
    <col min="15626" max="15626" width="4.44140625" customWidth="1"/>
    <col min="15627" max="15627" width="7.5546875" customWidth="1"/>
    <col min="15628" max="15628" width="5.44140625" customWidth="1"/>
    <col min="15629" max="15629" width="8.33203125" customWidth="1"/>
    <col min="15630" max="15630" width="7.44140625" customWidth="1"/>
    <col min="15631" max="15631" width="3" customWidth="1"/>
    <col min="15632" max="15632" width="7.33203125" customWidth="1"/>
    <col min="15633" max="15633" width="4.44140625" customWidth="1"/>
    <col min="15634" max="15634" width="7.5546875" customWidth="1"/>
    <col min="15635" max="15635" width="5.44140625" customWidth="1"/>
    <col min="15636" max="15636" width="8.33203125" customWidth="1"/>
    <col min="15637" max="15637" width="7.44140625" customWidth="1"/>
    <col min="15638" max="15638" width="3" customWidth="1"/>
    <col min="15639" max="15639" width="7.33203125" customWidth="1"/>
    <col min="15640" max="15640" width="4.44140625" customWidth="1"/>
    <col min="15641" max="15641" width="7.5546875" customWidth="1"/>
    <col min="15642" max="15642" width="5.44140625" customWidth="1"/>
    <col min="15643" max="15643" width="8.33203125" customWidth="1"/>
    <col min="15644" max="15644" width="7.44140625" customWidth="1"/>
    <col min="15645" max="15645" width="3" customWidth="1"/>
    <col min="15646" max="15646" width="7.33203125" customWidth="1"/>
    <col min="15647" max="15647" width="4.44140625" customWidth="1"/>
    <col min="15873" max="15873" width="1.44140625" customWidth="1"/>
    <col min="15874" max="15874" width="7.33203125" customWidth="1"/>
    <col min="15875" max="15875" width="4.44140625" customWidth="1"/>
    <col min="15876" max="15876" width="7.5546875" customWidth="1"/>
    <col min="15877" max="15877" width="5.44140625" customWidth="1"/>
    <col min="15878" max="15878" width="8.33203125" customWidth="1"/>
    <col min="15879" max="15879" width="7.44140625" customWidth="1"/>
    <col min="15880" max="15880" width="3.33203125" customWidth="1"/>
    <col min="15881" max="15881" width="7.33203125" customWidth="1"/>
    <col min="15882" max="15882" width="4.44140625" customWidth="1"/>
    <col min="15883" max="15883" width="7.5546875" customWidth="1"/>
    <col min="15884" max="15884" width="5.44140625" customWidth="1"/>
    <col min="15885" max="15885" width="8.33203125" customWidth="1"/>
    <col min="15886" max="15886" width="7.44140625" customWidth="1"/>
    <col min="15887" max="15887" width="3" customWidth="1"/>
    <col min="15888" max="15888" width="7.33203125" customWidth="1"/>
    <col min="15889" max="15889" width="4.44140625" customWidth="1"/>
    <col min="15890" max="15890" width="7.5546875" customWidth="1"/>
    <col min="15891" max="15891" width="5.44140625" customWidth="1"/>
    <col min="15892" max="15892" width="8.33203125" customWidth="1"/>
    <col min="15893" max="15893" width="7.44140625" customWidth="1"/>
    <col min="15894" max="15894" width="3" customWidth="1"/>
    <col min="15895" max="15895" width="7.33203125" customWidth="1"/>
    <col min="15896" max="15896" width="4.44140625" customWidth="1"/>
    <col min="15897" max="15897" width="7.5546875" customWidth="1"/>
    <col min="15898" max="15898" width="5.44140625" customWidth="1"/>
    <col min="15899" max="15899" width="8.33203125" customWidth="1"/>
    <col min="15900" max="15900" width="7.44140625" customWidth="1"/>
    <col min="15901" max="15901" width="3" customWidth="1"/>
    <col min="15902" max="15902" width="7.33203125" customWidth="1"/>
    <col min="15903" max="15903" width="4.44140625" customWidth="1"/>
    <col min="16129" max="16129" width="1.44140625" customWidth="1"/>
    <col min="16130" max="16130" width="7.33203125" customWidth="1"/>
    <col min="16131" max="16131" width="4.44140625" customWidth="1"/>
    <col min="16132" max="16132" width="7.5546875" customWidth="1"/>
    <col min="16133" max="16133" width="5.44140625" customWidth="1"/>
    <col min="16134" max="16134" width="8.33203125" customWidth="1"/>
    <col min="16135" max="16135" width="7.44140625" customWidth="1"/>
    <col min="16136" max="16136" width="3.33203125" customWidth="1"/>
    <col min="16137" max="16137" width="7.33203125" customWidth="1"/>
    <col min="16138" max="16138" width="4.44140625" customWidth="1"/>
    <col min="16139" max="16139" width="7.5546875" customWidth="1"/>
    <col min="16140" max="16140" width="5.44140625" customWidth="1"/>
    <col min="16141" max="16141" width="8.33203125" customWidth="1"/>
    <col min="16142" max="16142" width="7.44140625" customWidth="1"/>
    <col min="16143" max="16143" width="3" customWidth="1"/>
    <col min="16144" max="16144" width="7.33203125" customWidth="1"/>
    <col min="16145" max="16145" width="4.44140625" customWidth="1"/>
    <col min="16146" max="16146" width="7.5546875" customWidth="1"/>
    <col min="16147" max="16147" width="5.44140625" customWidth="1"/>
    <col min="16148" max="16148" width="8.33203125" customWidth="1"/>
    <col min="16149" max="16149" width="7.44140625" customWidth="1"/>
    <col min="16150" max="16150" width="3" customWidth="1"/>
    <col min="16151" max="16151" width="7.33203125" customWidth="1"/>
    <col min="16152" max="16152" width="4.44140625" customWidth="1"/>
    <col min="16153" max="16153" width="7.5546875" customWidth="1"/>
    <col min="16154" max="16154" width="5.44140625" customWidth="1"/>
    <col min="16155" max="16155" width="8.33203125" customWidth="1"/>
    <col min="16156" max="16156" width="7.44140625" customWidth="1"/>
    <col min="16157" max="16157" width="3" customWidth="1"/>
    <col min="16158" max="16158" width="7.33203125" customWidth="1"/>
    <col min="16159" max="16159" width="4.44140625" customWidth="1"/>
  </cols>
  <sheetData>
    <row r="1" spans="1:35" ht="14.4" x14ac:dyDescent="0.3">
      <c r="A1" s="102"/>
      <c r="B1" s="102" t="s">
        <v>77</v>
      </c>
    </row>
    <row r="2" spans="1:35" ht="14.4" x14ac:dyDescent="0.3">
      <c r="A2" s="102"/>
      <c r="B2" s="102" t="s">
        <v>78</v>
      </c>
    </row>
    <row r="3" spans="1:35" ht="14.4" x14ac:dyDescent="0.3">
      <c r="A3" s="296"/>
      <c r="B3" s="103" t="s">
        <v>545</v>
      </c>
    </row>
    <row r="4" spans="1:35" ht="6" customHeight="1" x14ac:dyDescent="0.3"/>
    <row r="5" spans="1:35" ht="6" customHeight="1" x14ac:dyDescent="0.3"/>
    <row r="6" spans="1:35" ht="15.75" customHeight="1" x14ac:dyDescent="0.3">
      <c r="B6" s="749" t="s">
        <v>221</v>
      </c>
      <c r="C6" s="749"/>
      <c r="D6" s="749"/>
      <c r="E6" s="749"/>
      <c r="F6" s="749"/>
      <c r="G6" s="749"/>
      <c r="I6" s="749" t="s">
        <v>222</v>
      </c>
      <c r="J6" s="749"/>
      <c r="K6" s="749"/>
      <c r="L6" s="749"/>
      <c r="M6" s="749"/>
      <c r="N6" s="749"/>
      <c r="P6" s="749" t="s">
        <v>223</v>
      </c>
      <c r="Q6" s="749"/>
      <c r="R6" s="749"/>
      <c r="S6" s="749"/>
      <c r="T6" s="749"/>
      <c r="U6" s="749"/>
      <c r="W6" s="749" t="s">
        <v>224</v>
      </c>
      <c r="X6" s="749"/>
      <c r="Y6" s="749"/>
      <c r="Z6" s="749"/>
      <c r="AA6" s="749"/>
      <c r="AB6" s="749"/>
      <c r="AD6" s="749" t="s">
        <v>225</v>
      </c>
      <c r="AE6" s="749"/>
      <c r="AF6" s="749"/>
      <c r="AG6" s="749"/>
      <c r="AH6" s="749"/>
      <c r="AI6" s="749"/>
    </row>
    <row r="7" spans="1:35" ht="14.4" x14ac:dyDescent="0.3">
      <c r="B7" s="522" t="s">
        <v>546</v>
      </c>
      <c r="C7" s="750"/>
      <c r="D7" s="750"/>
      <c r="E7" s="750"/>
      <c r="F7" s="750"/>
      <c r="G7" s="750"/>
      <c r="I7" s="522" t="s">
        <v>546</v>
      </c>
      <c r="J7" s="750"/>
      <c r="K7" s="750"/>
      <c r="L7" s="750"/>
      <c r="M7" s="750"/>
      <c r="N7" s="750"/>
      <c r="P7" s="522" t="s">
        <v>546</v>
      </c>
      <c r="Q7" s="750"/>
      <c r="R7" s="750"/>
      <c r="S7" s="750"/>
      <c r="T7" s="750"/>
      <c r="U7" s="750"/>
      <c r="W7" s="522" t="s">
        <v>546</v>
      </c>
      <c r="X7" s="750"/>
      <c r="Y7" s="750"/>
      <c r="Z7" s="750"/>
      <c r="AA7" s="750"/>
      <c r="AB7" s="750"/>
      <c r="AD7" s="522" t="s">
        <v>546</v>
      </c>
      <c r="AE7" s="750"/>
      <c r="AF7" s="750"/>
      <c r="AG7" s="750"/>
      <c r="AH7" s="750"/>
      <c r="AI7" s="750"/>
    </row>
    <row r="8" spans="1:35" ht="25.5" customHeight="1" x14ac:dyDescent="0.3">
      <c r="B8" s="751" t="s">
        <v>547</v>
      </c>
      <c r="C8" s="751"/>
      <c r="D8" s="523" t="s">
        <v>548</v>
      </c>
      <c r="E8" s="523" t="s">
        <v>549</v>
      </c>
      <c r="F8" s="523" t="s">
        <v>550</v>
      </c>
      <c r="G8" s="523" t="s">
        <v>551</v>
      </c>
      <c r="I8" s="751" t="s">
        <v>547</v>
      </c>
      <c r="J8" s="751"/>
      <c r="K8" s="523" t="s">
        <v>548</v>
      </c>
      <c r="L8" s="523" t="s">
        <v>549</v>
      </c>
      <c r="M8" s="523" t="s">
        <v>550</v>
      </c>
      <c r="N8" s="523" t="s">
        <v>551</v>
      </c>
      <c r="P8" s="751" t="s">
        <v>547</v>
      </c>
      <c r="Q8" s="751"/>
      <c r="R8" s="523" t="s">
        <v>548</v>
      </c>
      <c r="S8" s="523" t="s">
        <v>549</v>
      </c>
      <c r="T8" s="523" t="s">
        <v>550</v>
      </c>
      <c r="U8" s="523" t="s">
        <v>551</v>
      </c>
      <c r="W8" s="751" t="s">
        <v>547</v>
      </c>
      <c r="X8" s="751"/>
      <c r="Y8" s="523" t="s">
        <v>548</v>
      </c>
      <c r="Z8" s="523" t="s">
        <v>549</v>
      </c>
      <c r="AA8" s="523" t="s">
        <v>550</v>
      </c>
      <c r="AB8" s="523" t="s">
        <v>551</v>
      </c>
      <c r="AD8" s="751" t="s">
        <v>547</v>
      </c>
      <c r="AE8" s="751"/>
      <c r="AF8" s="523" t="s">
        <v>548</v>
      </c>
      <c r="AG8" s="523" t="s">
        <v>549</v>
      </c>
      <c r="AH8" s="523" t="s">
        <v>550</v>
      </c>
      <c r="AI8" s="523" t="s">
        <v>551</v>
      </c>
    </row>
    <row r="9" spans="1:35" ht="14.4" x14ac:dyDescent="0.3">
      <c r="B9" s="524" t="s">
        <v>552</v>
      </c>
      <c r="C9" s="524" t="s">
        <v>553</v>
      </c>
      <c r="D9" s="524" t="s">
        <v>554</v>
      </c>
      <c r="E9" s="524"/>
      <c r="F9" s="524" t="s">
        <v>555</v>
      </c>
      <c r="G9" s="525">
        <v>100</v>
      </c>
      <c r="I9" s="524" t="s">
        <v>552</v>
      </c>
      <c r="J9" s="524" t="s">
        <v>553</v>
      </c>
      <c r="K9" s="524" t="s">
        <v>554</v>
      </c>
      <c r="L9" s="524"/>
      <c r="M9" s="524" t="s">
        <v>555</v>
      </c>
      <c r="N9" s="525">
        <v>100</v>
      </c>
      <c r="P9" s="524" t="s">
        <v>552</v>
      </c>
      <c r="Q9" s="524" t="s">
        <v>553</v>
      </c>
      <c r="R9" s="524" t="s">
        <v>554</v>
      </c>
      <c r="S9" s="524"/>
      <c r="T9" s="524" t="s">
        <v>555</v>
      </c>
      <c r="U9" s="525">
        <v>100</v>
      </c>
      <c r="W9" s="524" t="s">
        <v>552</v>
      </c>
      <c r="X9" s="524" t="s">
        <v>553</v>
      </c>
      <c r="Y9" s="524" t="s">
        <v>554</v>
      </c>
      <c r="Z9" s="524"/>
      <c r="AA9" s="524" t="s">
        <v>555</v>
      </c>
      <c r="AB9" s="525">
        <v>100</v>
      </c>
      <c r="AD9" s="524" t="s">
        <v>552</v>
      </c>
      <c r="AE9" s="524" t="s">
        <v>553</v>
      </c>
      <c r="AF9" s="524" t="s">
        <v>554</v>
      </c>
      <c r="AG9" s="524"/>
      <c r="AH9" s="524" t="s">
        <v>555</v>
      </c>
      <c r="AI9" s="525">
        <v>100</v>
      </c>
    </row>
    <row r="10" spans="1:35" ht="14.4" x14ac:dyDescent="0.3">
      <c r="B10" s="524">
        <v>2023</v>
      </c>
      <c r="C10" s="526" t="s">
        <v>556</v>
      </c>
      <c r="D10" s="527"/>
      <c r="E10" s="528">
        <v>25</v>
      </c>
      <c r="F10" s="527">
        <f t="shared" ref="F10:F22" si="0">D10/30*E10</f>
        <v>0</v>
      </c>
      <c r="G10" s="529">
        <f t="shared" ref="G10:G22" si="1">(G9*F10)+G9</f>
        <v>100</v>
      </c>
      <c r="I10" s="524">
        <f t="shared" ref="I10:I22" si="2">B10+1</f>
        <v>2024</v>
      </c>
      <c r="J10" s="526" t="str">
        <f>$C$10</f>
        <v>AGO</v>
      </c>
      <c r="K10" s="527"/>
      <c r="L10" s="528">
        <f>$E$10</f>
        <v>25</v>
      </c>
      <c r="M10" s="527">
        <f t="shared" ref="M10:M22" si="3">K10/30*L10</f>
        <v>0</v>
      </c>
      <c r="N10" s="529">
        <f t="shared" ref="N10:N22" si="4">(N9*M10)+N9</f>
        <v>100</v>
      </c>
      <c r="P10" s="524">
        <f t="shared" ref="P10:P22" si="5">I10+1</f>
        <v>2025</v>
      </c>
      <c r="Q10" s="526" t="str">
        <f>$C$10</f>
        <v>AGO</v>
      </c>
      <c r="R10" s="527"/>
      <c r="S10" s="528">
        <f>$E$10</f>
        <v>25</v>
      </c>
      <c r="T10" s="527">
        <f t="shared" ref="T10:T22" si="6">R10/30*S10</f>
        <v>0</v>
      </c>
      <c r="U10" s="529">
        <f t="shared" ref="U10:U22" si="7">(U9*T10)+U9</f>
        <v>100</v>
      </c>
      <c r="W10" s="524">
        <f t="shared" ref="W10:W22" si="8">P10+1</f>
        <v>2026</v>
      </c>
      <c r="X10" s="526" t="str">
        <f>$C$10</f>
        <v>AGO</v>
      </c>
      <c r="Y10" s="527"/>
      <c r="Z10" s="528">
        <f>$E$10</f>
        <v>25</v>
      </c>
      <c r="AA10" s="527">
        <f t="shared" ref="AA10:AA22" si="9">Y10/30*Z10</f>
        <v>0</v>
      </c>
      <c r="AB10" s="529">
        <f t="shared" ref="AB10:AB22" si="10">(AB9*AA10)+AB9</f>
        <v>100</v>
      </c>
      <c r="AD10" s="524">
        <f t="shared" ref="AD10:AD22" si="11">W10+1</f>
        <v>2027</v>
      </c>
      <c r="AE10" s="526" t="str">
        <f>$C$10</f>
        <v>AGO</v>
      </c>
      <c r="AF10" s="527"/>
      <c r="AG10" s="528">
        <f>$E$10</f>
        <v>25</v>
      </c>
      <c r="AH10" s="527">
        <f t="shared" ref="AH10:AH22" si="12">AF10/30*AG10</f>
        <v>0</v>
      </c>
      <c r="AI10" s="529">
        <f t="shared" ref="AI10:AI22" si="13">(AI9*AH10)+AI9</f>
        <v>100</v>
      </c>
    </row>
    <row r="11" spans="1:35" ht="14.4" x14ac:dyDescent="0.3">
      <c r="B11" s="524">
        <v>2023</v>
      </c>
      <c r="C11" s="526" t="s">
        <v>557</v>
      </c>
      <c r="D11" s="527"/>
      <c r="E11" s="528"/>
      <c r="F11" s="527">
        <f t="shared" si="0"/>
        <v>0</v>
      </c>
      <c r="G11" s="529">
        <f t="shared" si="1"/>
        <v>100</v>
      </c>
      <c r="I11" s="524">
        <f t="shared" si="2"/>
        <v>2024</v>
      </c>
      <c r="J11" s="526" t="str">
        <f>$C$11</f>
        <v>SET</v>
      </c>
      <c r="K11" s="527"/>
      <c r="L11" s="528"/>
      <c r="M11" s="527">
        <f t="shared" si="3"/>
        <v>0</v>
      </c>
      <c r="N11" s="529">
        <f t="shared" si="4"/>
        <v>100</v>
      </c>
      <c r="P11" s="524">
        <f t="shared" si="5"/>
        <v>2025</v>
      </c>
      <c r="Q11" s="526" t="str">
        <f>$C$11</f>
        <v>SET</v>
      </c>
      <c r="R11" s="527"/>
      <c r="S11" s="528"/>
      <c r="T11" s="527">
        <f t="shared" si="6"/>
        <v>0</v>
      </c>
      <c r="U11" s="529">
        <f t="shared" si="7"/>
        <v>100</v>
      </c>
      <c r="W11" s="524">
        <f t="shared" si="8"/>
        <v>2026</v>
      </c>
      <c r="X11" s="526" t="str">
        <f>$C$11</f>
        <v>SET</v>
      </c>
      <c r="Y11" s="527"/>
      <c r="Z11" s="528"/>
      <c r="AA11" s="527">
        <f t="shared" si="9"/>
        <v>0</v>
      </c>
      <c r="AB11" s="529">
        <f t="shared" si="10"/>
        <v>100</v>
      </c>
      <c r="AD11" s="524">
        <f t="shared" si="11"/>
        <v>2027</v>
      </c>
      <c r="AE11" s="526" t="str">
        <f>$C$11</f>
        <v>SET</v>
      </c>
      <c r="AF11" s="527"/>
      <c r="AG11" s="528"/>
      <c r="AH11" s="527">
        <f t="shared" si="12"/>
        <v>0</v>
      </c>
      <c r="AI11" s="529">
        <f t="shared" si="13"/>
        <v>100</v>
      </c>
    </row>
    <row r="12" spans="1:35" ht="14.4" x14ac:dyDescent="0.3">
      <c r="B12" s="524">
        <v>2023</v>
      </c>
      <c r="C12" s="526" t="s">
        <v>558</v>
      </c>
      <c r="D12" s="527"/>
      <c r="E12" s="528"/>
      <c r="F12" s="527">
        <f t="shared" si="0"/>
        <v>0</v>
      </c>
      <c r="G12" s="529">
        <f t="shared" si="1"/>
        <v>100</v>
      </c>
      <c r="I12" s="524">
        <f t="shared" si="2"/>
        <v>2024</v>
      </c>
      <c r="J12" s="526" t="str">
        <f>$C$12</f>
        <v>OUT</v>
      </c>
      <c r="K12" s="527"/>
      <c r="L12" s="528"/>
      <c r="M12" s="527">
        <f t="shared" si="3"/>
        <v>0</v>
      </c>
      <c r="N12" s="529">
        <f t="shared" si="4"/>
        <v>100</v>
      </c>
      <c r="P12" s="524">
        <f t="shared" si="5"/>
        <v>2025</v>
      </c>
      <c r="Q12" s="526" t="str">
        <f>$C$12</f>
        <v>OUT</v>
      </c>
      <c r="R12" s="527"/>
      <c r="S12" s="528"/>
      <c r="T12" s="527">
        <f t="shared" si="6"/>
        <v>0</v>
      </c>
      <c r="U12" s="529">
        <f t="shared" si="7"/>
        <v>100</v>
      </c>
      <c r="W12" s="524">
        <f t="shared" si="8"/>
        <v>2026</v>
      </c>
      <c r="X12" s="526" t="str">
        <f>$C$12</f>
        <v>OUT</v>
      </c>
      <c r="Y12" s="527"/>
      <c r="Z12" s="528"/>
      <c r="AA12" s="527">
        <f t="shared" si="9"/>
        <v>0</v>
      </c>
      <c r="AB12" s="529">
        <f t="shared" si="10"/>
        <v>100</v>
      </c>
      <c r="AD12" s="524">
        <f t="shared" si="11"/>
        <v>2027</v>
      </c>
      <c r="AE12" s="526" t="str">
        <f>$C$12</f>
        <v>OUT</v>
      </c>
      <c r="AF12" s="527"/>
      <c r="AG12" s="528"/>
      <c r="AH12" s="527">
        <f t="shared" si="12"/>
        <v>0</v>
      </c>
      <c r="AI12" s="529">
        <f t="shared" si="13"/>
        <v>100</v>
      </c>
    </row>
    <row r="13" spans="1:35" ht="14.4" x14ac:dyDescent="0.3">
      <c r="B13" s="524">
        <v>2023</v>
      </c>
      <c r="C13" s="526" t="s">
        <v>559</v>
      </c>
      <c r="D13" s="527"/>
      <c r="E13" s="528"/>
      <c r="F13" s="527">
        <f t="shared" si="0"/>
        <v>0</v>
      </c>
      <c r="G13" s="529">
        <f t="shared" si="1"/>
        <v>100</v>
      </c>
      <c r="I13" s="524">
        <f t="shared" si="2"/>
        <v>2024</v>
      </c>
      <c r="J13" s="526" t="str">
        <f>$C$13</f>
        <v>NOV</v>
      </c>
      <c r="K13" s="527"/>
      <c r="L13" s="528"/>
      <c r="M13" s="527">
        <f t="shared" si="3"/>
        <v>0</v>
      </c>
      <c r="N13" s="529">
        <f t="shared" si="4"/>
        <v>100</v>
      </c>
      <c r="P13" s="524">
        <f t="shared" si="5"/>
        <v>2025</v>
      </c>
      <c r="Q13" s="526" t="str">
        <f>$C$13</f>
        <v>NOV</v>
      </c>
      <c r="R13" s="527"/>
      <c r="S13" s="528"/>
      <c r="T13" s="527">
        <f t="shared" si="6"/>
        <v>0</v>
      </c>
      <c r="U13" s="529">
        <f t="shared" si="7"/>
        <v>100</v>
      </c>
      <c r="W13" s="524">
        <f t="shared" si="8"/>
        <v>2026</v>
      </c>
      <c r="X13" s="526" t="str">
        <f>$C$13</f>
        <v>NOV</v>
      </c>
      <c r="Y13" s="527"/>
      <c r="Z13" s="528"/>
      <c r="AA13" s="527">
        <f t="shared" si="9"/>
        <v>0</v>
      </c>
      <c r="AB13" s="529">
        <f t="shared" si="10"/>
        <v>100</v>
      </c>
      <c r="AD13" s="524">
        <f t="shared" si="11"/>
        <v>2027</v>
      </c>
      <c r="AE13" s="526" t="str">
        <f>$C$13</f>
        <v>NOV</v>
      </c>
      <c r="AF13" s="527"/>
      <c r="AG13" s="528"/>
      <c r="AH13" s="527">
        <f t="shared" si="12"/>
        <v>0</v>
      </c>
      <c r="AI13" s="529">
        <f t="shared" si="13"/>
        <v>100</v>
      </c>
    </row>
    <row r="14" spans="1:35" ht="14.4" x14ac:dyDescent="0.3">
      <c r="B14" s="524">
        <v>2023</v>
      </c>
      <c r="C14" s="526" t="s">
        <v>560</v>
      </c>
      <c r="D14" s="527"/>
      <c r="E14" s="528"/>
      <c r="F14" s="527">
        <f t="shared" si="0"/>
        <v>0</v>
      </c>
      <c r="G14" s="529">
        <f t="shared" si="1"/>
        <v>100</v>
      </c>
      <c r="I14" s="524">
        <f t="shared" si="2"/>
        <v>2024</v>
      </c>
      <c r="J14" s="526" t="str">
        <f>$C$14</f>
        <v>DEZ</v>
      </c>
      <c r="K14" s="527"/>
      <c r="L14" s="528"/>
      <c r="M14" s="527">
        <f t="shared" si="3"/>
        <v>0</v>
      </c>
      <c r="N14" s="529">
        <f t="shared" si="4"/>
        <v>100</v>
      </c>
      <c r="P14" s="524">
        <f t="shared" si="5"/>
        <v>2025</v>
      </c>
      <c r="Q14" s="526" t="str">
        <f>$C$14</f>
        <v>DEZ</v>
      </c>
      <c r="R14" s="527"/>
      <c r="S14" s="528"/>
      <c r="T14" s="527">
        <f t="shared" si="6"/>
        <v>0</v>
      </c>
      <c r="U14" s="529">
        <f t="shared" si="7"/>
        <v>100</v>
      </c>
      <c r="W14" s="524">
        <f t="shared" si="8"/>
        <v>2026</v>
      </c>
      <c r="X14" s="526" t="str">
        <f>$C$14</f>
        <v>DEZ</v>
      </c>
      <c r="Y14" s="527"/>
      <c r="Z14" s="528"/>
      <c r="AA14" s="527">
        <f t="shared" si="9"/>
        <v>0</v>
      </c>
      <c r="AB14" s="529">
        <f t="shared" si="10"/>
        <v>100</v>
      </c>
      <c r="AD14" s="524">
        <f t="shared" si="11"/>
        <v>2027</v>
      </c>
      <c r="AE14" s="526" t="str">
        <f>$C$14</f>
        <v>DEZ</v>
      </c>
      <c r="AF14" s="527"/>
      <c r="AG14" s="528"/>
      <c r="AH14" s="527">
        <f t="shared" si="12"/>
        <v>0</v>
      </c>
      <c r="AI14" s="529">
        <f t="shared" si="13"/>
        <v>100</v>
      </c>
    </row>
    <row r="15" spans="1:35" ht="14.4" x14ac:dyDescent="0.3">
      <c r="B15" s="524">
        <v>2023</v>
      </c>
      <c r="C15" s="526" t="s">
        <v>560</v>
      </c>
      <c r="D15" s="527"/>
      <c r="E15" s="528"/>
      <c r="F15" s="527">
        <f t="shared" si="0"/>
        <v>0</v>
      </c>
      <c r="G15" s="529">
        <f t="shared" si="1"/>
        <v>100</v>
      </c>
      <c r="I15" s="524">
        <f t="shared" si="2"/>
        <v>2024</v>
      </c>
      <c r="J15" s="526" t="str">
        <f>$C$15</f>
        <v>DEZ</v>
      </c>
      <c r="K15" s="527"/>
      <c r="L15" s="528"/>
      <c r="M15" s="527">
        <f t="shared" si="3"/>
        <v>0</v>
      </c>
      <c r="N15" s="529">
        <f t="shared" si="4"/>
        <v>100</v>
      </c>
      <c r="P15" s="524">
        <f t="shared" si="5"/>
        <v>2025</v>
      </c>
      <c r="Q15" s="526" t="str">
        <f>$C$15</f>
        <v>DEZ</v>
      </c>
      <c r="R15" s="527"/>
      <c r="S15" s="528"/>
      <c r="T15" s="527">
        <f t="shared" si="6"/>
        <v>0</v>
      </c>
      <c r="U15" s="529">
        <f t="shared" si="7"/>
        <v>100</v>
      </c>
      <c r="W15" s="524">
        <f t="shared" si="8"/>
        <v>2026</v>
      </c>
      <c r="X15" s="526" t="str">
        <f>$C$15</f>
        <v>DEZ</v>
      </c>
      <c r="Y15" s="527"/>
      <c r="Z15" s="528"/>
      <c r="AA15" s="527">
        <f t="shared" si="9"/>
        <v>0</v>
      </c>
      <c r="AB15" s="529">
        <f t="shared" si="10"/>
        <v>100</v>
      </c>
      <c r="AD15" s="524">
        <f t="shared" si="11"/>
        <v>2027</v>
      </c>
      <c r="AE15" s="526" t="str">
        <f>$C$15</f>
        <v>DEZ</v>
      </c>
      <c r="AF15" s="527"/>
      <c r="AG15" s="528"/>
      <c r="AH15" s="527">
        <f t="shared" si="12"/>
        <v>0</v>
      </c>
      <c r="AI15" s="529">
        <f t="shared" si="13"/>
        <v>100</v>
      </c>
    </row>
    <row r="16" spans="1:35" ht="14.4" x14ac:dyDescent="0.3">
      <c r="B16" s="524">
        <v>2024</v>
      </c>
      <c r="C16" s="530" t="s">
        <v>561</v>
      </c>
      <c r="D16" s="531"/>
      <c r="E16" s="532"/>
      <c r="F16" s="527">
        <f t="shared" si="0"/>
        <v>0</v>
      </c>
      <c r="G16" s="529">
        <f t="shared" si="1"/>
        <v>100</v>
      </c>
      <c r="I16" s="524">
        <f t="shared" si="2"/>
        <v>2025</v>
      </c>
      <c r="J16" s="526" t="str">
        <f>$C$16</f>
        <v>JAN</v>
      </c>
      <c r="K16" s="531"/>
      <c r="L16" s="528"/>
      <c r="M16" s="527">
        <f t="shared" si="3"/>
        <v>0</v>
      </c>
      <c r="N16" s="529">
        <f t="shared" si="4"/>
        <v>100</v>
      </c>
      <c r="P16" s="524">
        <f t="shared" si="5"/>
        <v>2026</v>
      </c>
      <c r="Q16" s="526" t="str">
        <f>$C$16</f>
        <v>JAN</v>
      </c>
      <c r="R16" s="531"/>
      <c r="S16" s="528"/>
      <c r="T16" s="527">
        <f t="shared" si="6"/>
        <v>0</v>
      </c>
      <c r="U16" s="529">
        <f t="shared" si="7"/>
        <v>100</v>
      </c>
      <c r="W16" s="524">
        <f t="shared" si="8"/>
        <v>2027</v>
      </c>
      <c r="X16" s="526" t="str">
        <f>$C$16</f>
        <v>JAN</v>
      </c>
      <c r="Y16" s="531"/>
      <c r="Z16" s="528"/>
      <c r="AA16" s="527">
        <f t="shared" si="9"/>
        <v>0</v>
      </c>
      <c r="AB16" s="529">
        <f t="shared" si="10"/>
        <v>100</v>
      </c>
      <c r="AD16" s="524">
        <f t="shared" si="11"/>
        <v>2028</v>
      </c>
      <c r="AE16" s="526" t="str">
        <f>$C$16</f>
        <v>JAN</v>
      </c>
      <c r="AF16" s="531"/>
      <c r="AG16" s="528"/>
      <c r="AH16" s="527">
        <f t="shared" si="12"/>
        <v>0</v>
      </c>
      <c r="AI16" s="529">
        <f t="shared" si="13"/>
        <v>100</v>
      </c>
    </row>
    <row r="17" spans="2:35" ht="14.4" x14ac:dyDescent="0.3">
      <c r="B17" s="524">
        <v>2024</v>
      </c>
      <c r="C17" s="526" t="s">
        <v>562</v>
      </c>
      <c r="D17" s="527"/>
      <c r="E17" s="528"/>
      <c r="F17" s="527">
        <f t="shared" si="0"/>
        <v>0</v>
      </c>
      <c r="G17" s="529">
        <f t="shared" si="1"/>
        <v>100</v>
      </c>
      <c r="I17" s="524">
        <f t="shared" si="2"/>
        <v>2025</v>
      </c>
      <c r="J17" s="526" t="str">
        <f>$C$17</f>
        <v>FEV</v>
      </c>
      <c r="K17" s="527"/>
      <c r="L17" s="528"/>
      <c r="M17" s="527">
        <f t="shared" si="3"/>
        <v>0</v>
      </c>
      <c r="N17" s="529">
        <f t="shared" si="4"/>
        <v>100</v>
      </c>
      <c r="P17" s="524">
        <f t="shared" si="5"/>
        <v>2026</v>
      </c>
      <c r="Q17" s="526" t="str">
        <f>$C$17</f>
        <v>FEV</v>
      </c>
      <c r="R17" s="527"/>
      <c r="S17" s="528"/>
      <c r="T17" s="527">
        <f t="shared" si="6"/>
        <v>0</v>
      </c>
      <c r="U17" s="529">
        <f t="shared" si="7"/>
        <v>100</v>
      </c>
      <c r="W17" s="524">
        <f t="shared" si="8"/>
        <v>2027</v>
      </c>
      <c r="X17" s="526" t="str">
        <f>$C$17</f>
        <v>FEV</v>
      </c>
      <c r="Y17" s="527"/>
      <c r="Z17" s="528"/>
      <c r="AA17" s="527">
        <f t="shared" si="9"/>
        <v>0</v>
      </c>
      <c r="AB17" s="529">
        <f t="shared" si="10"/>
        <v>100</v>
      </c>
      <c r="AD17" s="524">
        <f t="shared" si="11"/>
        <v>2028</v>
      </c>
      <c r="AE17" s="526" t="str">
        <f>$C$17</f>
        <v>FEV</v>
      </c>
      <c r="AF17" s="527"/>
      <c r="AG17" s="528"/>
      <c r="AH17" s="527">
        <f t="shared" si="12"/>
        <v>0</v>
      </c>
      <c r="AI17" s="529">
        <f t="shared" si="13"/>
        <v>100</v>
      </c>
    </row>
    <row r="18" spans="2:35" ht="14.4" x14ac:dyDescent="0.3">
      <c r="B18" s="524">
        <v>2024</v>
      </c>
      <c r="C18" s="530" t="s">
        <v>563</v>
      </c>
      <c r="D18" s="527"/>
      <c r="E18" s="528"/>
      <c r="F18" s="527">
        <f t="shared" si="0"/>
        <v>0</v>
      </c>
      <c r="G18" s="529">
        <f t="shared" si="1"/>
        <v>100</v>
      </c>
      <c r="I18" s="524">
        <f t="shared" si="2"/>
        <v>2025</v>
      </c>
      <c r="J18" s="526" t="str">
        <f>$C$18</f>
        <v>MAR</v>
      </c>
      <c r="K18" s="527"/>
      <c r="L18" s="528"/>
      <c r="M18" s="527">
        <f t="shared" si="3"/>
        <v>0</v>
      </c>
      <c r="N18" s="529">
        <f t="shared" si="4"/>
        <v>100</v>
      </c>
      <c r="P18" s="524">
        <f t="shared" si="5"/>
        <v>2026</v>
      </c>
      <c r="Q18" s="526" t="str">
        <f>$C$18</f>
        <v>MAR</v>
      </c>
      <c r="R18" s="527"/>
      <c r="S18" s="528"/>
      <c r="T18" s="527">
        <f t="shared" si="6"/>
        <v>0</v>
      </c>
      <c r="U18" s="529">
        <f t="shared" si="7"/>
        <v>100</v>
      </c>
      <c r="W18" s="524">
        <f t="shared" si="8"/>
        <v>2027</v>
      </c>
      <c r="X18" s="526" t="str">
        <f>$C$18</f>
        <v>MAR</v>
      </c>
      <c r="Y18" s="527"/>
      <c r="Z18" s="528"/>
      <c r="AA18" s="527">
        <f t="shared" si="9"/>
        <v>0</v>
      </c>
      <c r="AB18" s="529">
        <f t="shared" si="10"/>
        <v>100</v>
      </c>
      <c r="AD18" s="524">
        <f t="shared" si="11"/>
        <v>2028</v>
      </c>
      <c r="AE18" s="526" t="str">
        <f>$C$18</f>
        <v>MAR</v>
      </c>
      <c r="AF18" s="527"/>
      <c r="AG18" s="528"/>
      <c r="AH18" s="527">
        <f t="shared" si="12"/>
        <v>0</v>
      </c>
      <c r="AI18" s="529">
        <f t="shared" si="13"/>
        <v>100</v>
      </c>
    </row>
    <row r="19" spans="2:35" ht="14.4" x14ac:dyDescent="0.3">
      <c r="B19" s="524">
        <v>2024</v>
      </c>
      <c r="C19" s="526" t="s">
        <v>564</v>
      </c>
      <c r="D19" s="527"/>
      <c r="E19" s="528"/>
      <c r="F19" s="527">
        <f t="shared" si="0"/>
        <v>0</v>
      </c>
      <c r="G19" s="529">
        <f t="shared" si="1"/>
        <v>100</v>
      </c>
      <c r="I19" s="524">
        <f t="shared" si="2"/>
        <v>2025</v>
      </c>
      <c r="J19" s="526" t="str">
        <f>$C$19</f>
        <v>ABR</v>
      </c>
      <c r="K19" s="527"/>
      <c r="L19" s="528"/>
      <c r="M19" s="527">
        <f t="shared" si="3"/>
        <v>0</v>
      </c>
      <c r="N19" s="529">
        <f t="shared" si="4"/>
        <v>100</v>
      </c>
      <c r="P19" s="524">
        <f t="shared" si="5"/>
        <v>2026</v>
      </c>
      <c r="Q19" s="526" t="str">
        <f>$C$19</f>
        <v>ABR</v>
      </c>
      <c r="R19" s="527"/>
      <c r="S19" s="528"/>
      <c r="T19" s="527">
        <f t="shared" si="6"/>
        <v>0</v>
      </c>
      <c r="U19" s="529">
        <f t="shared" si="7"/>
        <v>100</v>
      </c>
      <c r="W19" s="524">
        <f t="shared" si="8"/>
        <v>2027</v>
      </c>
      <c r="X19" s="526" t="str">
        <f>$C$19</f>
        <v>ABR</v>
      </c>
      <c r="Y19" s="527"/>
      <c r="Z19" s="528"/>
      <c r="AA19" s="527">
        <f t="shared" si="9"/>
        <v>0</v>
      </c>
      <c r="AB19" s="529">
        <f t="shared" si="10"/>
        <v>100</v>
      </c>
      <c r="AD19" s="524">
        <f t="shared" si="11"/>
        <v>2028</v>
      </c>
      <c r="AE19" s="526" t="str">
        <f>$C$19</f>
        <v>ABR</v>
      </c>
      <c r="AF19" s="527"/>
      <c r="AG19" s="528"/>
      <c r="AH19" s="527">
        <f t="shared" si="12"/>
        <v>0</v>
      </c>
      <c r="AI19" s="529">
        <f t="shared" si="13"/>
        <v>100</v>
      </c>
    </row>
    <row r="20" spans="2:35" ht="14.4" x14ac:dyDescent="0.3">
      <c r="B20" s="524">
        <v>2024</v>
      </c>
      <c r="C20" s="530" t="s">
        <v>565</v>
      </c>
      <c r="D20" s="527"/>
      <c r="E20" s="528"/>
      <c r="F20" s="527">
        <f t="shared" si="0"/>
        <v>0</v>
      </c>
      <c r="G20" s="529">
        <f t="shared" si="1"/>
        <v>100</v>
      </c>
      <c r="I20" s="524">
        <f t="shared" si="2"/>
        <v>2025</v>
      </c>
      <c r="J20" s="526" t="str">
        <f>$C$20</f>
        <v>MAI</v>
      </c>
      <c r="K20" s="527"/>
      <c r="L20" s="528"/>
      <c r="M20" s="527">
        <f t="shared" si="3"/>
        <v>0</v>
      </c>
      <c r="N20" s="529">
        <f t="shared" si="4"/>
        <v>100</v>
      </c>
      <c r="P20" s="524">
        <f t="shared" si="5"/>
        <v>2026</v>
      </c>
      <c r="Q20" s="526" t="str">
        <f>$C$20</f>
        <v>MAI</v>
      </c>
      <c r="R20" s="527"/>
      <c r="S20" s="528"/>
      <c r="T20" s="527">
        <f t="shared" si="6"/>
        <v>0</v>
      </c>
      <c r="U20" s="529">
        <f t="shared" si="7"/>
        <v>100</v>
      </c>
      <c r="W20" s="524">
        <f t="shared" si="8"/>
        <v>2027</v>
      </c>
      <c r="X20" s="526" t="str">
        <f>$C$20</f>
        <v>MAI</v>
      </c>
      <c r="Y20" s="527"/>
      <c r="Z20" s="528"/>
      <c r="AA20" s="527">
        <f t="shared" si="9"/>
        <v>0</v>
      </c>
      <c r="AB20" s="529">
        <f t="shared" si="10"/>
        <v>100</v>
      </c>
      <c r="AD20" s="524">
        <f t="shared" si="11"/>
        <v>2028</v>
      </c>
      <c r="AE20" s="526" t="str">
        <f>$C$20</f>
        <v>MAI</v>
      </c>
      <c r="AF20" s="527"/>
      <c r="AG20" s="528"/>
      <c r="AH20" s="527">
        <f t="shared" si="12"/>
        <v>0</v>
      </c>
      <c r="AI20" s="529">
        <f t="shared" si="13"/>
        <v>100</v>
      </c>
    </row>
    <row r="21" spans="2:35" ht="14.4" x14ac:dyDescent="0.3">
      <c r="B21" s="524">
        <v>2024</v>
      </c>
      <c r="C21" s="526" t="s">
        <v>566</v>
      </c>
      <c r="D21" s="527"/>
      <c r="E21" s="528"/>
      <c r="F21" s="527">
        <f t="shared" si="0"/>
        <v>0</v>
      </c>
      <c r="G21" s="529">
        <f t="shared" si="1"/>
        <v>100</v>
      </c>
      <c r="I21" s="524">
        <f t="shared" si="2"/>
        <v>2025</v>
      </c>
      <c r="J21" s="526" t="str">
        <f>$C$21</f>
        <v>JUN</v>
      </c>
      <c r="K21" s="527"/>
      <c r="L21" s="528"/>
      <c r="M21" s="527">
        <f t="shared" si="3"/>
        <v>0</v>
      </c>
      <c r="N21" s="529">
        <f t="shared" si="4"/>
        <v>100</v>
      </c>
      <c r="P21" s="524">
        <f t="shared" si="5"/>
        <v>2026</v>
      </c>
      <c r="Q21" s="526" t="str">
        <f>$C$21</f>
        <v>JUN</v>
      </c>
      <c r="R21" s="527"/>
      <c r="S21" s="528"/>
      <c r="T21" s="527">
        <f t="shared" si="6"/>
        <v>0</v>
      </c>
      <c r="U21" s="529">
        <f t="shared" si="7"/>
        <v>100</v>
      </c>
      <c r="W21" s="524">
        <f t="shared" si="8"/>
        <v>2027</v>
      </c>
      <c r="X21" s="526" t="str">
        <f>$C$21</f>
        <v>JUN</v>
      </c>
      <c r="Y21" s="527"/>
      <c r="Z21" s="528"/>
      <c r="AA21" s="527">
        <f t="shared" si="9"/>
        <v>0</v>
      </c>
      <c r="AB21" s="529">
        <f t="shared" si="10"/>
        <v>100</v>
      </c>
      <c r="AD21" s="524">
        <f t="shared" si="11"/>
        <v>2028</v>
      </c>
      <c r="AE21" s="526" t="str">
        <f>$C$21</f>
        <v>JUN</v>
      </c>
      <c r="AF21" s="527"/>
      <c r="AG21" s="528"/>
      <c r="AH21" s="527">
        <f t="shared" si="12"/>
        <v>0</v>
      </c>
      <c r="AI21" s="529">
        <f t="shared" si="13"/>
        <v>100</v>
      </c>
    </row>
    <row r="22" spans="2:35" ht="14.4" x14ac:dyDescent="0.3">
      <c r="B22" s="524">
        <v>2024</v>
      </c>
      <c r="C22" s="530" t="s">
        <v>567</v>
      </c>
      <c r="D22" s="527"/>
      <c r="E22" s="528">
        <v>5</v>
      </c>
      <c r="F22" s="527">
        <f t="shared" si="0"/>
        <v>0</v>
      </c>
      <c r="G22" s="529">
        <f t="shared" si="1"/>
        <v>100</v>
      </c>
      <c r="I22" s="524">
        <f t="shared" si="2"/>
        <v>2025</v>
      </c>
      <c r="J22" s="526" t="str">
        <f>$C$22</f>
        <v>JUL</v>
      </c>
      <c r="K22" s="527"/>
      <c r="L22" s="528">
        <f>$E$22</f>
        <v>5</v>
      </c>
      <c r="M22" s="527">
        <f t="shared" si="3"/>
        <v>0</v>
      </c>
      <c r="N22" s="529">
        <f t="shared" si="4"/>
        <v>100</v>
      </c>
      <c r="P22" s="524">
        <f t="shared" si="5"/>
        <v>2026</v>
      </c>
      <c r="Q22" s="526" t="str">
        <f>$C$22</f>
        <v>JUL</v>
      </c>
      <c r="R22" s="527"/>
      <c r="S22" s="528">
        <f>$E$22</f>
        <v>5</v>
      </c>
      <c r="T22" s="527">
        <f t="shared" si="6"/>
        <v>0</v>
      </c>
      <c r="U22" s="529">
        <f t="shared" si="7"/>
        <v>100</v>
      </c>
      <c r="W22" s="524">
        <f t="shared" si="8"/>
        <v>2027</v>
      </c>
      <c r="X22" s="526" t="str">
        <f>$C$22</f>
        <v>JUL</v>
      </c>
      <c r="Y22" s="527"/>
      <c r="Z22" s="528">
        <f>$E$22</f>
        <v>5</v>
      </c>
      <c r="AA22" s="527">
        <f t="shared" si="9"/>
        <v>0</v>
      </c>
      <c r="AB22" s="529">
        <f t="shared" si="10"/>
        <v>100</v>
      </c>
      <c r="AD22" s="524">
        <f t="shared" si="11"/>
        <v>2028</v>
      </c>
      <c r="AE22" s="526" t="str">
        <f>$C$22</f>
        <v>JUL</v>
      </c>
      <c r="AF22" s="527"/>
      <c r="AG22" s="528">
        <f>$E$22</f>
        <v>5</v>
      </c>
      <c r="AH22" s="527">
        <f t="shared" si="12"/>
        <v>0</v>
      </c>
      <c r="AI22" s="529">
        <f t="shared" si="13"/>
        <v>100</v>
      </c>
    </row>
    <row r="23" spans="2:35" ht="14.4" x14ac:dyDescent="0.3">
      <c r="B23" s="752" t="s">
        <v>568</v>
      </c>
      <c r="C23" s="752"/>
      <c r="D23" s="752"/>
      <c r="E23" s="752"/>
      <c r="F23" s="752"/>
      <c r="G23" s="533">
        <f>ROUND(((G22-G9)/G9),4)</f>
        <v>0</v>
      </c>
      <c r="I23" s="752" t="s">
        <v>568</v>
      </c>
      <c r="J23" s="752"/>
      <c r="K23" s="752"/>
      <c r="L23" s="752"/>
      <c r="M23" s="752"/>
      <c r="N23" s="533">
        <f>ROUND(((N22-N9)/N9),4)</f>
        <v>0</v>
      </c>
      <c r="P23" s="752" t="s">
        <v>568</v>
      </c>
      <c r="Q23" s="752"/>
      <c r="R23" s="752"/>
      <c r="S23" s="752"/>
      <c r="T23" s="752"/>
      <c r="U23" s="533">
        <f>ROUND(((U22-U9)/U9),4)</f>
        <v>0</v>
      </c>
      <c r="W23" s="752" t="s">
        <v>568</v>
      </c>
      <c r="X23" s="752"/>
      <c r="Y23" s="752"/>
      <c r="Z23" s="752"/>
      <c r="AA23" s="752"/>
      <c r="AB23" s="533">
        <f>ROUND(((AB22-AB9)/AB9),4)</f>
        <v>0</v>
      </c>
      <c r="AD23" s="752" t="s">
        <v>568</v>
      </c>
      <c r="AE23" s="752"/>
      <c r="AF23" s="752"/>
      <c r="AG23" s="752"/>
      <c r="AH23" s="752"/>
      <c r="AI23" s="533">
        <f>ROUND(((AI22-AI9)/AI9),4)</f>
        <v>0</v>
      </c>
    </row>
  </sheetData>
  <sheetProtection algorithmName="SHA-512" hashValue="n81HEWc9B0DrecFo3/U+IySInNXsm23ar01oH00H+KYykzXLo4aWjDbvt6782pi2kwVobHYvRdwC9y1uJmNuZA==" saltValue="rTctXbBXmAFpvAVOXwG10w==" spinCount="100000" sheet="1" objects="1" scenarios="1"/>
  <mergeCells count="20">
    <mergeCell ref="B23:F23"/>
    <mergeCell ref="I23:M23"/>
    <mergeCell ref="P23:T23"/>
    <mergeCell ref="W23:AA23"/>
    <mergeCell ref="AD23:AH23"/>
    <mergeCell ref="B8:C8"/>
    <mergeCell ref="I8:J8"/>
    <mergeCell ref="P8:Q8"/>
    <mergeCell ref="W8:X8"/>
    <mergeCell ref="AD8:AE8"/>
    <mergeCell ref="C7:G7"/>
    <mergeCell ref="J7:N7"/>
    <mergeCell ref="Q7:U7"/>
    <mergeCell ref="X7:AB7"/>
    <mergeCell ref="AE7:AI7"/>
    <mergeCell ref="B6:G6"/>
    <mergeCell ref="I6:N6"/>
    <mergeCell ref="P6:U6"/>
    <mergeCell ref="W6:AB6"/>
    <mergeCell ref="AD6:AI6"/>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X79"/>
  <sheetViews>
    <sheetView showGridLines="0" view="pageBreakPreview" topLeftCell="B1" zoomScale="85" zoomScaleNormal="100" zoomScaleSheetLayoutView="85" workbookViewId="0">
      <selection activeCell="E10" sqref="E10"/>
    </sheetView>
  </sheetViews>
  <sheetFormatPr defaultColWidth="9.109375" defaultRowHeight="13.5" customHeight="1" x14ac:dyDescent="0.3"/>
  <cols>
    <col min="1" max="1" width="6.33203125" style="97" customWidth="1"/>
    <col min="2" max="2" width="8.6640625" style="98" customWidth="1"/>
    <col min="3" max="3" width="4" style="83" customWidth="1"/>
    <col min="4" max="23" width="9.109375" style="83"/>
    <col min="24" max="24" width="10.6640625" style="83" customWidth="1"/>
    <col min="25" max="256" width="9.109375" style="83"/>
    <col min="257" max="257" width="4.5546875" style="83" customWidth="1"/>
    <col min="258" max="258" width="11.109375" style="83" customWidth="1"/>
    <col min="259" max="259" width="4" style="83" customWidth="1"/>
    <col min="260" max="512" width="9.109375" style="83"/>
    <col min="513" max="513" width="4.5546875" style="83" customWidth="1"/>
    <col min="514" max="514" width="11.109375" style="83" customWidth="1"/>
    <col min="515" max="515" width="4" style="83" customWidth="1"/>
    <col min="516" max="768" width="9.109375" style="83"/>
    <col min="769" max="769" width="4.5546875" style="83" customWidth="1"/>
    <col min="770" max="770" width="11.109375" style="83" customWidth="1"/>
    <col min="771" max="771" width="4" style="83" customWidth="1"/>
    <col min="772" max="1024" width="9.109375" style="83"/>
    <col min="1025" max="1025" width="4.5546875" style="83" customWidth="1"/>
    <col min="1026" max="1026" width="11.109375" style="83" customWidth="1"/>
    <col min="1027" max="1027" width="4" style="83" customWidth="1"/>
    <col min="1028" max="1280" width="9.109375" style="83"/>
    <col min="1281" max="1281" width="4.5546875" style="83" customWidth="1"/>
    <col min="1282" max="1282" width="11.109375" style="83" customWidth="1"/>
    <col min="1283" max="1283" width="4" style="83" customWidth="1"/>
    <col min="1284" max="1536" width="9.109375" style="83"/>
    <col min="1537" max="1537" width="4.5546875" style="83" customWidth="1"/>
    <col min="1538" max="1538" width="11.109375" style="83" customWidth="1"/>
    <col min="1539" max="1539" width="4" style="83" customWidth="1"/>
    <col min="1540" max="1792" width="9.109375" style="83"/>
    <col min="1793" max="1793" width="4.5546875" style="83" customWidth="1"/>
    <col min="1794" max="1794" width="11.109375" style="83" customWidth="1"/>
    <col min="1795" max="1795" width="4" style="83" customWidth="1"/>
    <col min="1796" max="2048" width="9.109375" style="83"/>
    <col min="2049" max="2049" width="4.5546875" style="83" customWidth="1"/>
    <col min="2050" max="2050" width="11.109375" style="83" customWidth="1"/>
    <col min="2051" max="2051" width="4" style="83" customWidth="1"/>
    <col min="2052" max="2304" width="9.109375" style="83"/>
    <col min="2305" max="2305" width="4.5546875" style="83" customWidth="1"/>
    <col min="2306" max="2306" width="11.109375" style="83" customWidth="1"/>
    <col min="2307" max="2307" width="4" style="83" customWidth="1"/>
    <col min="2308" max="2560" width="9.109375" style="83"/>
    <col min="2561" max="2561" width="4.5546875" style="83" customWidth="1"/>
    <col min="2562" max="2562" width="11.109375" style="83" customWidth="1"/>
    <col min="2563" max="2563" width="4" style="83" customWidth="1"/>
    <col min="2564" max="2816" width="9.109375" style="83"/>
    <col min="2817" max="2817" width="4.5546875" style="83" customWidth="1"/>
    <col min="2818" max="2818" width="11.109375" style="83" customWidth="1"/>
    <col min="2819" max="2819" width="4" style="83" customWidth="1"/>
    <col min="2820" max="3072" width="9.109375" style="83"/>
    <col min="3073" max="3073" width="4.5546875" style="83" customWidth="1"/>
    <col min="3074" max="3074" width="11.109375" style="83" customWidth="1"/>
    <col min="3075" max="3075" width="4" style="83" customWidth="1"/>
    <col min="3076" max="3328" width="9.109375" style="83"/>
    <col min="3329" max="3329" width="4.5546875" style="83" customWidth="1"/>
    <col min="3330" max="3330" width="11.109375" style="83" customWidth="1"/>
    <col min="3331" max="3331" width="4" style="83" customWidth="1"/>
    <col min="3332" max="3584" width="9.109375" style="83"/>
    <col min="3585" max="3585" width="4.5546875" style="83" customWidth="1"/>
    <col min="3586" max="3586" width="11.109375" style="83" customWidth="1"/>
    <col min="3587" max="3587" width="4" style="83" customWidth="1"/>
    <col min="3588" max="3840" width="9.109375" style="83"/>
    <col min="3841" max="3841" width="4.5546875" style="83" customWidth="1"/>
    <col min="3842" max="3842" width="11.109375" style="83" customWidth="1"/>
    <col min="3843" max="3843" width="4" style="83" customWidth="1"/>
    <col min="3844" max="4096" width="9.109375" style="83"/>
    <col min="4097" max="4097" width="4.5546875" style="83" customWidth="1"/>
    <col min="4098" max="4098" width="11.109375" style="83" customWidth="1"/>
    <col min="4099" max="4099" width="4" style="83" customWidth="1"/>
    <col min="4100" max="4352" width="9.109375" style="83"/>
    <col min="4353" max="4353" width="4.5546875" style="83" customWidth="1"/>
    <col min="4354" max="4354" width="11.109375" style="83" customWidth="1"/>
    <col min="4355" max="4355" width="4" style="83" customWidth="1"/>
    <col min="4356" max="4608" width="9.109375" style="83"/>
    <col min="4609" max="4609" width="4.5546875" style="83" customWidth="1"/>
    <col min="4610" max="4610" width="11.109375" style="83" customWidth="1"/>
    <col min="4611" max="4611" width="4" style="83" customWidth="1"/>
    <col min="4612" max="4864" width="9.109375" style="83"/>
    <col min="4865" max="4865" width="4.5546875" style="83" customWidth="1"/>
    <col min="4866" max="4866" width="11.109375" style="83" customWidth="1"/>
    <col min="4867" max="4867" width="4" style="83" customWidth="1"/>
    <col min="4868" max="5120" width="9.109375" style="83"/>
    <col min="5121" max="5121" width="4.5546875" style="83" customWidth="1"/>
    <col min="5122" max="5122" width="11.109375" style="83" customWidth="1"/>
    <col min="5123" max="5123" width="4" style="83" customWidth="1"/>
    <col min="5124" max="5376" width="9.109375" style="83"/>
    <col min="5377" max="5377" width="4.5546875" style="83" customWidth="1"/>
    <col min="5378" max="5378" width="11.109375" style="83" customWidth="1"/>
    <col min="5379" max="5379" width="4" style="83" customWidth="1"/>
    <col min="5380" max="5632" width="9.109375" style="83"/>
    <col min="5633" max="5633" width="4.5546875" style="83" customWidth="1"/>
    <col min="5634" max="5634" width="11.109375" style="83" customWidth="1"/>
    <col min="5635" max="5635" width="4" style="83" customWidth="1"/>
    <col min="5636" max="5888" width="9.109375" style="83"/>
    <col min="5889" max="5889" width="4.5546875" style="83" customWidth="1"/>
    <col min="5890" max="5890" width="11.109375" style="83" customWidth="1"/>
    <col min="5891" max="5891" width="4" style="83" customWidth="1"/>
    <col min="5892" max="6144" width="9.109375" style="83"/>
    <col min="6145" max="6145" width="4.5546875" style="83" customWidth="1"/>
    <col min="6146" max="6146" width="11.109375" style="83" customWidth="1"/>
    <col min="6147" max="6147" width="4" style="83" customWidth="1"/>
    <col min="6148" max="6400" width="9.109375" style="83"/>
    <col min="6401" max="6401" width="4.5546875" style="83" customWidth="1"/>
    <col min="6402" max="6402" width="11.109375" style="83" customWidth="1"/>
    <col min="6403" max="6403" width="4" style="83" customWidth="1"/>
    <col min="6404" max="6656" width="9.109375" style="83"/>
    <col min="6657" max="6657" width="4.5546875" style="83" customWidth="1"/>
    <col min="6658" max="6658" width="11.109375" style="83" customWidth="1"/>
    <col min="6659" max="6659" width="4" style="83" customWidth="1"/>
    <col min="6660" max="6912" width="9.109375" style="83"/>
    <col min="6913" max="6913" width="4.5546875" style="83" customWidth="1"/>
    <col min="6914" max="6914" width="11.109375" style="83" customWidth="1"/>
    <col min="6915" max="6915" width="4" style="83" customWidth="1"/>
    <col min="6916" max="7168" width="9.109375" style="83"/>
    <col min="7169" max="7169" width="4.5546875" style="83" customWidth="1"/>
    <col min="7170" max="7170" width="11.109375" style="83" customWidth="1"/>
    <col min="7171" max="7171" width="4" style="83" customWidth="1"/>
    <col min="7172" max="7424" width="9.109375" style="83"/>
    <col min="7425" max="7425" width="4.5546875" style="83" customWidth="1"/>
    <col min="7426" max="7426" width="11.109375" style="83" customWidth="1"/>
    <col min="7427" max="7427" width="4" style="83" customWidth="1"/>
    <col min="7428" max="7680" width="9.109375" style="83"/>
    <col min="7681" max="7681" width="4.5546875" style="83" customWidth="1"/>
    <col min="7682" max="7682" width="11.109375" style="83" customWidth="1"/>
    <col min="7683" max="7683" width="4" style="83" customWidth="1"/>
    <col min="7684" max="7936" width="9.109375" style="83"/>
    <col min="7937" max="7937" width="4.5546875" style="83" customWidth="1"/>
    <col min="7938" max="7938" width="11.109375" style="83" customWidth="1"/>
    <col min="7939" max="7939" width="4" style="83" customWidth="1"/>
    <col min="7940" max="8192" width="9.109375" style="83"/>
    <col min="8193" max="8193" width="4.5546875" style="83" customWidth="1"/>
    <col min="8194" max="8194" width="11.109375" style="83" customWidth="1"/>
    <col min="8195" max="8195" width="4" style="83" customWidth="1"/>
    <col min="8196" max="8448" width="9.109375" style="83"/>
    <col min="8449" max="8449" width="4.5546875" style="83" customWidth="1"/>
    <col min="8450" max="8450" width="11.109375" style="83" customWidth="1"/>
    <col min="8451" max="8451" width="4" style="83" customWidth="1"/>
    <col min="8452" max="8704" width="9.109375" style="83"/>
    <col min="8705" max="8705" width="4.5546875" style="83" customWidth="1"/>
    <col min="8706" max="8706" width="11.109375" style="83" customWidth="1"/>
    <col min="8707" max="8707" width="4" style="83" customWidth="1"/>
    <col min="8708" max="8960" width="9.109375" style="83"/>
    <col min="8961" max="8961" width="4.5546875" style="83" customWidth="1"/>
    <col min="8962" max="8962" width="11.109375" style="83" customWidth="1"/>
    <col min="8963" max="8963" width="4" style="83" customWidth="1"/>
    <col min="8964" max="9216" width="9.109375" style="83"/>
    <col min="9217" max="9217" width="4.5546875" style="83" customWidth="1"/>
    <col min="9218" max="9218" width="11.109375" style="83" customWidth="1"/>
    <col min="9219" max="9219" width="4" style="83" customWidth="1"/>
    <col min="9220" max="9472" width="9.109375" style="83"/>
    <col min="9473" max="9473" width="4.5546875" style="83" customWidth="1"/>
    <col min="9474" max="9474" width="11.109375" style="83" customWidth="1"/>
    <col min="9475" max="9475" width="4" style="83" customWidth="1"/>
    <col min="9476" max="9728" width="9.109375" style="83"/>
    <col min="9729" max="9729" width="4.5546875" style="83" customWidth="1"/>
    <col min="9730" max="9730" width="11.109375" style="83" customWidth="1"/>
    <col min="9731" max="9731" width="4" style="83" customWidth="1"/>
    <col min="9732" max="9984" width="9.109375" style="83"/>
    <col min="9985" max="9985" width="4.5546875" style="83" customWidth="1"/>
    <col min="9986" max="9986" width="11.109375" style="83" customWidth="1"/>
    <col min="9987" max="9987" width="4" style="83" customWidth="1"/>
    <col min="9988" max="10240" width="9.109375" style="83"/>
    <col min="10241" max="10241" width="4.5546875" style="83" customWidth="1"/>
    <col min="10242" max="10242" width="11.109375" style="83" customWidth="1"/>
    <col min="10243" max="10243" width="4" style="83" customWidth="1"/>
    <col min="10244" max="10496" width="9.109375" style="83"/>
    <col min="10497" max="10497" width="4.5546875" style="83" customWidth="1"/>
    <col min="10498" max="10498" width="11.109375" style="83" customWidth="1"/>
    <col min="10499" max="10499" width="4" style="83" customWidth="1"/>
    <col min="10500" max="10752" width="9.109375" style="83"/>
    <col min="10753" max="10753" width="4.5546875" style="83" customWidth="1"/>
    <col min="10754" max="10754" width="11.109375" style="83" customWidth="1"/>
    <col min="10755" max="10755" width="4" style="83" customWidth="1"/>
    <col min="10756" max="11008" width="9.109375" style="83"/>
    <col min="11009" max="11009" width="4.5546875" style="83" customWidth="1"/>
    <col min="11010" max="11010" width="11.109375" style="83" customWidth="1"/>
    <col min="11011" max="11011" width="4" style="83" customWidth="1"/>
    <col min="11012" max="11264" width="9.109375" style="83"/>
    <col min="11265" max="11265" width="4.5546875" style="83" customWidth="1"/>
    <col min="11266" max="11266" width="11.109375" style="83" customWidth="1"/>
    <col min="11267" max="11267" width="4" style="83" customWidth="1"/>
    <col min="11268" max="11520" width="9.109375" style="83"/>
    <col min="11521" max="11521" width="4.5546875" style="83" customWidth="1"/>
    <col min="11522" max="11522" width="11.109375" style="83" customWidth="1"/>
    <col min="11523" max="11523" width="4" style="83" customWidth="1"/>
    <col min="11524" max="11776" width="9.109375" style="83"/>
    <col min="11777" max="11777" width="4.5546875" style="83" customWidth="1"/>
    <col min="11778" max="11778" width="11.109375" style="83" customWidth="1"/>
    <col min="11779" max="11779" width="4" style="83" customWidth="1"/>
    <col min="11780" max="12032" width="9.109375" style="83"/>
    <col min="12033" max="12033" width="4.5546875" style="83" customWidth="1"/>
    <col min="12034" max="12034" width="11.109375" style="83" customWidth="1"/>
    <col min="12035" max="12035" width="4" style="83" customWidth="1"/>
    <col min="12036" max="12288" width="9.109375" style="83"/>
    <col min="12289" max="12289" width="4.5546875" style="83" customWidth="1"/>
    <col min="12290" max="12290" width="11.109375" style="83" customWidth="1"/>
    <col min="12291" max="12291" width="4" style="83" customWidth="1"/>
    <col min="12292" max="12544" width="9.109375" style="83"/>
    <col min="12545" max="12545" width="4.5546875" style="83" customWidth="1"/>
    <col min="12546" max="12546" width="11.109375" style="83" customWidth="1"/>
    <col min="12547" max="12547" width="4" style="83" customWidth="1"/>
    <col min="12548" max="12800" width="9.109375" style="83"/>
    <col min="12801" max="12801" width="4.5546875" style="83" customWidth="1"/>
    <col min="12802" max="12802" width="11.109375" style="83" customWidth="1"/>
    <col min="12803" max="12803" width="4" style="83" customWidth="1"/>
    <col min="12804" max="13056" width="9.109375" style="83"/>
    <col min="13057" max="13057" width="4.5546875" style="83" customWidth="1"/>
    <col min="13058" max="13058" width="11.109375" style="83" customWidth="1"/>
    <col min="13059" max="13059" width="4" style="83" customWidth="1"/>
    <col min="13060" max="13312" width="9.109375" style="83"/>
    <col min="13313" max="13313" width="4.5546875" style="83" customWidth="1"/>
    <col min="13314" max="13314" width="11.109375" style="83" customWidth="1"/>
    <col min="13315" max="13315" width="4" style="83" customWidth="1"/>
    <col min="13316" max="13568" width="9.109375" style="83"/>
    <col min="13569" max="13569" width="4.5546875" style="83" customWidth="1"/>
    <col min="13570" max="13570" width="11.109375" style="83" customWidth="1"/>
    <col min="13571" max="13571" width="4" style="83" customWidth="1"/>
    <col min="13572" max="13824" width="9.109375" style="83"/>
    <col min="13825" max="13825" width="4.5546875" style="83" customWidth="1"/>
    <col min="13826" max="13826" width="11.109375" style="83" customWidth="1"/>
    <col min="13827" max="13827" width="4" style="83" customWidth="1"/>
    <col min="13828" max="14080" width="9.109375" style="83"/>
    <col min="14081" max="14081" width="4.5546875" style="83" customWidth="1"/>
    <col min="14082" max="14082" width="11.109375" style="83" customWidth="1"/>
    <col min="14083" max="14083" width="4" style="83" customWidth="1"/>
    <col min="14084" max="14336" width="9.109375" style="83"/>
    <col min="14337" max="14337" width="4.5546875" style="83" customWidth="1"/>
    <col min="14338" max="14338" width="11.109375" style="83" customWidth="1"/>
    <col min="14339" max="14339" width="4" style="83" customWidth="1"/>
    <col min="14340" max="14592" width="9.109375" style="83"/>
    <col min="14593" max="14593" width="4.5546875" style="83" customWidth="1"/>
    <col min="14594" max="14594" width="11.109375" style="83" customWidth="1"/>
    <col min="14595" max="14595" width="4" style="83" customWidth="1"/>
    <col min="14596" max="14848" width="9.109375" style="83"/>
    <col min="14849" max="14849" width="4.5546875" style="83" customWidth="1"/>
    <col min="14850" max="14850" width="11.109375" style="83" customWidth="1"/>
    <col min="14851" max="14851" width="4" style="83" customWidth="1"/>
    <col min="14852" max="15104" width="9.109375" style="83"/>
    <col min="15105" max="15105" width="4.5546875" style="83" customWidth="1"/>
    <col min="15106" max="15106" width="11.109375" style="83" customWidth="1"/>
    <col min="15107" max="15107" width="4" style="83" customWidth="1"/>
    <col min="15108" max="15360" width="9.109375" style="83"/>
    <col min="15361" max="15361" width="4.5546875" style="83" customWidth="1"/>
    <col min="15362" max="15362" width="11.109375" style="83" customWidth="1"/>
    <col min="15363" max="15363" width="4" style="83" customWidth="1"/>
    <col min="15364" max="15616" width="9.109375" style="83"/>
    <col min="15617" max="15617" width="4.5546875" style="83" customWidth="1"/>
    <col min="15618" max="15618" width="11.109375" style="83" customWidth="1"/>
    <col min="15619" max="15619" width="4" style="83" customWidth="1"/>
    <col min="15620" max="15872" width="9.109375" style="83"/>
    <col min="15873" max="15873" width="4.5546875" style="83" customWidth="1"/>
    <col min="15874" max="15874" width="11.109375" style="83" customWidth="1"/>
    <col min="15875" max="15875" width="4" style="83" customWidth="1"/>
    <col min="15876" max="16128" width="9.109375" style="83"/>
    <col min="16129" max="16129" width="4.5546875" style="83" customWidth="1"/>
    <col min="16130" max="16130" width="11.109375" style="83" customWidth="1"/>
    <col min="16131" max="16131" width="4" style="83" customWidth="1"/>
    <col min="16132" max="16384" width="9.109375" style="83"/>
  </cols>
  <sheetData>
    <row r="1" spans="1:24" ht="13.8" x14ac:dyDescent="0.3">
      <c r="A1" s="99"/>
      <c r="B1" s="100" t="s">
        <v>77</v>
      </c>
    </row>
    <row r="2" spans="1:24" ht="13.8" x14ac:dyDescent="0.3">
      <c r="A2" s="101"/>
      <c r="B2" s="102" t="s">
        <v>78</v>
      </c>
    </row>
    <row r="3" spans="1:24" ht="13.8" x14ac:dyDescent="0.3">
      <c r="A3" s="101"/>
      <c r="B3" s="103" t="s">
        <v>79</v>
      </c>
    </row>
    <row r="4" spans="1:24" s="104" customFormat="1" ht="15.6" x14ac:dyDescent="0.3">
      <c r="A4" s="617" t="s">
        <v>80</v>
      </c>
      <c r="B4" s="617"/>
      <c r="C4" s="617"/>
      <c r="D4" s="617"/>
      <c r="E4" s="617"/>
      <c r="F4" s="617"/>
      <c r="G4" s="617"/>
      <c r="H4" s="617"/>
      <c r="I4" s="617"/>
      <c r="J4" s="617"/>
      <c r="K4" s="617"/>
      <c r="L4" s="617"/>
      <c r="M4" s="617"/>
      <c r="N4" s="617"/>
      <c r="O4" s="617"/>
      <c r="P4" s="617"/>
      <c r="Q4" s="617"/>
      <c r="R4" s="617"/>
      <c r="S4" s="617"/>
      <c r="T4" s="617"/>
      <c r="U4" s="617"/>
      <c r="V4" s="617"/>
      <c r="W4" s="617"/>
      <c r="X4" s="617"/>
    </row>
    <row r="5" spans="1:24" ht="12" customHeight="1" x14ac:dyDescent="0.3"/>
    <row r="6" spans="1:24" ht="13.8" x14ac:dyDescent="0.3">
      <c r="A6" s="105" t="s">
        <v>81</v>
      </c>
      <c r="B6" s="106" t="s">
        <v>82</v>
      </c>
    </row>
    <row r="7" spans="1:24" ht="7.5" customHeight="1" x14ac:dyDescent="0.3"/>
    <row r="8" spans="1:24" ht="13.8" x14ac:dyDescent="0.3">
      <c r="B8" s="107"/>
      <c r="C8" s="98" t="s">
        <v>83</v>
      </c>
    </row>
    <row r="10" spans="1:24" ht="13.8" x14ac:dyDescent="0.3">
      <c r="A10" s="105" t="s">
        <v>84</v>
      </c>
      <c r="B10" s="98" t="s">
        <v>85</v>
      </c>
    </row>
    <row r="12" spans="1:24" ht="13.8" x14ac:dyDescent="0.3">
      <c r="A12" s="105" t="s">
        <v>86</v>
      </c>
      <c r="B12" s="98" t="s">
        <v>589</v>
      </c>
    </row>
    <row r="13" spans="1:24" ht="13.8" x14ac:dyDescent="0.3">
      <c r="A13" s="105"/>
      <c r="B13" s="98" t="s">
        <v>87</v>
      </c>
    </row>
    <row r="14" spans="1:24" s="109" customFormat="1" ht="17.25" customHeight="1" x14ac:dyDescent="0.3">
      <c r="A14" s="105"/>
      <c r="B14" s="108" t="s">
        <v>590</v>
      </c>
    </row>
    <row r="15" spans="1:24" ht="7.5" customHeight="1" x14ac:dyDescent="0.3"/>
    <row r="16" spans="1:24" ht="13.8" x14ac:dyDescent="0.3">
      <c r="B16" s="110" t="s">
        <v>88</v>
      </c>
      <c r="C16" s="111" t="s">
        <v>89</v>
      </c>
      <c r="D16" s="111"/>
      <c r="E16" s="111"/>
      <c r="F16" s="111"/>
      <c r="G16" s="111"/>
    </row>
    <row r="18" spans="3:4" ht="13.8" x14ac:dyDescent="0.3">
      <c r="C18" s="112" t="s">
        <v>90</v>
      </c>
      <c r="D18" s="112" t="s">
        <v>91</v>
      </c>
    </row>
    <row r="19" spans="3:4" ht="13.8" x14ac:dyDescent="0.3">
      <c r="D19" s="83" t="s">
        <v>92</v>
      </c>
    </row>
    <row r="20" spans="3:4" ht="13.8" x14ac:dyDescent="0.3">
      <c r="D20" s="83" t="s">
        <v>93</v>
      </c>
    </row>
    <row r="21" spans="3:4" ht="13.8" x14ac:dyDescent="0.3">
      <c r="C21" s="112"/>
      <c r="D21" s="83" t="s">
        <v>94</v>
      </c>
    </row>
    <row r="22" spans="3:4" ht="13.8" x14ac:dyDescent="0.3">
      <c r="D22" s="83" t="s">
        <v>95</v>
      </c>
    </row>
    <row r="23" spans="3:4" ht="13.8" x14ac:dyDescent="0.3">
      <c r="D23" s="83" t="s">
        <v>96</v>
      </c>
    </row>
    <row r="24" spans="3:4" ht="13.8" x14ac:dyDescent="0.3">
      <c r="D24" s="83" t="s">
        <v>97</v>
      </c>
    </row>
    <row r="25" spans="3:4" ht="13.8" x14ac:dyDescent="0.3">
      <c r="D25" s="83" t="s">
        <v>98</v>
      </c>
    </row>
    <row r="26" spans="3:4" ht="13.8" x14ac:dyDescent="0.3">
      <c r="D26" s="83" t="s">
        <v>99</v>
      </c>
    </row>
    <row r="27" spans="3:4" ht="13.8" x14ac:dyDescent="0.3">
      <c r="D27" s="83" t="s">
        <v>100</v>
      </c>
    </row>
    <row r="28" spans="3:4" ht="13.8" x14ac:dyDescent="0.3">
      <c r="D28" s="83" t="s">
        <v>101</v>
      </c>
    </row>
    <row r="29" spans="3:4" ht="13.8" x14ac:dyDescent="0.3">
      <c r="D29" s="83" t="s">
        <v>102</v>
      </c>
    </row>
    <row r="30" spans="3:4" ht="13.8" x14ac:dyDescent="0.3">
      <c r="D30" s="83" t="s">
        <v>103</v>
      </c>
    </row>
    <row r="31" spans="3:4" ht="13.8" x14ac:dyDescent="0.3">
      <c r="D31" s="83" t="s">
        <v>104</v>
      </c>
    </row>
    <row r="32" spans="3:4" ht="13.8" x14ac:dyDescent="0.3">
      <c r="D32" s="83" t="s">
        <v>105</v>
      </c>
    </row>
    <row r="33" spans="3:8" ht="13.8" x14ac:dyDescent="0.3">
      <c r="D33" s="83" t="s">
        <v>106</v>
      </c>
    </row>
    <row r="34" spans="3:8" ht="13.8" x14ac:dyDescent="0.3">
      <c r="D34" s="83" t="s">
        <v>107</v>
      </c>
    </row>
    <row r="35" spans="3:8" ht="13.8" x14ac:dyDescent="0.3">
      <c r="D35" s="83" t="s">
        <v>108</v>
      </c>
    </row>
    <row r="36" spans="3:8" ht="13.8" x14ac:dyDescent="0.3">
      <c r="D36" s="83" t="s">
        <v>109</v>
      </c>
    </row>
    <row r="37" spans="3:8" ht="13.8" x14ac:dyDescent="0.3">
      <c r="D37" s="83" t="s">
        <v>110</v>
      </c>
    </row>
    <row r="38" spans="3:8" ht="13.8" x14ac:dyDescent="0.3">
      <c r="D38" s="83" t="s">
        <v>111</v>
      </c>
    </row>
    <row r="39" spans="3:8" ht="13.8" x14ac:dyDescent="0.3">
      <c r="D39" s="83" t="s">
        <v>112</v>
      </c>
    </row>
    <row r="40" spans="3:8" ht="13.8" x14ac:dyDescent="0.3">
      <c r="D40" s="83" t="s">
        <v>113</v>
      </c>
    </row>
    <row r="41" spans="3:8" ht="13.8" x14ac:dyDescent="0.3">
      <c r="D41" s="83" t="s">
        <v>114</v>
      </c>
    </row>
    <row r="42" spans="3:8" ht="13.8" x14ac:dyDescent="0.3">
      <c r="D42" s="111" t="s">
        <v>115</v>
      </c>
      <c r="E42" s="111"/>
      <c r="F42" s="111"/>
      <c r="G42" s="111"/>
      <c r="H42" s="111"/>
    </row>
    <row r="44" spans="3:8" ht="13.8" x14ac:dyDescent="0.3">
      <c r="C44" s="112" t="s">
        <v>116</v>
      </c>
      <c r="D44" s="112" t="s">
        <v>117</v>
      </c>
    </row>
    <row r="45" spans="3:8" ht="13.8" x14ac:dyDescent="0.3">
      <c r="D45" s="83" t="s">
        <v>118</v>
      </c>
    </row>
    <row r="46" spans="3:8" ht="13.8" x14ac:dyDescent="0.3">
      <c r="D46" s="83" t="s">
        <v>119</v>
      </c>
    </row>
    <row r="47" spans="3:8" ht="13.8" x14ac:dyDescent="0.3">
      <c r="D47" s="111" t="s">
        <v>115</v>
      </c>
      <c r="E47" s="111"/>
      <c r="F47" s="111"/>
      <c r="G47" s="111"/>
      <c r="H47" s="111"/>
    </row>
    <row r="49" spans="3:8" ht="13.8" x14ac:dyDescent="0.3">
      <c r="C49" s="112" t="s">
        <v>120</v>
      </c>
      <c r="D49" s="112" t="s">
        <v>577</v>
      </c>
    </row>
    <row r="50" spans="3:8" ht="13.8" x14ac:dyDescent="0.3">
      <c r="D50" s="83" t="s">
        <v>121</v>
      </c>
    </row>
    <row r="51" spans="3:8" ht="13.8" x14ac:dyDescent="0.3">
      <c r="D51" s="83" t="s">
        <v>122</v>
      </c>
    </row>
    <row r="52" spans="3:8" ht="13.8" x14ac:dyDescent="0.3">
      <c r="E52" s="83" t="s">
        <v>578</v>
      </c>
    </row>
    <row r="53" spans="3:8" ht="13.8" x14ac:dyDescent="0.3">
      <c r="E53" s="83" t="s">
        <v>579</v>
      </c>
    </row>
    <row r="54" spans="3:8" ht="13.8" x14ac:dyDescent="0.3">
      <c r="D54" s="83" t="s">
        <v>123</v>
      </c>
    </row>
    <row r="55" spans="3:8" ht="13.8" x14ac:dyDescent="0.3">
      <c r="D55" s="111" t="s">
        <v>115</v>
      </c>
      <c r="E55" s="111"/>
      <c r="F55" s="111"/>
      <c r="G55" s="111"/>
      <c r="H55" s="111"/>
    </row>
    <row r="57" spans="3:8" ht="13.8" x14ac:dyDescent="0.3">
      <c r="C57" s="112" t="s">
        <v>124</v>
      </c>
      <c r="D57" s="112" t="s">
        <v>125</v>
      </c>
    </row>
    <row r="58" spans="3:8" ht="13.8" x14ac:dyDescent="0.3">
      <c r="D58" s="83" t="s">
        <v>126</v>
      </c>
    </row>
    <row r="59" spans="3:8" ht="13.8" x14ac:dyDescent="0.3">
      <c r="D59" s="111" t="s">
        <v>115</v>
      </c>
      <c r="E59" s="111"/>
      <c r="F59" s="111"/>
      <c r="G59" s="111"/>
      <c r="H59" s="111"/>
    </row>
    <row r="61" spans="3:8" ht="13.8" x14ac:dyDescent="0.3">
      <c r="C61" s="112" t="s">
        <v>127</v>
      </c>
      <c r="D61" s="112" t="s">
        <v>128</v>
      </c>
    </row>
    <row r="62" spans="3:8" ht="13.8" x14ac:dyDescent="0.3">
      <c r="D62" s="83" t="s">
        <v>129</v>
      </c>
    </row>
    <row r="63" spans="3:8" ht="13.8" x14ac:dyDescent="0.3">
      <c r="D63" s="83" t="s">
        <v>130</v>
      </c>
    </row>
    <row r="64" spans="3:8" ht="13.8" x14ac:dyDescent="0.3">
      <c r="D64" s="83" t="s">
        <v>131</v>
      </c>
    </row>
    <row r="65" spans="1:8" ht="13.8" x14ac:dyDescent="0.3">
      <c r="D65" s="111" t="s">
        <v>115</v>
      </c>
      <c r="E65" s="111"/>
      <c r="F65" s="111"/>
      <c r="G65" s="111"/>
      <c r="H65" s="111"/>
    </row>
    <row r="66" spans="1:8" ht="19.5" customHeight="1" x14ac:dyDescent="0.3"/>
    <row r="67" spans="1:8" ht="13.8" x14ac:dyDescent="0.3">
      <c r="A67" s="105" t="s">
        <v>132</v>
      </c>
      <c r="B67" s="98" t="s">
        <v>133</v>
      </c>
    </row>
    <row r="68" spans="1:8" ht="13.8" x14ac:dyDescent="0.3">
      <c r="A68" s="105"/>
      <c r="B68" s="98" t="s">
        <v>87</v>
      </c>
    </row>
    <row r="69" spans="1:8" s="109" customFormat="1" ht="18" customHeight="1" x14ac:dyDescent="0.3">
      <c r="A69" s="97"/>
      <c r="B69" s="105" t="s">
        <v>134</v>
      </c>
      <c r="C69" s="109" t="s">
        <v>135</v>
      </c>
    </row>
    <row r="70" spans="1:8" ht="13.8" x14ac:dyDescent="0.3">
      <c r="B70" s="110" t="s">
        <v>136</v>
      </c>
      <c r="C70" s="113" t="s">
        <v>137</v>
      </c>
      <c r="D70" s="113"/>
      <c r="E70" s="113"/>
      <c r="F70" s="113"/>
      <c r="G70" s="113"/>
    </row>
    <row r="71" spans="1:8" ht="24.75" customHeight="1" x14ac:dyDescent="0.3"/>
    <row r="72" spans="1:8" s="109" customFormat="1" ht="15" customHeight="1" x14ac:dyDescent="0.3">
      <c r="A72" s="105" t="s">
        <v>138</v>
      </c>
      <c r="B72" s="114" t="s">
        <v>139</v>
      </c>
    </row>
    <row r="73" spans="1:8" s="109" customFormat="1" ht="15.75" customHeight="1" x14ac:dyDescent="0.3">
      <c r="A73" s="97"/>
      <c r="B73" s="105" t="s">
        <v>140</v>
      </c>
      <c r="C73" s="115" t="s">
        <v>141</v>
      </c>
    </row>
    <row r="74" spans="1:8" ht="13.8" x14ac:dyDescent="0.3">
      <c r="B74" s="110" t="s">
        <v>142</v>
      </c>
      <c r="C74" s="116" t="s">
        <v>143</v>
      </c>
      <c r="D74" s="116"/>
      <c r="E74" s="116"/>
      <c r="F74" s="116"/>
    </row>
    <row r="75" spans="1:8" ht="24.75" customHeight="1" x14ac:dyDescent="0.3"/>
    <row r="76" spans="1:8" ht="13.8" x14ac:dyDescent="0.3">
      <c r="A76" s="105" t="s">
        <v>144</v>
      </c>
      <c r="B76" s="98" t="s">
        <v>145</v>
      </c>
    </row>
    <row r="77" spans="1:8" s="109" customFormat="1" ht="16.5" customHeight="1" x14ac:dyDescent="0.3">
      <c r="A77" s="97"/>
      <c r="B77" s="105" t="s">
        <v>146</v>
      </c>
      <c r="C77" s="115" t="s">
        <v>147</v>
      </c>
    </row>
    <row r="78" spans="1:8" s="109" customFormat="1" ht="14.25" customHeight="1" x14ac:dyDescent="0.3">
      <c r="A78" s="97"/>
      <c r="B78" s="105" t="s">
        <v>148</v>
      </c>
      <c r="C78" s="534" t="s">
        <v>137</v>
      </c>
      <c r="D78" s="534"/>
      <c r="E78" s="534"/>
      <c r="F78" s="534"/>
      <c r="G78" s="534"/>
    </row>
    <row r="79" spans="1:8" s="109" customFormat="1" ht="23.25" customHeight="1" x14ac:dyDescent="0.3">
      <c r="A79" s="97"/>
      <c r="B79" s="105"/>
      <c r="C79" s="117"/>
      <c r="D79" s="117"/>
      <c r="E79" s="117"/>
      <c r="F79" s="117"/>
      <c r="G79" s="117"/>
    </row>
  </sheetData>
  <sheetProtection algorithmName="SHA-512" hashValue="K7ZcHf5jwp+XYO29a3DavTQWBLxLrk0B29p2JJ+RCu6rxk2plufyiKtKzbA5gTHBVqJsemOMrYqMK2iMsyWDfQ==" saltValue="a3GxOk84wFklxoZ5ODrs7w==" spinCount="100000" sheet="1" objects="1" scenarios="1"/>
  <mergeCells count="1">
    <mergeCell ref="A4:X4"/>
  </mergeCells>
  <printOptions horizontalCentered="1" verticalCentered="1"/>
  <pageMargins left="0.51180555555555596" right="0.51180555555555596" top="0.78749999999999998" bottom="0.78749999999999998" header="0.511811023622047" footer="0.511811023622047"/>
  <pageSetup paperSize="9" scale="43" fitToHeight="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T78"/>
  <sheetViews>
    <sheetView showGridLines="0" view="pageBreakPreview" topLeftCell="B1" zoomScale="55" zoomScaleNormal="100" zoomScaleSheetLayoutView="55" workbookViewId="0">
      <selection activeCell="G44" sqref="G44"/>
    </sheetView>
  </sheetViews>
  <sheetFormatPr defaultColWidth="9.109375" defaultRowHeight="14.25" customHeight="1" x14ac:dyDescent="0.3"/>
  <cols>
    <col min="1" max="1" width="9.88671875" style="1" customWidth="1"/>
    <col min="2" max="2" width="10.44140625" style="1" customWidth="1"/>
    <col min="3" max="3" width="39.33203125" style="1" customWidth="1"/>
    <col min="4" max="4" width="12" style="1" customWidth="1"/>
    <col min="5" max="5" width="15.6640625" style="1" customWidth="1"/>
    <col min="6" max="6" width="14.88671875" style="1" customWidth="1"/>
    <col min="7" max="7" width="14" style="1" customWidth="1"/>
    <col min="8" max="8" width="13.5546875" style="1" customWidth="1"/>
    <col min="9" max="9" width="13.44140625" style="1" customWidth="1"/>
    <col min="10" max="10" width="13.5546875" style="2" customWidth="1"/>
    <col min="11" max="11" width="18.33203125" style="2" customWidth="1"/>
    <col min="12" max="12" width="13.33203125" style="1" customWidth="1"/>
    <col min="13" max="13" width="15.109375" style="1" customWidth="1"/>
    <col min="14" max="14" width="9.6640625" style="1" customWidth="1"/>
    <col min="15" max="15" width="12.6640625" style="1" customWidth="1"/>
    <col min="16" max="17" width="13.5546875" style="1" customWidth="1"/>
    <col min="18" max="18" width="15" style="1" customWidth="1"/>
    <col min="19" max="254" width="9.109375" style="1"/>
    <col min="255" max="255" width="9.88671875" style="1" customWidth="1"/>
    <col min="256" max="256" width="10.44140625" style="1" customWidth="1"/>
    <col min="257" max="257" width="39.33203125" style="1" customWidth="1"/>
    <col min="258" max="258" width="15" style="1" customWidth="1"/>
    <col min="259" max="259" width="11" style="1" customWidth="1"/>
    <col min="260" max="260" width="11.109375" style="1" customWidth="1"/>
    <col min="261" max="261" width="12.88671875" style="1" customWidth="1"/>
    <col min="262" max="262" width="13.109375" style="1" customWidth="1"/>
    <col min="263" max="266" width="14.109375" style="1" customWidth="1"/>
    <col min="267" max="267" width="14.44140625" style="1" customWidth="1"/>
    <col min="268" max="268" width="9.6640625" style="1" customWidth="1"/>
    <col min="269" max="269" width="12.6640625" style="1" customWidth="1"/>
    <col min="270" max="272" width="13.5546875" style="1" customWidth="1"/>
    <col min="273" max="273" width="12.109375" style="1" customWidth="1"/>
    <col min="274" max="274" width="15" style="1" customWidth="1"/>
    <col min="275" max="510" width="9.109375" style="1"/>
    <col min="511" max="511" width="9.88671875" style="1" customWidth="1"/>
    <col min="512" max="512" width="10.44140625" style="1" customWidth="1"/>
    <col min="513" max="513" width="39.33203125" style="1" customWidth="1"/>
    <col min="514" max="514" width="15" style="1" customWidth="1"/>
    <col min="515" max="515" width="11" style="1" customWidth="1"/>
    <col min="516" max="516" width="11.109375" style="1" customWidth="1"/>
    <col min="517" max="517" width="12.88671875" style="1" customWidth="1"/>
    <col min="518" max="518" width="13.109375" style="1" customWidth="1"/>
    <col min="519" max="522" width="14.109375" style="1" customWidth="1"/>
    <col min="523" max="523" width="14.44140625" style="1" customWidth="1"/>
    <col min="524" max="524" width="9.6640625" style="1" customWidth="1"/>
    <col min="525" max="525" width="12.6640625" style="1" customWidth="1"/>
    <col min="526" max="528" width="13.5546875" style="1" customWidth="1"/>
    <col min="529" max="529" width="12.109375" style="1" customWidth="1"/>
    <col min="530" max="530" width="15" style="1" customWidth="1"/>
    <col min="531" max="766" width="9.109375" style="1"/>
    <col min="767" max="767" width="9.88671875" style="1" customWidth="1"/>
    <col min="768" max="768" width="10.44140625" style="1" customWidth="1"/>
    <col min="769" max="769" width="39.33203125" style="1" customWidth="1"/>
    <col min="770" max="770" width="15" style="1" customWidth="1"/>
    <col min="771" max="771" width="11" style="1" customWidth="1"/>
    <col min="772" max="772" width="11.109375" style="1" customWidth="1"/>
    <col min="773" max="773" width="12.88671875" style="1" customWidth="1"/>
    <col min="774" max="774" width="13.109375" style="1" customWidth="1"/>
    <col min="775" max="778" width="14.109375" style="1" customWidth="1"/>
    <col min="779" max="779" width="14.44140625" style="1" customWidth="1"/>
    <col min="780" max="780" width="9.6640625" style="1" customWidth="1"/>
    <col min="781" max="781" width="12.6640625" style="1" customWidth="1"/>
    <col min="782" max="784" width="13.5546875" style="1" customWidth="1"/>
    <col min="785" max="785" width="12.109375" style="1" customWidth="1"/>
    <col min="786" max="786" width="15" style="1" customWidth="1"/>
    <col min="787" max="1022" width="9.109375" style="1"/>
    <col min="1023" max="1023" width="9.88671875" style="1" customWidth="1"/>
    <col min="1024" max="1024" width="10.44140625" style="1" customWidth="1"/>
    <col min="1025" max="1025" width="39.33203125" style="1" customWidth="1"/>
    <col min="1026" max="1026" width="15" style="1" customWidth="1"/>
    <col min="1027" max="1027" width="11" style="1" customWidth="1"/>
    <col min="1028" max="1028" width="11.109375" style="1" customWidth="1"/>
    <col min="1029" max="1029" width="12.88671875" style="1" customWidth="1"/>
    <col min="1030" max="1030" width="13.109375" style="1" customWidth="1"/>
    <col min="1031" max="1034" width="14.109375" style="1" customWidth="1"/>
    <col min="1035" max="1035" width="14.44140625" style="1" customWidth="1"/>
    <col min="1036" max="1036" width="9.6640625" style="1" customWidth="1"/>
    <col min="1037" max="1037" width="12.6640625" style="1" customWidth="1"/>
    <col min="1038" max="1040" width="13.5546875" style="1" customWidth="1"/>
    <col min="1041" max="1041" width="12.109375" style="1" customWidth="1"/>
    <col min="1042" max="1042" width="15" style="1" customWidth="1"/>
    <col min="1043" max="1278" width="9.109375" style="1"/>
    <col min="1279" max="1279" width="9.88671875" style="1" customWidth="1"/>
    <col min="1280" max="1280" width="10.44140625" style="1" customWidth="1"/>
    <col min="1281" max="1281" width="39.33203125" style="1" customWidth="1"/>
    <col min="1282" max="1282" width="15" style="1" customWidth="1"/>
    <col min="1283" max="1283" width="11" style="1" customWidth="1"/>
    <col min="1284" max="1284" width="11.109375" style="1" customWidth="1"/>
    <col min="1285" max="1285" width="12.88671875" style="1" customWidth="1"/>
    <col min="1286" max="1286" width="13.109375" style="1" customWidth="1"/>
    <col min="1287" max="1290" width="14.109375" style="1" customWidth="1"/>
    <col min="1291" max="1291" width="14.44140625" style="1" customWidth="1"/>
    <col min="1292" max="1292" width="9.6640625" style="1" customWidth="1"/>
    <col min="1293" max="1293" width="12.6640625" style="1" customWidth="1"/>
    <col min="1294" max="1296" width="13.5546875" style="1" customWidth="1"/>
    <col min="1297" max="1297" width="12.109375" style="1" customWidth="1"/>
    <col min="1298" max="1298" width="15" style="1" customWidth="1"/>
    <col min="1299" max="1534" width="9.109375" style="1"/>
    <col min="1535" max="1535" width="9.88671875" style="1" customWidth="1"/>
    <col min="1536" max="1536" width="10.44140625" style="1" customWidth="1"/>
    <col min="1537" max="1537" width="39.33203125" style="1" customWidth="1"/>
    <col min="1538" max="1538" width="15" style="1" customWidth="1"/>
    <col min="1539" max="1539" width="11" style="1" customWidth="1"/>
    <col min="1540" max="1540" width="11.109375" style="1" customWidth="1"/>
    <col min="1541" max="1541" width="12.88671875" style="1" customWidth="1"/>
    <col min="1542" max="1542" width="13.109375" style="1" customWidth="1"/>
    <col min="1543" max="1546" width="14.109375" style="1" customWidth="1"/>
    <col min="1547" max="1547" width="14.44140625" style="1" customWidth="1"/>
    <col min="1548" max="1548" width="9.6640625" style="1" customWidth="1"/>
    <col min="1549" max="1549" width="12.6640625" style="1" customWidth="1"/>
    <col min="1550" max="1552" width="13.5546875" style="1" customWidth="1"/>
    <col min="1553" max="1553" width="12.109375" style="1" customWidth="1"/>
    <col min="1554" max="1554" width="15" style="1" customWidth="1"/>
    <col min="1555" max="1790" width="9.109375" style="1"/>
    <col min="1791" max="1791" width="9.88671875" style="1" customWidth="1"/>
    <col min="1792" max="1792" width="10.44140625" style="1" customWidth="1"/>
    <col min="1793" max="1793" width="39.33203125" style="1" customWidth="1"/>
    <col min="1794" max="1794" width="15" style="1" customWidth="1"/>
    <col min="1795" max="1795" width="11" style="1" customWidth="1"/>
    <col min="1796" max="1796" width="11.109375" style="1" customWidth="1"/>
    <col min="1797" max="1797" width="12.88671875" style="1" customWidth="1"/>
    <col min="1798" max="1798" width="13.109375" style="1" customWidth="1"/>
    <col min="1799" max="1802" width="14.109375" style="1" customWidth="1"/>
    <col min="1803" max="1803" width="14.44140625" style="1" customWidth="1"/>
    <col min="1804" max="1804" width="9.6640625" style="1" customWidth="1"/>
    <col min="1805" max="1805" width="12.6640625" style="1" customWidth="1"/>
    <col min="1806" max="1808" width="13.5546875" style="1" customWidth="1"/>
    <col min="1809" max="1809" width="12.109375" style="1" customWidth="1"/>
    <col min="1810" max="1810" width="15" style="1" customWidth="1"/>
    <col min="1811" max="2046" width="9.109375" style="1"/>
    <col min="2047" max="2047" width="9.88671875" style="1" customWidth="1"/>
    <col min="2048" max="2048" width="10.44140625" style="1" customWidth="1"/>
    <col min="2049" max="2049" width="39.33203125" style="1" customWidth="1"/>
    <col min="2050" max="2050" width="15" style="1" customWidth="1"/>
    <col min="2051" max="2051" width="11" style="1" customWidth="1"/>
    <col min="2052" max="2052" width="11.109375" style="1" customWidth="1"/>
    <col min="2053" max="2053" width="12.88671875" style="1" customWidth="1"/>
    <col min="2054" max="2054" width="13.109375" style="1" customWidth="1"/>
    <col min="2055" max="2058" width="14.109375" style="1" customWidth="1"/>
    <col min="2059" max="2059" width="14.44140625" style="1" customWidth="1"/>
    <col min="2060" max="2060" width="9.6640625" style="1" customWidth="1"/>
    <col min="2061" max="2061" width="12.6640625" style="1" customWidth="1"/>
    <col min="2062" max="2064" width="13.5546875" style="1" customWidth="1"/>
    <col min="2065" max="2065" width="12.109375" style="1" customWidth="1"/>
    <col min="2066" max="2066" width="15" style="1" customWidth="1"/>
    <col min="2067" max="2302" width="9.109375" style="1"/>
    <col min="2303" max="2303" width="9.88671875" style="1" customWidth="1"/>
    <col min="2304" max="2304" width="10.44140625" style="1" customWidth="1"/>
    <col min="2305" max="2305" width="39.33203125" style="1" customWidth="1"/>
    <col min="2306" max="2306" width="15" style="1" customWidth="1"/>
    <col min="2307" max="2307" width="11" style="1" customWidth="1"/>
    <col min="2308" max="2308" width="11.109375" style="1" customWidth="1"/>
    <col min="2309" max="2309" width="12.88671875" style="1" customWidth="1"/>
    <col min="2310" max="2310" width="13.109375" style="1" customWidth="1"/>
    <col min="2311" max="2314" width="14.109375" style="1" customWidth="1"/>
    <col min="2315" max="2315" width="14.44140625" style="1" customWidth="1"/>
    <col min="2316" max="2316" width="9.6640625" style="1" customWidth="1"/>
    <col min="2317" max="2317" width="12.6640625" style="1" customWidth="1"/>
    <col min="2318" max="2320" width="13.5546875" style="1" customWidth="1"/>
    <col min="2321" max="2321" width="12.109375" style="1" customWidth="1"/>
    <col min="2322" max="2322" width="15" style="1" customWidth="1"/>
    <col min="2323" max="2558" width="9.109375" style="1"/>
    <col min="2559" max="2559" width="9.88671875" style="1" customWidth="1"/>
    <col min="2560" max="2560" width="10.44140625" style="1" customWidth="1"/>
    <col min="2561" max="2561" width="39.33203125" style="1" customWidth="1"/>
    <col min="2562" max="2562" width="15" style="1" customWidth="1"/>
    <col min="2563" max="2563" width="11" style="1" customWidth="1"/>
    <col min="2564" max="2564" width="11.109375" style="1" customWidth="1"/>
    <col min="2565" max="2565" width="12.88671875" style="1" customWidth="1"/>
    <col min="2566" max="2566" width="13.109375" style="1" customWidth="1"/>
    <col min="2567" max="2570" width="14.109375" style="1" customWidth="1"/>
    <col min="2571" max="2571" width="14.44140625" style="1" customWidth="1"/>
    <col min="2572" max="2572" width="9.6640625" style="1" customWidth="1"/>
    <col min="2573" max="2573" width="12.6640625" style="1" customWidth="1"/>
    <col min="2574" max="2576" width="13.5546875" style="1" customWidth="1"/>
    <col min="2577" max="2577" width="12.109375" style="1" customWidth="1"/>
    <col min="2578" max="2578" width="15" style="1" customWidth="1"/>
    <col min="2579" max="2814" width="9.109375" style="1"/>
    <col min="2815" max="2815" width="9.88671875" style="1" customWidth="1"/>
    <col min="2816" max="2816" width="10.44140625" style="1" customWidth="1"/>
    <col min="2817" max="2817" width="39.33203125" style="1" customWidth="1"/>
    <col min="2818" max="2818" width="15" style="1" customWidth="1"/>
    <col min="2819" max="2819" width="11" style="1" customWidth="1"/>
    <col min="2820" max="2820" width="11.109375" style="1" customWidth="1"/>
    <col min="2821" max="2821" width="12.88671875" style="1" customWidth="1"/>
    <col min="2822" max="2822" width="13.109375" style="1" customWidth="1"/>
    <col min="2823" max="2826" width="14.109375" style="1" customWidth="1"/>
    <col min="2827" max="2827" width="14.44140625" style="1" customWidth="1"/>
    <col min="2828" max="2828" width="9.6640625" style="1" customWidth="1"/>
    <col min="2829" max="2829" width="12.6640625" style="1" customWidth="1"/>
    <col min="2830" max="2832" width="13.5546875" style="1" customWidth="1"/>
    <col min="2833" max="2833" width="12.109375" style="1" customWidth="1"/>
    <col min="2834" max="2834" width="15" style="1" customWidth="1"/>
    <col min="2835" max="3070" width="9.109375" style="1"/>
    <col min="3071" max="3071" width="9.88671875" style="1" customWidth="1"/>
    <col min="3072" max="3072" width="10.44140625" style="1" customWidth="1"/>
    <col min="3073" max="3073" width="39.33203125" style="1" customWidth="1"/>
    <col min="3074" max="3074" width="15" style="1" customWidth="1"/>
    <col min="3075" max="3075" width="11" style="1" customWidth="1"/>
    <col min="3076" max="3076" width="11.109375" style="1" customWidth="1"/>
    <col min="3077" max="3077" width="12.88671875" style="1" customWidth="1"/>
    <col min="3078" max="3078" width="13.109375" style="1" customWidth="1"/>
    <col min="3079" max="3082" width="14.109375" style="1" customWidth="1"/>
    <col min="3083" max="3083" width="14.44140625" style="1" customWidth="1"/>
    <col min="3084" max="3084" width="9.6640625" style="1" customWidth="1"/>
    <col min="3085" max="3085" width="12.6640625" style="1" customWidth="1"/>
    <col min="3086" max="3088" width="13.5546875" style="1" customWidth="1"/>
    <col min="3089" max="3089" width="12.109375" style="1" customWidth="1"/>
    <col min="3090" max="3090" width="15" style="1" customWidth="1"/>
    <col min="3091" max="3326" width="9.109375" style="1"/>
    <col min="3327" max="3327" width="9.88671875" style="1" customWidth="1"/>
    <col min="3328" max="3328" width="10.44140625" style="1" customWidth="1"/>
    <col min="3329" max="3329" width="39.33203125" style="1" customWidth="1"/>
    <col min="3330" max="3330" width="15" style="1" customWidth="1"/>
    <col min="3331" max="3331" width="11" style="1" customWidth="1"/>
    <col min="3332" max="3332" width="11.109375" style="1" customWidth="1"/>
    <col min="3333" max="3333" width="12.88671875" style="1" customWidth="1"/>
    <col min="3334" max="3334" width="13.109375" style="1" customWidth="1"/>
    <col min="3335" max="3338" width="14.109375" style="1" customWidth="1"/>
    <col min="3339" max="3339" width="14.44140625" style="1" customWidth="1"/>
    <col min="3340" max="3340" width="9.6640625" style="1" customWidth="1"/>
    <col min="3341" max="3341" width="12.6640625" style="1" customWidth="1"/>
    <col min="3342" max="3344" width="13.5546875" style="1" customWidth="1"/>
    <col min="3345" max="3345" width="12.109375" style="1" customWidth="1"/>
    <col min="3346" max="3346" width="15" style="1" customWidth="1"/>
    <col min="3347" max="3582" width="9.109375" style="1"/>
    <col min="3583" max="3583" width="9.88671875" style="1" customWidth="1"/>
    <col min="3584" max="3584" width="10.44140625" style="1" customWidth="1"/>
    <col min="3585" max="3585" width="39.33203125" style="1" customWidth="1"/>
    <col min="3586" max="3586" width="15" style="1" customWidth="1"/>
    <col min="3587" max="3587" width="11" style="1" customWidth="1"/>
    <col min="3588" max="3588" width="11.109375" style="1" customWidth="1"/>
    <col min="3589" max="3589" width="12.88671875" style="1" customWidth="1"/>
    <col min="3590" max="3590" width="13.109375" style="1" customWidth="1"/>
    <col min="3591" max="3594" width="14.109375" style="1" customWidth="1"/>
    <col min="3595" max="3595" width="14.44140625" style="1" customWidth="1"/>
    <col min="3596" max="3596" width="9.6640625" style="1" customWidth="1"/>
    <col min="3597" max="3597" width="12.6640625" style="1" customWidth="1"/>
    <col min="3598" max="3600" width="13.5546875" style="1" customWidth="1"/>
    <col min="3601" max="3601" width="12.109375" style="1" customWidth="1"/>
    <col min="3602" max="3602" width="15" style="1" customWidth="1"/>
    <col min="3603" max="3838" width="9.109375" style="1"/>
    <col min="3839" max="3839" width="9.88671875" style="1" customWidth="1"/>
    <col min="3840" max="3840" width="10.44140625" style="1" customWidth="1"/>
    <col min="3841" max="3841" width="39.33203125" style="1" customWidth="1"/>
    <col min="3842" max="3842" width="15" style="1" customWidth="1"/>
    <col min="3843" max="3843" width="11" style="1" customWidth="1"/>
    <col min="3844" max="3844" width="11.109375" style="1" customWidth="1"/>
    <col min="3845" max="3845" width="12.88671875" style="1" customWidth="1"/>
    <col min="3846" max="3846" width="13.109375" style="1" customWidth="1"/>
    <col min="3847" max="3850" width="14.109375" style="1" customWidth="1"/>
    <col min="3851" max="3851" width="14.44140625" style="1" customWidth="1"/>
    <col min="3852" max="3852" width="9.6640625" style="1" customWidth="1"/>
    <col min="3853" max="3853" width="12.6640625" style="1" customWidth="1"/>
    <col min="3854" max="3856" width="13.5546875" style="1" customWidth="1"/>
    <col min="3857" max="3857" width="12.109375" style="1" customWidth="1"/>
    <col min="3858" max="3858" width="15" style="1" customWidth="1"/>
    <col min="3859" max="4094" width="9.109375" style="1"/>
    <col min="4095" max="4095" width="9.88671875" style="1" customWidth="1"/>
    <col min="4096" max="4096" width="10.44140625" style="1" customWidth="1"/>
    <col min="4097" max="4097" width="39.33203125" style="1" customWidth="1"/>
    <col min="4098" max="4098" width="15" style="1" customWidth="1"/>
    <col min="4099" max="4099" width="11" style="1" customWidth="1"/>
    <col min="4100" max="4100" width="11.109375" style="1" customWidth="1"/>
    <col min="4101" max="4101" width="12.88671875" style="1" customWidth="1"/>
    <col min="4102" max="4102" width="13.109375" style="1" customWidth="1"/>
    <col min="4103" max="4106" width="14.109375" style="1" customWidth="1"/>
    <col min="4107" max="4107" width="14.44140625" style="1" customWidth="1"/>
    <col min="4108" max="4108" width="9.6640625" style="1" customWidth="1"/>
    <col min="4109" max="4109" width="12.6640625" style="1" customWidth="1"/>
    <col min="4110" max="4112" width="13.5546875" style="1" customWidth="1"/>
    <col min="4113" max="4113" width="12.109375" style="1" customWidth="1"/>
    <col min="4114" max="4114" width="15" style="1" customWidth="1"/>
    <col min="4115" max="4350" width="9.109375" style="1"/>
    <col min="4351" max="4351" width="9.88671875" style="1" customWidth="1"/>
    <col min="4352" max="4352" width="10.44140625" style="1" customWidth="1"/>
    <col min="4353" max="4353" width="39.33203125" style="1" customWidth="1"/>
    <col min="4354" max="4354" width="15" style="1" customWidth="1"/>
    <col min="4355" max="4355" width="11" style="1" customWidth="1"/>
    <col min="4356" max="4356" width="11.109375" style="1" customWidth="1"/>
    <col min="4357" max="4357" width="12.88671875" style="1" customWidth="1"/>
    <col min="4358" max="4358" width="13.109375" style="1" customWidth="1"/>
    <col min="4359" max="4362" width="14.109375" style="1" customWidth="1"/>
    <col min="4363" max="4363" width="14.44140625" style="1" customWidth="1"/>
    <col min="4364" max="4364" width="9.6640625" style="1" customWidth="1"/>
    <col min="4365" max="4365" width="12.6640625" style="1" customWidth="1"/>
    <col min="4366" max="4368" width="13.5546875" style="1" customWidth="1"/>
    <col min="4369" max="4369" width="12.109375" style="1" customWidth="1"/>
    <col min="4370" max="4370" width="15" style="1" customWidth="1"/>
    <col min="4371" max="4606" width="9.109375" style="1"/>
    <col min="4607" max="4607" width="9.88671875" style="1" customWidth="1"/>
    <col min="4608" max="4608" width="10.44140625" style="1" customWidth="1"/>
    <col min="4609" max="4609" width="39.33203125" style="1" customWidth="1"/>
    <col min="4610" max="4610" width="15" style="1" customWidth="1"/>
    <col min="4611" max="4611" width="11" style="1" customWidth="1"/>
    <col min="4612" max="4612" width="11.109375" style="1" customWidth="1"/>
    <col min="4613" max="4613" width="12.88671875" style="1" customWidth="1"/>
    <col min="4614" max="4614" width="13.109375" style="1" customWidth="1"/>
    <col min="4615" max="4618" width="14.109375" style="1" customWidth="1"/>
    <col min="4619" max="4619" width="14.44140625" style="1" customWidth="1"/>
    <col min="4620" max="4620" width="9.6640625" style="1" customWidth="1"/>
    <col min="4621" max="4621" width="12.6640625" style="1" customWidth="1"/>
    <col min="4622" max="4624" width="13.5546875" style="1" customWidth="1"/>
    <col min="4625" max="4625" width="12.109375" style="1" customWidth="1"/>
    <col min="4626" max="4626" width="15" style="1" customWidth="1"/>
    <col min="4627" max="4862" width="9.109375" style="1"/>
    <col min="4863" max="4863" width="9.88671875" style="1" customWidth="1"/>
    <col min="4864" max="4864" width="10.44140625" style="1" customWidth="1"/>
    <col min="4865" max="4865" width="39.33203125" style="1" customWidth="1"/>
    <col min="4866" max="4866" width="15" style="1" customWidth="1"/>
    <col min="4867" max="4867" width="11" style="1" customWidth="1"/>
    <col min="4868" max="4868" width="11.109375" style="1" customWidth="1"/>
    <col min="4869" max="4869" width="12.88671875" style="1" customWidth="1"/>
    <col min="4870" max="4870" width="13.109375" style="1" customWidth="1"/>
    <col min="4871" max="4874" width="14.109375" style="1" customWidth="1"/>
    <col min="4875" max="4875" width="14.44140625" style="1" customWidth="1"/>
    <col min="4876" max="4876" width="9.6640625" style="1" customWidth="1"/>
    <col min="4877" max="4877" width="12.6640625" style="1" customWidth="1"/>
    <col min="4878" max="4880" width="13.5546875" style="1" customWidth="1"/>
    <col min="4881" max="4881" width="12.109375" style="1" customWidth="1"/>
    <col min="4882" max="4882" width="15" style="1" customWidth="1"/>
    <col min="4883" max="5118" width="9.109375" style="1"/>
    <col min="5119" max="5119" width="9.88671875" style="1" customWidth="1"/>
    <col min="5120" max="5120" width="10.44140625" style="1" customWidth="1"/>
    <col min="5121" max="5121" width="39.33203125" style="1" customWidth="1"/>
    <col min="5122" max="5122" width="15" style="1" customWidth="1"/>
    <col min="5123" max="5123" width="11" style="1" customWidth="1"/>
    <col min="5124" max="5124" width="11.109375" style="1" customWidth="1"/>
    <col min="5125" max="5125" width="12.88671875" style="1" customWidth="1"/>
    <col min="5126" max="5126" width="13.109375" style="1" customWidth="1"/>
    <col min="5127" max="5130" width="14.109375" style="1" customWidth="1"/>
    <col min="5131" max="5131" width="14.44140625" style="1" customWidth="1"/>
    <col min="5132" max="5132" width="9.6640625" style="1" customWidth="1"/>
    <col min="5133" max="5133" width="12.6640625" style="1" customWidth="1"/>
    <col min="5134" max="5136" width="13.5546875" style="1" customWidth="1"/>
    <col min="5137" max="5137" width="12.109375" style="1" customWidth="1"/>
    <col min="5138" max="5138" width="15" style="1" customWidth="1"/>
    <col min="5139" max="5374" width="9.109375" style="1"/>
    <col min="5375" max="5375" width="9.88671875" style="1" customWidth="1"/>
    <col min="5376" max="5376" width="10.44140625" style="1" customWidth="1"/>
    <col min="5377" max="5377" width="39.33203125" style="1" customWidth="1"/>
    <col min="5378" max="5378" width="15" style="1" customWidth="1"/>
    <col min="5379" max="5379" width="11" style="1" customWidth="1"/>
    <col min="5380" max="5380" width="11.109375" style="1" customWidth="1"/>
    <col min="5381" max="5381" width="12.88671875" style="1" customWidth="1"/>
    <col min="5382" max="5382" width="13.109375" style="1" customWidth="1"/>
    <col min="5383" max="5386" width="14.109375" style="1" customWidth="1"/>
    <col min="5387" max="5387" width="14.44140625" style="1" customWidth="1"/>
    <col min="5388" max="5388" width="9.6640625" style="1" customWidth="1"/>
    <col min="5389" max="5389" width="12.6640625" style="1" customWidth="1"/>
    <col min="5390" max="5392" width="13.5546875" style="1" customWidth="1"/>
    <col min="5393" max="5393" width="12.109375" style="1" customWidth="1"/>
    <col min="5394" max="5394" width="15" style="1" customWidth="1"/>
    <col min="5395" max="5630" width="9.109375" style="1"/>
    <col min="5631" max="5631" width="9.88671875" style="1" customWidth="1"/>
    <col min="5632" max="5632" width="10.44140625" style="1" customWidth="1"/>
    <col min="5633" max="5633" width="39.33203125" style="1" customWidth="1"/>
    <col min="5634" max="5634" width="15" style="1" customWidth="1"/>
    <col min="5635" max="5635" width="11" style="1" customWidth="1"/>
    <col min="5636" max="5636" width="11.109375" style="1" customWidth="1"/>
    <col min="5637" max="5637" width="12.88671875" style="1" customWidth="1"/>
    <col min="5638" max="5638" width="13.109375" style="1" customWidth="1"/>
    <col min="5639" max="5642" width="14.109375" style="1" customWidth="1"/>
    <col min="5643" max="5643" width="14.44140625" style="1" customWidth="1"/>
    <col min="5644" max="5644" width="9.6640625" style="1" customWidth="1"/>
    <col min="5645" max="5645" width="12.6640625" style="1" customWidth="1"/>
    <col min="5646" max="5648" width="13.5546875" style="1" customWidth="1"/>
    <col min="5649" max="5649" width="12.109375" style="1" customWidth="1"/>
    <col min="5650" max="5650" width="15" style="1" customWidth="1"/>
    <col min="5651" max="5886" width="9.109375" style="1"/>
    <col min="5887" max="5887" width="9.88671875" style="1" customWidth="1"/>
    <col min="5888" max="5888" width="10.44140625" style="1" customWidth="1"/>
    <col min="5889" max="5889" width="39.33203125" style="1" customWidth="1"/>
    <col min="5890" max="5890" width="15" style="1" customWidth="1"/>
    <col min="5891" max="5891" width="11" style="1" customWidth="1"/>
    <col min="5892" max="5892" width="11.109375" style="1" customWidth="1"/>
    <col min="5893" max="5893" width="12.88671875" style="1" customWidth="1"/>
    <col min="5894" max="5894" width="13.109375" style="1" customWidth="1"/>
    <col min="5895" max="5898" width="14.109375" style="1" customWidth="1"/>
    <col min="5899" max="5899" width="14.44140625" style="1" customWidth="1"/>
    <col min="5900" max="5900" width="9.6640625" style="1" customWidth="1"/>
    <col min="5901" max="5901" width="12.6640625" style="1" customWidth="1"/>
    <col min="5902" max="5904" width="13.5546875" style="1" customWidth="1"/>
    <col min="5905" max="5905" width="12.109375" style="1" customWidth="1"/>
    <col min="5906" max="5906" width="15" style="1" customWidth="1"/>
    <col min="5907" max="6142" width="9.109375" style="1"/>
    <col min="6143" max="6143" width="9.88671875" style="1" customWidth="1"/>
    <col min="6144" max="6144" width="10.44140625" style="1" customWidth="1"/>
    <col min="6145" max="6145" width="39.33203125" style="1" customWidth="1"/>
    <col min="6146" max="6146" width="15" style="1" customWidth="1"/>
    <col min="6147" max="6147" width="11" style="1" customWidth="1"/>
    <col min="6148" max="6148" width="11.109375" style="1" customWidth="1"/>
    <col min="6149" max="6149" width="12.88671875" style="1" customWidth="1"/>
    <col min="6150" max="6150" width="13.109375" style="1" customWidth="1"/>
    <col min="6151" max="6154" width="14.109375" style="1" customWidth="1"/>
    <col min="6155" max="6155" width="14.44140625" style="1" customWidth="1"/>
    <col min="6156" max="6156" width="9.6640625" style="1" customWidth="1"/>
    <col min="6157" max="6157" width="12.6640625" style="1" customWidth="1"/>
    <col min="6158" max="6160" width="13.5546875" style="1" customWidth="1"/>
    <col min="6161" max="6161" width="12.109375" style="1" customWidth="1"/>
    <col min="6162" max="6162" width="15" style="1" customWidth="1"/>
    <col min="6163" max="6398" width="9.109375" style="1"/>
    <col min="6399" max="6399" width="9.88671875" style="1" customWidth="1"/>
    <col min="6400" max="6400" width="10.44140625" style="1" customWidth="1"/>
    <col min="6401" max="6401" width="39.33203125" style="1" customWidth="1"/>
    <col min="6402" max="6402" width="15" style="1" customWidth="1"/>
    <col min="6403" max="6403" width="11" style="1" customWidth="1"/>
    <col min="6404" max="6404" width="11.109375" style="1" customWidth="1"/>
    <col min="6405" max="6405" width="12.88671875" style="1" customWidth="1"/>
    <col min="6406" max="6406" width="13.109375" style="1" customWidth="1"/>
    <col min="6407" max="6410" width="14.109375" style="1" customWidth="1"/>
    <col min="6411" max="6411" width="14.44140625" style="1" customWidth="1"/>
    <col min="6412" max="6412" width="9.6640625" style="1" customWidth="1"/>
    <col min="6413" max="6413" width="12.6640625" style="1" customWidth="1"/>
    <col min="6414" max="6416" width="13.5546875" style="1" customWidth="1"/>
    <col min="6417" max="6417" width="12.109375" style="1" customWidth="1"/>
    <col min="6418" max="6418" width="15" style="1" customWidth="1"/>
    <col min="6419" max="6654" width="9.109375" style="1"/>
    <col min="6655" max="6655" width="9.88671875" style="1" customWidth="1"/>
    <col min="6656" max="6656" width="10.44140625" style="1" customWidth="1"/>
    <col min="6657" max="6657" width="39.33203125" style="1" customWidth="1"/>
    <col min="6658" max="6658" width="15" style="1" customWidth="1"/>
    <col min="6659" max="6659" width="11" style="1" customWidth="1"/>
    <col min="6660" max="6660" width="11.109375" style="1" customWidth="1"/>
    <col min="6661" max="6661" width="12.88671875" style="1" customWidth="1"/>
    <col min="6662" max="6662" width="13.109375" style="1" customWidth="1"/>
    <col min="6663" max="6666" width="14.109375" style="1" customWidth="1"/>
    <col min="6667" max="6667" width="14.44140625" style="1" customWidth="1"/>
    <col min="6668" max="6668" width="9.6640625" style="1" customWidth="1"/>
    <col min="6669" max="6669" width="12.6640625" style="1" customWidth="1"/>
    <col min="6670" max="6672" width="13.5546875" style="1" customWidth="1"/>
    <col min="6673" max="6673" width="12.109375" style="1" customWidth="1"/>
    <col min="6674" max="6674" width="15" style="1" customWidth="1"/>
    <col min="6675" max="6910" width="9.109375" style="1"/>
    <col min="6911" max="6911" width="9.88671875" style="1" customWidth="1"/>
    <col min="6912" max="6912" width="10.44140625" style="1" customWidth="1"/>
    <col min="6913" max="6913" width="39.33203125" style="1" customWidth="1"/>
    <col min="6914" max="6914" width="15" style="1" customWidth="1"/>
    <col min="6915" max="6915" width="11" style="1" customWidth="1"/>
    <col min="6916" max="6916" width="11.109375" style="1" customWidth="1"/>
    <col min="6917" max="6917" width="12.88671875" style="1" customWidth="1"/>
    <col min="6918" max="6918" width="13.109375" style="1" customWidth="1"/>
    <col min="6919" max="6922" width="14.109375" style="1" customWidth="1"/>
    <col min="6923" max="6923" width="14.44140625" style="1" customWidth="1"/>
    <col min="6924" max="6924" width="9.6640625" style="1" customWidth="1"/>
    <col min="6925" max="6925" width="12.6640625" style="1" customWidth="1"/>
    <col min="6926" max="6928" width="13.5546875" style="1" customWidth="1"/>
    <col min="6929" max="6929" width="12.109375" style="1" customWidth="1"/>
    <col min="6930" max="6930" width="15" style="1" customWidth="1"/>
    <col min="6931" max="7166" width="9.109375" style="1"/>
    <col min="7167" max="7167" width="9.88671875" style="1" customWidth="1"/>
    <col min="7168" max="7168" width="10.44140625" style="1" customWidth="1"/>
    <col min="7169" max="7169" width="39.33203125" style="1" customWidth="1"/>
    <col min="7170" max="7170" width="15" style="1" customWidth="1"/>
    <col min="7171" max="7171" width="11" style="1" customWidth="1"/>
    <col min="7172" max="7172" width="11.109375" style="1" customWidth="1"/>
    <col min="7173" max="7173" width="12.88671875" style="1" customWidth="1"/>
    <col min="7174" max="7174" width="13.109375" style="1" customWidth="1"/>
    <col min="7175" max="7178" width="14.109375" style="1" customWidth="1"/>
    <col min="7179" max="7179" width="14.44140625" style="1" customWidth="1"/>
    <col min="7180" max="7180" width="9.6640625" style="1" customWidth="1"/>
    <col min="7181" max="7181" width="12.6640625" style="1" customWidth="1"/>
    <col min="7182" max="7184" width="13.5546875" style="1" customWidth="1"/>
    <col min="7185" max="7185" width="12.109375" style="1" customWidth="1"/>
    <col min="7186" max="7186" width="15" style="1" customWidth="1"/>
    <col min="7187" max="7422" width="9.109375" style="1"/>
    <col min="7423" max="7423" width="9.88671875" style="1" customWidth="1"/>
    <col min="7424" max="7424" width="10.44140625" style="1" customWidth="1"/>
    <col min="7425" max="7425" width="39.33203125" style="1" customWidth="1"/>
    <col min="7426" max="7426" width="15" style="1" customWidth="1"/>
    <col min="7427" max="7427" width="11" style="1" customWidth="1"/>
    <col min="7428" max="7428" width="11.109375" style="1" customWidth="1"/>
    <col min="7429" max="7429" width="12.88671875" style="1" customWidth="1"/>
    <col min="7430" max="7430" width="13.109375" style="1" customWidth="1"/>
    <col min="7431" max="7434" width="14.109375" style="1" customWidth="1"/>
    <col min="7435" max="7435" width="14.44140625" style="1" customWidth="1"/>
    <col min="7436" max="7436" width="9.6640625" style="1" customWidth="1"/>
    <col min="7437" max="7437" width="12.6640625" style="1" customWidth="1"/>
    <col min="7438" max="7440" width="13.5546875" style="1" customWidth="1"/>
    <col min="7441" max="7441" width="12.109375" style="1" customWidth="1"/>
    <col min="7442" max="7442" width="15" style="1" customWidth="1"/>
    <col min="7443" max="7678" width="9.109375" style="1"/>
    <col min="7679" max="7679" width="9.88671875" style="1" customWidth="1"/>
    <col min="7680" max="7680" width="10.44140625" style="1" customWidth="1"/>
    <col min="7681" max="7681" width="39.33203125" style="1" customWidth="1"/>
    <col min="7682" max="7682" width="15" style="1" customWidth="1"/>
    <col min="7683" max="7683" width="11" style="1" customWidth="1"/>
    <col min="7684" max="7684" width="11.109375" style="1" customWidth="1"/>
    <col min="7685" max="7685" width="12.88671875" style="1" customWidth="1"/>
    <col min="7686" max="7686" width="13.109375" style="1" customWidth="1"/>
    <col min="7687" max="7690" width="14.109375" style="1" customWidth="1"/>
    <col min="7691" max="7691" width="14.44140625" style="1" customWidth="1"/>
    <col min="7692" max="7692" width="9.6640625" style="1" customWidth="1"/>
    <col min="7693" max="7693" width="12.6640625" style="1" customWidth="1"/>
    <col min="7694" max="7696" width="13.5546875" style="1" customWidth="1"/>
    <col min="7697" max="7697" width="12.109375" style="1" customWidth="1"/>
    <col min="7698" max="7698" width="15" style="1" customWidth="1"/>
    <col min="7699" max="7934" width="9.109375" style="1"/>
    <col min="7935" max="7935" width="9.88671875" style="1" customWidth="1"/>
    <col min="7936" max="7936" width="10.44140625" style="1" customWidth="1"/>
    <col min="7937" max="7937" width="39.33203125" style="1" customWidth="1"/>
    <col min="7938" max="7938" width="15" style="1" customWidth="1"/>
    <col min="7939" max="7939" width="11" style="1" customWidth="1"/>
    <col min="7940" max="7940" width="11.109375" style="1" customWidth="1"/>
    <col min="7941" max="7941" width="12.88671875" style="1" customWidth="1"/>
    <col min="7942" max="7942" width="13.109375" style="1" customWidth="1"/>
    <col min="7943" max="7946" width="14.109375" style="1" customWidth="1"/>
    <col min="7947" max="7947" width="14.44140625" style="1" customWidth="1"/>
    <col min="7948" max="7948" width="9.6640625" style="1" customWidth="1"/>
    <col min="7949" max="7949" width="12.6640625" style="1" customWidth="1"/>
    <col min="7950" max="7952" width="13.5546875" style="1" customWidth="1"/>
    <col min="7953" max="7953" width="12.109375" style="1" customWidth="1"/>
    <col min="7954" max="7954" width="15" style="1" customWidth="1"/>
    <col min="7955" max="8190" width="9.109375" style="1"/>
    <col min="8191" max="8191" width="9.88671875" style="1" customWidth="1"/>
    <col min="8192" max="8192" width="10.44140625" style="1" customWidth="1"/>
    <col min="8193" max="8193" width="39.33203125" style="1" customWidth="1"/>
    <col min="8194" max="8194" width="15" style="1" customWidth="1"/>
    <col min="8195" max="8195" width="11" style="1" customWidth="1"/>
    <col min="8196" max="8196" width="11.109375" style="1" customWidth="1"/>
    <col min="8197" max="8197" width="12.88671875" style="1" customWidth="1"/>
    <col min="8198" max="8198" width="13.109375" style="1" customWidth="1"/>
    <col min="8199" max="8202" width="14.109375" style="1" customWidth="1"/>
    <col min="8203" max="8203" width="14.44140625" style="1" customWidth="1"/>
    <col min="8204" max="8204" width="9.6640625" style="1" customWidth="1"/>
    <col min="8205" max="8205" width="12.6640625" style="1" customWidth="1"/>
    <col min="8206" max="8208" width="13.5546875" style="1" customWidth="1"/>
    <col min="8209" max="8209" width="12.109375" style="1" customWidth="1"/>
    <col min="8210" max="8210" width="15" style="1" customWidth="1"/>
    <col min="8211" max="8446" width="9.109375" style="1"/>
    <col min="8447" max="8447" width="9.88671875" style="1" customWidth="1"/>
    <col min="8448" max="8448" width="10.44140625" style="1" customWidth="1"/>
    <col min="8449" max="8449" width="39.33203125" style="1" customWidth="1"/>
    <col min="8450" max="8450" width="15" style="1" customWidth="1"/>
    <col min="8451" max="8451" width="11" style="1" customWidth="1"/>
    <col min="8452" max="8452" width="11.109375" style="1" customWidth="1"/>
    <col min="8453" max="8453" width="12.88671875" style="1" customWidth="1"/>
    <col min="8454" max="8454" width="13.109375" style="1" customWidth="1"/>
    <col min="8455" max="8458" width="14.109375" style="1" customWidth="1"/>
    <col min="8459" max="8459" width="14.44140625" style="1" customWidth="1"/>
    <col min="8460" max="8460" width="9.6640625" style="1" customWidth="1"/>
    <col min="8461" max="8461" width="12.6640625" style="1" customWidth="1"/>
    <col min="8462" max="8464" width="13.5546875" style="1" customWidth="1"/>
    <col min="8465" max="8465" width="12.109375" style="1" customWidth="1"/>
    <col min="8466" max="8466" width="15" style="1" customWidth="1"/>
    <col min="8467" max="8702" width="9.109375" style="1"/>
    <col min="8703" max="8703" width="9.88671875" style="1" customWidth="1"/>
    <col min="8704" max="8704" width="10.44140625" style="1" customWidth="1"/>
    <col min="8705" max="8705" width="39.33203125" style="1" customWidth="1"/>
    <col min="8706" max="8706" width="15" style="1" customWidth="1"/>
    <col min="8707" max="8707" width="11" style="1" customWidth="1"/>
    <col min="8708" max="8708" width="11.109375" style="1" customWidth="1"/>
    <col min="8709" max="8709" width="12.88671875" style="1" customWidth="1"/>
    <col min="8710" max="8710" width="13.109375" style="1" customWidth="1"/>
    <col min="8711" max="8714" width="14.109375" style="1" customWidth="1"/>
    <col min="8715" max="8715" width="14.44140625" style="1" customWidth="1"/>
    <col min="8716" max="8716" width="9.6640625" style="1" customWidth="1"/>
    <col min="8717" max="8717" width="12.6640625" style="1" customWidth="1"/>
    <col min="8718" max="8720" width="13.5546875" style="1" customWidth="1"/>
    <col min="8721" max="8721" width="12.109375" style="1" customWidth="1"/>
    <col min="8722" max="8722" width="15" style="1" customWidth="1"/>
    <col min="8723" max="8958" width="9.109375" style="1"/>
    <col min="8959" max="8959" width="9.88671875" style="1" customWidth="1"/>
    <col min="8960" max="8960" width="10.44140625" style="1" customWidth="1"/>
    <col min="8961" max="8961" width="39.33203125" style="1" customWidth="1"/>
    <col min="8962" max="8962" width="15" style="1" customWidth="1"/>
    <col min="8963" max="8963" width="11" style="1" customWidth="1"/>
    <col min="8964" max="8964" width="11.109375" style="1" customWidth="1"/>
    <col min="8965" max="8965" width="12.88671875" style="1" customWidth="1"/>
    <col min="8966" max="8966" width="13.109375" style="1" customWidth="1"/>
    <col min="8967" max="8970" width="14.109375" style="1" customWidth="1"/>
    <col min="8971" max="8971" width="14.44140625" style="1" customWidth="1"/>
    <col min="8972" max="8972" width="9.6640625" style="1" customWidth="1"/>
    <col min="8973" max="8973" width="12.6640625" style="1" customWidth="1"/>
    <col min="8974" max="8976" width="13.5546875" style="1" customWidth="1"/>
    <col min="8977" max="8977" width="12.109375" style="1" customWidth="1"/>
    <col min="8978" max="8978" width="15" style="1" customWidth="1"/>
    <col min="8979" max="9214" width="9.109375" style="1"/>
    <col min="9215" max="9215" width="9.88671875" style="1" customWidth="1"/>
    <col min="9216" max="9216" width="10.44140625" style="1" customWidth="1"/>
    <col min="9217" max="9217" width="39.33203125" style="1" customWidth="1"/>
    <col min="9218" max="9218" width="15" style="1" customWidth="1"/>
    <col min="9219" max="9219" width="11" style="1" customWidth="1"/>
    <col min="9220" max="9220" width="11.109375" style="1" customWidth="1"/>
    <col min="9221" max="9221" width="12.88671875" style="1" customWidth="1"/>
    <col min="9222" max="9222" width="13.109375" style="1" customWidth="1"/>
    <col min="9223" max="9226" width="14.109375" style="1" customWidth="1"/>
    <col min="9227" max="9227" width="14.44140625" style="1" customWidth="1"/>
    <col min="9228" max="9228" width="9.6640625" style="1" customWidth="1"/>
    <col min="9229" max="9229" width="12.6640625" style="1" customWidth="1"/>
    <col min="9230" max="9232" width="13.5546875" style="1" customWidth="1"/>
    <col min="9233" max="9233" width="12.109375" style="1" customWidth="1"/>
    <col min="9234" max="9234" width="15" style="1" customWidth="1"/>
    <col min="9235" max="9470" width="9.109375" style="1"/>
    <col min="9471" max="9471" width="9.88671875" style="1" customWidth="1"/>
    <col min="9472" max="9472" width="10.44140625" style="1" customWidth="1"/>
    <col min="9473" max="9473" width="39.33203125" style="1" customWidth="1"/>
    <col min="9474" max="9474" width="15" style="1" customWidth="1"/>
    <col min="9475" max="9475" width="11" style="1" customWidth="1"/>
    <col min="9476" max="9476" width="11.109375" style="1" customWidth="1"/>
    <col min="9477" max="9477" width="12.88671875" style="1" customWidth="1"/>
    <col min="9478" max="9478" width="13.109375" style="1" customWidth="1"/>
    <col min="9479" max="9482" width="14.109375" style="1" customWidth="1"/>
    <col min="9483" max="9483" width="14.44140625" style="1" customWidth="1"/>
    <col min="9484" max="9484" width="9.6640625" style="1" customWidth="1"/>
    <col min="9485" max="9485" width="12.6640625" style="1" customWidth="1"/>
    <col min="9486" max="9488" width="13.5546875" style="1" customWidth="1"/>
    <col min="9489" max="9489" width="12.109375" style="1" customWidth="1"/>
    <col min="9490" max="9490" width="15" style="1" customWidth="1"/>
    <col min="9491" max="9726" width="9.109375" style="1"/>
    <col min="9727" max="9727" width="9.88671875" style="1" customWidth="1"/>
    <col min="9728" max="9728" width="10.44140625" style="1" customWidth="1"/>
    <col min="9729" max="9729" width="39.33203125" style="1" customWidth="1"/>
    <col min="9730" max="9730" width="15" style="1" customWidth="1"/>
    <col min="9731" max="9731" width="11" style="1" customWidth="1"/>
    <col min="9732" max="9732" width="11.109375" style="1" customWidth="1"/>
    <col min="9733" max="9733" width="12.88671875" style="1" customWidth="1"/>
    <col min="9734" max="9734" width="13.109375" style="1" customWidth="1"/>
    <col min="9735" max="9738" width="14.109375" style="1" customWidth="1"/>
    <col min="9739" max="9739" width="14.44140625" style="1" customWidth="1"/>
    <col min="9740" max="9740" width="9.6640625" style="1" customWidth="1"/>
    <col min="9741" max="9741" width="12.6640625" style="1" customWidth="1"/>
    <col min="9742" max="9744" width="13.5546875" style="1" customWidth="1"/>
    <col min="9745" max="9745" width="12.109375" style="1" customWidth="1"/>
    <col min="9746" max="9746" width="15" style="1" customWidth="1"/>
    <col min="9747" max="9982" width="9.109375" style="1"/>
    <col min="9983" max="9983" width="9.88671875" style="1" customWidth="1"/>
    <col min="9984" max="9984" width="10.44140625" style="1" customWidth="1"/>
    <col min="9985" max="9985" width="39.33203125" style="1" customWidth="1"/>
    <col min="9986" max="9986" width="15" style="1" customWidth="1"/>
    <col min="9987" max="9987" width="11" style="1" customWidth="1"/>
    <col min="9988" max="9988" width="11.109375" style="1" customWidth="1"/>
    <col min="9989" max="9989" width="12.88671875" style="1" customWidth="1"/>
    <col min="9990" max="9990" width="13.109375" style="1" customWidth="1"/>
    <col min="9991" max="9994" width="14.109375" style="1" customWidth="1"/>
    <col min="9995" max="9995" width="14.44140625" style="1" customWidth="1"/>
    <col min="9996" max="9996" width="9.6640625" style="1" customWidth="1"/>
    <col min="9997" max="9997" width="12.6640625" style="1" customWidth="1"/>
    <col min="9998" max="10000" width="13.5546875" style="1" customWidth="1"/>
    <col min="10001" max="10001" width="12.109375" style="1" customWidth="1"/>
    <col min="10002" max="10002" width="15" style="1" customWidth="1"/>
    <col min="10003" max="10238" width="9.109375" style="1"/>
    <col min="10239" max="10239" width="9.88671875" style="1" customWidth="1"/>
    <col min="10240" max="10240" width="10.44140625" style="1" customWidth="1"/>
    <col min="10241" max="10241" width="39.33203125" style="1" customWidth="1"/>
    <col min="10242" max="10242" width="15" style="1" customWidth="1"/>
    <col min="10243" max="10243" width="11" style="1" customWidth="1"/>
    <col min="10244" max="10244" width="11.109375" style="1" customWidth="1"/>
    <col min="10245" max="10245" width="12.88671875" style="1" customWidth="1"/>
    <col min="10246" max="10246" width="13.109375" style="1" customWidth="1"/>
    <col min="10247" max="10250" width="14.109375" style="1" customWidth="1"/>
    <col min="10251" max="10251" width="14.44140625" style="1" customWidth="1"/>
    <col min="10252" max="10252" width="9.6640625" style="1" customWidth="1"/>
    <col min="10253" max="10253" width="12.6640625" style="1" customWidth="1"/>
    <col min="10254" max="10256" width="13.5546875" style="1" customWidth="1"/>
    <col min="10257" max="10257" width="12.109375" style="1" customWidth="1"/>
    <col min="10258" max="10258" width="15" style="1" customWidth="1"/>
    <col min="10259" max="10494" width="9.109375" style="1"/>
    <col min="10495" max="10495" width="9.88671875" style="1" customWidth="1"/>
    <col min="10496" max="10496" width="10.44140625" style="1" customWidth="1"/>
    <col min="10497" max="10497" width="39.33203125" style="1" customWidth="1"/>
    <col min="10498" max="10498" width="15" style="1" customWidth="1"/>
    <col min="10499" max="10499" width="11" style="1" customWidth="1"/>
    <col min="10500" max="10500" width="11.109375" style="1" customWidth="1"/>
    <col min="10501" max="10501" width="12.88671875" style="1" customWidth="1"/>
    <col min="10502" max="10502" width="13.109375" style="1" customWidth="1"/>
    <col min="10503" max="10506" width="14.109375" style="1" customWidth="1"/>
    <col min="10507" max="10507" width="14.44140625" style="1" customWidth="1"/>
    <col min="10508" max="10508" width="9.6640625" style="1" customWidth="1"/>
    <col min="10509" max="10509" width="12.6640625" style="1" customWidth="1"/>
    <col min="10510" max="10512" width="13.5546875" style="1" customWidth="1"/>
    <col min="10513" max="10513" width="12.109375" style="1" customWidth="1"/>
    <col min="10514" max="10514" width="15" style="1" customWidth="1"/>
    <col min="10515" max="10750" width="9.109375" style="1"/>
    <col min="10751" max="10751" width="9.88671875" style="1" customWidth="1"/>
    <col min="10752" max="10752" width="10.44140625" style="1" customWidth="1"/>
    <col min="10753" max="10753" width="39.33203125" style="1" customWidth="1"/>
    <col min="10754" max="10754" width="15" style="1" customWidth="1"/>
    <col min="10755" max="10755" width="11" style="1" customWidth="1"/>
    <col min="10756" max="10756" width="11.109375" style="1" customWidth="1"/>
    <col min="10757" max="10757" width="12.88671875" style="1" customWidth="1"/>
    <col min="10758" max="10758" width="13.109375" style="1" customWidth="1"/>
    <col min="10759" max="10762" width="14.109375" style="1" customWidth="1"/>
    <col min="10763" max="10763" width="14.44140625" style="1" customWidth="1"/>
    <col min="10764" max="10764" width="9.6640625" style="1" customWidth="1"/>
    <col min="10765" max="10765" width="12.6640625" style="1" customWidth="1"/>
    <col min="10766" max="10768" width="13.5546875" style="1" customWidth="1"/>
    <col min="10769" max="10769" width="12.109375" style="1" customWidth="1"/>
    <col min="10770" max="10770" width="15" style="1" customWidth="1"/>
    <col min="10771" max="11006" width="9.109375" style="1"/>
    <col min="11007" max="11007" width="9.88671875" style="1" customWidth="1"/>
    <col min="11008" max="11008" width="10.44140625" style="1" customWidth="1"/>
    <col min="11009" max="11009" width="39.33203125" style="1" customWidth="1"/>
    <col min="11010" max="11010" width="15" style="1" customWidth="1"/>
    <col min="11011" max="11011" width="11" style="1" customWidth="1"/>
    <col min="11012" max="11012" width="11.109375" style="1" customWidth="1"/>
    <col min="11013" max="11013" width="12.88671875" style="1" customWidth="1"/>
    <col min="11014" max="11014" width="13.109375" style="1" customWidth="1"/>
    <col min="11015" max="11018" width="14.109375" style="1" customWidth="1"/>
    <col min="11019" max="11019" width="14.44140625" style="1" customWidth="1"/>
    <col min="11020" max="11020" width="9.6640625" style="1" customWidth="1"/>
    <col min="11021" max="11021" width="12.6640625" style="1" customWidth="1"/>
    <col min="11022" max="11024" width="13.5546875" style="1" customWidth="1"/>
    <col min="11025" max="11025" width="12.109375" style="1" customWidth="1"/>
    <col min="11026" max="11026" width="15" style="1" customWidth="1"/>
    <col min="11027" max="11262" width="9.109375" style="1"/>
    <col min="11263" max="11263" width="9.88671875" style="1" customWidth="1"/>
    <col min="11264" max="11264" width="10.44140625" style="1" customWidth="1"/>
    <col min="11265" max="11265" width="39.33203125" style="1" customWidth="1"/>
    <col min="11266" max="11266" width="15" style="1" customWidth="1"/>
    <col min="11267" max="11267" width="11" style="1" customWidth="1"/>
    <col min="11268" max="11268" width="11.109375" style="1" customWidth="1"/>
    <col min="11269" max="11269" width="12.88671875" style="1" customWidth="1"/>
    <col min="11270" max="11270" width="13.109375" style="1" customWidth="1"/>
    <col min="11271" max="11274" width="14.109375" style="1" customWidth="1"/>
    <col min="11275" max="11275" width="14.44140625" style="1" customWidth="1"/>
    <col min="11276" max="11276" width="9.6640625" style="1" customWidth="1"/>
    <col min="11277" max="11277" width="12.6640625" style="1" customWidth="1"/>
    <col min="11278" max="11280" width="13.5546875" style="1" customWidth="1"/>
    <col min="11281" max="11281" width="12.109375" style="1" customWidth="1"/>
    <col min="11282" max="11282" width="15" style="1" customWidth="1"/>
    <col min="11283" max="11518" width="9.109375" style="1"/>
    <col min="11519" max="11519" width="9.88671875" style="1" customWidth="1"/>
    <col min="11520" max="11520" width="10.44140625" style="1" customWidth="1"/>
    <col min="11521" max="11521" width="39.33203125" style="1" customWidth="1"/>
    <col min="11522" max="11522" width="15" style="1" customWidth="1"/>
    <col min="11523" max="11523" width="11" style="1" customWidth="1"/>
    <col min="11524" max="11524" width="11.109375" style="1" customWidth="1"/>
    <col min="11525" max="11525" width="12.88671875" style="1" customWidth="1"/>
    <col min="11526" max="11526" width="13.109375" style="1" customWidth="1"/>
    <col min="11527" max="11530" width="14.109375" style="1" customWidth="1"/>
    <col min="11531" max="11531" width="14.44140625" style="1" customWidth="1"/>
    <col min="11532" max="11532" width="9.6640625" style="1" customWidth="1"/>
    <col min="11533" max="11533" width="12.6640625" style="1" customWidth="1"/>
    <col min="11534" max="11536" width="13.5546875" style="1" customWidth="1"/>
    <col min="11537" max="11537" width="12.109375" style="1" customWidth="1"/>
    <col min="11538" max="11538" width="15" style="1" customWidth="1"/>
    <col min="11539" max="11774" width="9.109375" style="1"/>
    <col min="11775" max="11775" width="9.88671875" style="1" customWidth="1"/>
    <col min="11776" max="11776" width="10.44140625" style="1" customWidth="1"/>
    <col min="11777" max="11777" width="39.33203125" style="1" customWidth="1"/>
    <col min="11778" max="11778" width="15" style="1" customWidth="1"/>
    <col min="11779" max="11779" width="11" style="1" customWidth="1"/>
    <col min="11780" max="11780" width="11.109375" style="1" customWidth="1"/>
    <col min="11781" max="11781" width="12.88671875" style="1" customWidth="1"/>
    <col min="11782" max="11782" width="13.109375" style="1" customWidth="1"/>
    <col min="11783" max="11786" width="14.109375" style="1" customWidth="1"/>
    <col min="11787" max="11787" width="14.44140625" style="1" customWidth="1"/>
    <col min="11788" max="11788" width="9.6640625" style="1" customWidth="1"/>
    <col min="11789" max="11789" width="12.6640625" style="1" customWidth="1"/>
    <col min="11790" max="11792" width="13.5546875" style="1" customWidth="1"/>
    <col min="11793" max="11793" width="12.109375" style="1" customWidth="1"/>
    <col min="11794" max="11794" width="15" style="1" customWidth="1"/>
    <col min="11795" max="12030" width="9.109375" style="1"/>
    <col min="12031" max="12031" width="9.88671875" style="1" customWidth="1"/>
    <col min="12032" max="12032" width="10.44140625" style="1" customWidth="1"/>
    <col min="12033" max="12033" width="39.33203125" style="1" customWidth="1"/>
    <col min="12034" max="12034" width="15" style="1" customWidth="1"/>
    <col min="12035" max="12035" width="11" style="1" customWidth="1"/>
    <col min="12036" max="12036" width="11.109375" style="1" customWidth="1"/>
    <col min="12037" max="12037" width="12.88671875" style="1" customWidth="1"/>
    <col min="12038" max="12038" width="13.109375" style="1" customWidth="1"/>
    <col min="12039" max="12042" width="14.109375" style="1" customWidth="1"/>
    <col min="12043" max="12043" width="14.44140625" style="1" customWidth="1"/>
    <col min="12044" max="12044" width="9.6640625" style="1" customWidth="1"/>
    <col min="12045" max="12045" width="12.6640625" style="1" customWidth="1"/>
    <col min="12046" max="12048" width="13.5546875" style="1" customWidth="1"/>
    <col min="12049" max="12049" width="12.109375" style="1" customWidth="1"/>
    <col min="12050" max="12050" width="15" style="1" customWidth="1"/>
    <col min="12051" max="12286" width="9.109375" style="1"/>
    <col min="12287" max="12287" width="9.88671875" style="1" customWidth="1"/>
    <col min="12288" max="12288" width="10.44140625" style="1" customWidth="1"/>
    <col min="12289" max="12289" width="39.33203125" style="1" customWidth="1"/>
    <col min="12290" max="12290" width="15" style="1" customWidth="1"/>
    <col min="12291" max="12291" width="11" style="1" customWidth="1"/>
    <col min="12292" max="12292" width="11.109375" style="1" customWidth="1"/>
    <col min="12293" max="12293" width="12.88671875" style="1" customWidth="1"/>
    <col min="12294" max="12294" width="13.109375" style="1" customWidth="1"/>
    <col min="12295" max="12298" width="14.109375" style="1" customWidth="1"/>
    <col min="12299" max="12299" width="14.44140625" style="1" customWidth="1"/>
    <col min="12300" max="12300" width="9.6640625" style="1" customWidth="1"/>
    <col min="12301" max="12301" width="12.6640625" style="1" customWidth="1"/>
    <col min="12302" max="12304" width="13.5546875" style="1" customWidth="1"/>
    <col min="12305" max="12305" width="12.109375" style="1" customWidth="1"/>
    <col min="12306" max="12306" width="15" style="1" customWidth="1"/>
    <col min="12307" max="12542" width="9.109375" style="1"/>
    <col min="12543" max="12543" width="9.88671875" style="1" customWidth="1"/>
    <col min="12544" max="12544" width="10.44140625" style="1" customWidth="1"/>
    <col min="12545" max="12545" width="39.33203125" style="1" customWidth="1"/>
    <col min="12546" max="12546" width="15" style="1" customWidth="1"/>
    <col min="12547" max="12547" width="11" style="1" customWidth="1"/>
    <col min="12548" max="12548" width="11.109375" style="1" customWidth="1"/>
    <col min="12549" max="12549" width="12.88671875" style="1" customWidth="1"/>
    <col min="12550" max="12550" width="13.109375" style="1" customWidth="1"/>
    <col min="12551" max="12554" width="14.109375" style="1" customWidth="1"/>
    <col min="12555" max="12555" width="14.44140625" style="1" customWidth="1"/>
    <col min="12556" max="12556" width="9.6640625" style="1" customWidth="1"/>
    <col min="12557" max="12557" width="12.6640625" style="1" customWidth="1"/>
    <col min="12558" max="12560" width="13.5546875" style="1" customWidth="1"/>
    <col min="12561" max="12561" width="12.109375" style="1" customWidth="1"/>
    <col min="12562" max="12562" width="15" style="1" customWidth="1"/>
    <col min="12563" max="12798" width="9.109375" style="1"/>
    <col min="12799" max="12799" width="9.88671875" style="1" customWidth="1"/>
    <col min="12800" max="12800" width="10.44140625" style="1" customWidth="1"/>
    <col min="12801" max="12801" width="39.33203125" style="1" customWidth="1"/>
    <col min="12802" max="12802" width="15" style="1" customWidth="1"/>
    <col min="12803" max="12803" width="11" style="1" customWidth="1"/>
    <col min="12804" max="12804" width="11.109375" style="1" customWidth="1"/>
    <col min="12805" max="12805" width="12.88671875" style="1" customWidth="1"/>
    <col min="12806" max="12806" width="13.109375" style="1" customWidth="1"/>
    <col min="12807" max="12810" width="14.109375" style="1" customWidth="1"/>
    <col min="12811" max="12811" width="14.44140625" style="1" customWidth="1"/>
    <col min="12812" max="12812" width="9.6640625" style="1" customWidth="1"/>
    <col min="12813" max="12813" width="12.6640625" style="1" customWidth="1"/>
    <col min="12814" max="12816" width="13.5546875" style="1" customWidth="1"/>
    <col min="12817" max="12817" width="12.109375" style="1" customWidth="1"/>
    <col min="12818" max="12818" width="15" style="1" customWidth="1"/>
    <col min="12819" max="13054" width="9.109375" style="1"/>
    <col min="13055" max="13055" width="9.88671875" style="1" customWidth="1"/>
    <col min="13056" max="13056" width="10.44140625" style="1" customWidth="1"/>
    <col min="13057" max="13057" width="39.33203125" style="1" customWidth="1"/>
    <col min="13058" max="13058" width="15" style="1" customWidth="1"/>
    <col min="13059" max="13059" width="11" style="1" customWidth="1"/>
    <col min="13060" max="13060" width="11.109375" style="1" customWidth="1"/>
    <col min="13061" max="13061" width="12.88671875" style="1" customWidth="1"/>
    <col min="13062" max="13062" width="13.109375" style="1" customWidth="1"/>
    <col min="13063" max="13066" width="14.109375" style="1" customWidth="1"/>
    <col min="13067" max="13067" width="14.44140625" style="1" customWidth="1"/>
    <col min="13068" max="13068" width="9.6640625" style="1" customWidth="1"/>
    <col min="13069" max="13069" width="12.6640625" style="1" customWidth="1"/>
    <col min="13070" max="13072" width="13.5546875" style="1" customWidth="1"/>
    <col min="13073" max="13073" width="12.109375" style="1" customWidth="1"/>
    <col min="13074" max="13074" width="15" style="1" customWidth="1"/>
    <col min="13075" max="13310" width="9.109375" style="1"/>
    <col min="13311" max="13311" width="9.88671875" style="1" customWidth="1"/>
    <col min="13312" max="13312" width="10.44140625" style="1" customWidth="1"/>
    <col min="13313" max="13313" width="39.33203125" style="1" customWidth="1"/>
    <col min="13314" max="13314" width="15" style="1" customWidth="1"/>
    <col min="13315" max="13315" width="11" style="1" customWidth="1"/>
    <col min="13316" max="13316" width="11.109375" style="1" customWidth="1"/>
    <col min="13317" max="13317" width="12.88671875" style="1" customWidth="1"/>
    <col min="13318" max="13318" width="13.109375" style="1" customWidth="1"/>
    <col min="13319" max="13322" width="14.109375" style="1" customWidth="1"/>
    <col min="13323" max="13323" width="14.44140625" style="1" customWidth="1"/>
    <col min="13324" max="13324" width="9.6640625" style="1" customWidth="1"/>
    <col min="13325" max="13325" width="12.6640625" style="1" customWidth="1"/>
    <col min="13326" max="13328" width="13.5546875" style="1" customWidth="1"/>
    <col min="13329" max="13329" width="12.109375" style="1" customWidth="1"/>
    <col min="13330" max="13330" width="15" style="1" customWidth="1"/>
    <col min="13331" max="13566" width="9.109375" style="1"/>
    <col min="13567" max="13567" width="9.88671875" style="1" customWidth="1"/>
    <col min="13568" max="13568" width="10.44140625" style="1" customWidth="1"/>
    <col min="13569" max="13569" width="39.33203125" style="1" customWidth="1"/>
    <col min="13570" max="13570" width="15" style="1" customWidth="1"/>
    <col min="13571" max="13571" width="11" style="1" customWidth="1"/>
    <col min="13572" max="13572" width="11.109375" style="1" customWidth="1"/>
    <col min="13573" max="13573" width="12.88671875" style="1" customWidth="1"/>
    <col min="13574" max="13574" width="13.109375" style="1" customWidth="1"/>
    <col min="13575" max="13578" width="14.109375" style="1" customWidth="1"/>
    <col min="13579" max="13579" width="14.44140625" style="1" customWidth="1"/>
    <col min="13580" max="13580" width="9.6640625" style="1" customWidth="1"/>
    <col min="13581" max="13581" width="12.6640625" style="1" customWidth="1"/>
    <col min="13582" max="13584" width="13.5546875" style="1" customWidth="1"/>
    <col min="13585" max="13585" width="12.109375" style="1" customWidth="1"/>
    <col min="13586" max="13586" width="15" style="1" customWidth="1"/>
    <col min="13587" max="13822" width="9.109375" style="1"/>
    <col min="13823" max="13823" width="9.88671875" style="1" customWidth="1"/>
    <col min="13824" max="13824" width="10.44140625" style="1" customWidth="1"/>
    <col min="13825" max="13825" width="39.33203125" style="1" customWidth="1"/>
    <col min="13826" max="13826" width="15" style="1" customWidth="1"/>
    <col min="13827" max="13827" width="11" style="1" customWidth="1"/>
    <col min="13828" max="13828" width="11.109375" style="1" customWidth="1"/>
    <col min="13829" max="13829" width="12.88671875" style="1" customWidth="1"/>
    <col min="13830" max="13830" width="13.109375" style="1" customWidth="1"/>
    <col min="13831" max="13834" width="14.109375" style="1" customWidth="1"/>
    <col min="13835" max="13835" width="14.44140625" style="1" customWidth="1"/>
    <col min="13836" max="13836" width="9.6640625" style="1" customWidth="1"/>
    <col min="13837" max="13837" width="12.6640625" style="1" customWidth="1"/>
    <col min="13838" max="13840" width="13.5546875" style="1" customWidth="1"/>
    <col min="13841" max="13841" width="12.109375" style="1" customWidth="1"/>
    <col min="13842" max="13842" width="15" style="1" customWidth="1"/>
    <col min="13843" max="14078" width="9.109375" style="1"/>
    <col min="14079" max="14079" width="9.88671875" style="1" customWidth="1"/>
    <col min="14080" max="14080" width="10.44140625" style="1" customWidth="1"/>
    <col min="14081" max="14081" width="39.33203125" style="1" customWidth="1"/>
    <col min="14082" max="14082" width="15" style="1" customWidth="1"/>
    <col min="14083" max="14083" width="11" style="1" customWidth="1"/>
    <col min="14084" max="14084" width="11.109375" style="1" customWidth="1"/>
    <col min="14085" max="14085" width="12.88671875" style="1" customWidth="1"/>
    <col min="14086" max="14086" width="13.109375" style="1" customWidth="1"/>
    <col min="14087" max="14090" width="14.109375" style="1" customWidth="1"/>
    <col min="14091" max="14091" width="14.44140625" style="1" customWidth="1"/>
    <col min="14092" max="14092" width="9.6640625" style="1" customWidth="1"/>
    <col min="14093" max="14093" width="12.6640625" style="1" customWidth="1"/>
    <col min="14094" max="14096" width="13.5546875" style="1" customWidth="1"/>
    <col min="14097" max="14097" width="12.109375" style="1" customWidth="1"/>
    <col min="14098" max="14098" width="15" style="1" customWidth="1"/>
    <col min="14099" max="14334" width="9.109375" style="1"/>
    <col min="14335" max="14335" width="9.88671875" style="1" customWidth="1"/>
    <col min="14336" max="14336" width="10.44140625" style="1" customWidth="1"/>
    <col min="14337" max="14337" width="39.33203125" style="1" customWidth="1"/>
    <col min="14338" max="14338" width="15" style="1" customWidth="1"/>
    <col min="14339" max="14339" width="11" style="1" customWidth="1"/>
    <col min="14340" max="14340" width="11.109375" style="1" customWidth="1"/>
    <col min="14341" max="14341" width="12.88671875" style="1" customWidth="1"/>
    <col min="14342" max="14342" width="13.109375" style="1" customWidth="1"/>
    <col min="14343" max="14346" width="14.109375" style="1" customWidth="1"/>
    <col min="14347" max="14347" width="14.44140625" style="1" customWidth="1"/>
    <col min="14348" max="14348" width="9.6640625" style="1" customWidth="1"/>
    <col min="14349" max="14349" width="12.6640625" style="1" customWidth="1"/>
    <col min="14350" max="14352" width="13.5546875" style="1" customWidth="1"/>
    <col min="14353" max="14353" width="12.109375" style="1" customWidth="1"/>
    <col min="14354" max="14354" width="15" style="1" customWidth="1"/>
    <col min="14355" max="14590" width="9.109375" style="1"/>
    <col min="14591" max="14591" width="9.88671875" style="1" customWidth="1"/>
    <col min="14592" max="14592" width="10.44140625" style="1" customWidth="1"/>
    <col min="14593" max="14593" width="39.33203125" style="1" customWidth="1"/>
    <col min="14594" max="14594" width="15" style="1" customWidth="1"/>
    <col min="14595" max="14595" width="11" style="1" customWidth="1"/>
    <col min="14596" max="14596" width="11.109375" style="1" customWidth="1"/>
    <col min="14597" max="14597" width="12.88671875" style="1" customWidth="1"/>
    <col min="14598" max="14598" width="13.109375" style="1" customWidth="1"/>
    <col min="14599" max="14602" width="14.109375" style="1" customWidth="1"/>
    <col min="14603" max="14603" width="14.44140625" style="1" customWidth="1"/>
    <col min="14604" max="14604" width="9.6640625" style="1" customWidth="1"/>
    <col min="14605" max="14605" width="12.6640625" style="1" customWidth="1"/>
    <col min="14606" max="14608" width="13.5546875" style="1" customWidth="1"/>
    <col min="14609" max="14609" width="12.109375" style="1" customWidth="1"/>
    <col min="14610" max="14610" width="15" style="1" customWidth="1"/>
    <col min="14611" max="14846" width="9.109375" style="1"/>
    <col min="14847" max="14847" width="9.88671875" style="1" customWidth="1"/>
    <col min="14848" max="14848" width="10.44140625" style="1" customWidth="1"/>
    <col min="14849" max="14849" width="39.33203125" style="1" customWidth="1"/>
    <col min="14850" max="14850" width="15" style="1" customWidth="1"/>
    <col min="14851" max="14851" width="11" style="1" customWidth="1"/>
    <col min="14852" max="14852" width="11.109375" style="1" customWidth="1"/>
    <col min="14853" max="14853" width="12.88671875" style="1" customWidth="1"/>
    <col min="14854" max="14854" width="13.109375" style="1" customWidth="1"/>
    <col min="14855" max="14858" width="14.109375" style="1" customWidth="1"/>
    <col min="14859" max="14859" width="14.44140625" style="1" customWidth="1"/>
    <col min="14860" max="14860" width="9.6640625" style="1" customWidth="1"/>
    <col min="14861" max="14861" width="12.6640625" style="1" customWidth="1"/>
    <col min="14862" max="14864" width="13.5546875" style="1" customWidth="1"/>
    <col min="14865" max="14865" width="12.109375" style="1" customWidth="1"/>
    <col min="14866" max="14866" width="15" style="1" customWidth="1"/>
    <col min="14867" max="15102" width="9.109375" style="1"/>
    <col min="15103" max="15103" width="9.88671875" style="1" customWidth="1"/>
    <col min="15104" max="15104" width="10.44140625" style="1" customWidth="1"/>
    <col min="15105" max="15105" width="39.33203125" style="1" customWidth="1"/>
    <col min="15106" max="15106" width="15" style="1" customWidth="1"/>
    <col min="15107" max="15107" width="11" style="1" customWidth="1"/>
    <col min="15108" max="15108" width="11.109375" style="1" customWidth="1"/>
    <col min="15109" max="15109" width="12.88671875" style="1" customWidth="1"/>
    <col min="15110" max="15110" width="13.109375" style="1" customWidth="1"/>
    <col min="15111" max="15114" width="14.109375" style="1" customWidth="1"/>
    <col min="15115" max="15115" width="14.44140625" style="1" customWidth="1"/>
    <col min="15116" max="15116" width="9.6640625" style="1" customWidth="1"/>
    <col min="15117" max="15117" width="12.6640625" style="1" customWidth="1"/>
    <col min="15118" max="15120" width="13.5546875" style="1" customWidth="1"/>
    <col min="15121" max="15121" width="12.109375" style="1" customWidth="1"/>
    <col min="15122" max="15122" width="15" style="1" customWidth="1"/>
    <col min="15123" max="15358" width="9.109375" style="1"/>
    <col min="15359" max="15359" width="9.88671875" style="1" customWidth="1"/>
    <col min="15360" max="15360" width="10.44140625" style="1" customWidth="1"/>
    <col min="15361" max="15361" width="39.33203125" style="1" customWidth="1"/>
    <col min="15362" max="15362" width="15" style="1" customWidth="1"/>
    <col min="15363" max="15363" width="11" style="1" customWidth="1"/>
    <col min="15364" max="15364" width="11.109375" style="1" customWidth="1"/>
    <col min="15365" max="15365" width="12.88671875" style="1" customWidth="1"/>
    <col min="15366" max="15366" width="13.109375" style="1" customWidth="1"/>
    <col min="15367" max="15370" width="14.109375" style="1" customWidth="1"/>
    <col min="15371" max="15371" width="14.44140625" style="1" customWidth="1"/>
    <col min="15372" max="15372" width="9.6640625" style="1" customWidth="1"/>
    <col min="15373" max="15373" width="12.6640625" style="1" customWidth="1"/>
    <col min="15374" max="15376" width="13.5546875" style="1" customWidth="1"/>
    <col min="15377" max="15377" width="12.109375" style="1" customWidth="1"/>
    <col min="15378" max="15378" width="15" style="1" customWidth="1"/>
    <col min="15379" max="15614" width="9.109375" style="1"/>
    <col min="15615" max="15615" width="9.88671875" style="1" customWidth="1"/>
    <col min="15616" max="15616" width="10.44140625" style="1" customWidth="1"/>
    <col min="15617" max="15617" width="39.33203125" style="1" customWidth="1"/>
    <col min="15618" max="15618" width="15" style="1" customWidth="1"/>
    <col min="15619" max="15619" width="11" style="1" customWidth="1"/>
    <col min="15620" max="15620" width="11.109375" style="1" customWidth="1"/>
    <col min="15621" max="15621" width="12.88671875" style="1" customWidth="1"/>
    <col min="15622" max="15622" width="13.109375" style="1" customWidth="1"/>
    <col min="15623" max="15626" width="14.109375" style="1" customWidth="1"/>
    <col min="15627" max="15627" width="14.44140625" style="1" customWidth="1"/>
    <col min="15628" max="15628" width="9.6640625" style="1" customWidth="1"/>
    <col min="15629" max="15629" width="12.6640625" style="1" customWidth="1"/>
    <col min="15630" max="15632" width="13.5546875" style="1" customWidth="1"/>
    <col min="15633" max="15633" width="12.109375" style="1" customWidth="1"/>
    <col min="15634" max="15634" width="15" style="1" customWidth="1"/>
    <col min="15635" max="15870" width="9.109375" style="1"/>
    <col min="15871" max="15871" width="9.88671875" style="1" customWidth="1"/>
    <col min="15872" max="15872" width="10.44140625" style="1" customWidth="1"/>
    <col min="15873" max="15873" width="39.33203125" style="1" customWidth="1"/>
    <col min="15874" max="15874" width="15" style="1" customWidth="1"/>
    <col min="15875" max="15875" width="11" style="1" customWidth="1"/>
    <col min="15876" max="15876" width="11.109375" style="1" customWidth="1"/>
    <col min="15877" max="15877" width="12.88671875" style="1" customWidth="1"/>
    <col min="15878" max="15878" width="13.109375" style="1" customWidth="1"/>
    <col min="15879" max="15882" width="14.109375" style="1" customWidth="1"/>
    <col min="15883" max="15883" width="14.44140625" style="1" customWidth="1"/>
    <col min="15884" max="15884" width="9.6640625" style="1" customWidth="1"/>
    <col min="15885" max="15885" width="12.6640625" style="1" customWidth="1"/>
    <col min="15886" max="15888" width="13.5546875" style="1" customWidth="1"/>
    <col min="15889" max="15889" width="12.109375" style="1" customWidth="1"/>
    <col min="15890" max="15890" width="15" style="1" customWidth="1"/>
    <col min="15891" max="16126" width="9.109375" style="1"/>
    <col min="16127" max="16127" width="9.88671875" style="1" customWidth="1"/>
    <col min="16128" max="16128" width="10.44140625" style="1" customWidth="1"/>
    <col min="16129" max="16129" width="39.33203125" style="1" customWidth="1"/>
    <col min="16130" max="16130" width="15" style="1" customWidth="1"/>
    <col min="16131" max="16131" width="11" style="1" customWidth="1"/>
    <col min="16132" max="16132" width="11.109375" style="1" customWidth="1"/>
    <col min="16133" max="16133" width="12.88671875" style="1" customWidth="1"/>
    <col min="16134" max="16134" width="13.109375" style="1" customWidth="1"/>
    <col min="16135" max="16138" width="14.109375" style="1" customWidth="1"/>
    <col min="16139" max="16139" width="14.44140625" style="1" customWidth="1"/>
    <col min="16140" max="16140" width="9.6640625" style="1" customWidth="1"/>
    <col min="16141" max="16141" width="12.6640625" style="1" customWidth="1"/>
    <col min="16142" max="16144" width="13.5546875" style="1" customWidth="1"/>
    <col min="16145" max="16145" width="12.109375" style="1" customWidth="1"/>
    <col min="16146" max="16146" width="15" style="1" customWidth="1"/>
    <col min="16147" max="16384" width="9.109375" style="1"/>
  </cols>
  <sheetData>
    <row r="1" spans="1:20" ht="14.4" x14ac:dyDescent="0.3">
      <c r="A1" s="118"/>
      <c r="B1" s="119" t="str">
        <f>INSTRUÇÕES!B1</f>
        <v>Tribunal Regional Federal da 6ª Região</v>
      </c>
      <c r="D1" s="83"/>
      <c r="E1" s="83"/>
      <c r="F1" s="83"/>
      <c r="G1" s="83"/>
      <c r="H1" s="83"/>
      <c r="I1" s="83"/>
      <c r="J1" s="120"/>
      <c r="K1" s="120"/>
      <c r="L1" s="83"/>
      <c r="M1" s="83"/>
      <c r="N1" s="83"/>
    </row>
    <row r="2" spans="1:20" ht="14.4" x14ac:dyDescent="0.3">
      <c r="A2" s="118"/>
      <c r="B2" s="119" t="str">
        <f>INSTRUÇÕES!B2</f>
        <v>Seção Judiciária de Minas Gerais</v>
      </c>
      <c r="D2" s="83"/>
      <c r="E2" s="83"/>
      <c r="F2" s="83"/>
      <c r="G2" s="83"/>
      <c r="H2" s="83"/>
      <c r="I2" s="83"/>
      <c r="J2" s="120"/>
      <c r="K2" s="120"/>
      <c r="L2" s="83"/>
      <c r="M2" s="83"/>
      <c r="N2" s="83"/>
    </row>
    <row r="3" spans="1:20" ht="18" x14ac:dyDescent="0.3">
      <c r="A3" s="118"/>
      <c r="B3" s="119" t="str">
        <f>INSTRUÇÕES!B3</f>
        <v>Subseção Judiciária de Manhuaçu</v>
      </c>
      <c r="D3" s="83"/>
      <c r="E3" s="121" t="s">
        <v>149</v>
      </c>
      <c r="F3" s="83"/>
      <c r="G3" s="83"/>
      <c r="H3" s="83"/>
      <c r="I3" s="83"/>
      <c r="J3" s="120"/>
      <c r="K3" s="120"/>
      <c r="L3" s="83"/>
      <c r="M3" s="83"/>
      <c r="N3" s="83"/>
      <c r="Q3" s="122"/>
    </row>
    <row r="4" spans="1:20" s="16" customFormat="1" ht="24.75" customHeight="1" x14ac:dyDescent="0.3">
      <c r="A4" s="123" t="str">
        <f>CONCATENATE("Sindicato utilizado - ",E13,". Vigência: ",E15,". Sendo a data base da categoria ",E16,". Com número de registro no MTE ",E14,".")</f>
        <v>Sindicato utilizado - SINSERHT X SINTEAC. Vigência: 01/01/2026 a 31/12/2026. Sendo a data base da categoria 01º de Janeiro. Com número de registro no MTE MG001237/2025.</v>
      </c>
      <c r="B4" s="123"/>
      <c r="C4" s="124"/>
      <c r="D4" s="125"/>
      <c r="E4" s="123"/>
      <c r="F4" s="126"/>
      <c r="G4" s="126"/>
      <c r="H4" s="126"/>
      <c r="I4" s="126"/>
      <c r="J4" s="126"/>
      <c r="K4" s="126"/>
      <c r="L4" s="126"/>
      <c r="M4" s="126"/>
      <c r="N4" s="126"/>
      <c r="O4" s="126"/>
      <c r="P4" s="126"/>
      <c r="Q4" s="126"/>
      <c r="R4" s="126"/>
    </row>
    <row r="5" spans="1:20" s="16" customFormat="1" ht="66.75" customHeight="1" x14ac:dyDescent="0.3">
      <c r="A5" s="618" t="s">
        <v>150</v>
      </c>
      <c r="B5" s="618" t="s">
        <v>151</v>
      </c>
      <c r="C5" s="618" t="s">
        <v>20</v>
      </c>
      <c r="D5" s="618" t="s">
        <v>152</v>
      </c>
      <c r="E5" s="618" t="s">
        <v>153</v>
      </c>
      <c r="F5" s="618" t="s">
        <v>154</v>
      </c>
      <c r="G5" s="618" t="s">
        <v>155</v>
      </c>
      <c r="H5" s="618" t="s">
        <v>156</v>
      </c>
      <c r="I5" s="618" t="s">
        <v>157</v>
      </c>
      <c r="J5" s="618" t="s">
        <v>158</v>
      </c>
      <c r="K5" s="618" t="s">
        <v>159</v>
      </c>
      <c r="L5" s="618" t="s">
        <v>160</v>
      </c>
      <c r="M5" s="619" t="s">
        <v>161</v>
      </c>
      <c r="N5" s="127" t="s">
        <v>162</v>
      </c>
      <c r="O5" s="127" t="s">
        <v>592</v>
      </c>
      <c r="P5" s="127" t="s">
        <v>591</v>
      </c>
      <c r="Q5" s="127" t="s">
        <v>163</v>
      </c>
      <c r="R5" s="618" t="s">
        <v>164</v>
      </c>
      <c r="T5" s="128"/>
    </row>
    <row r="6" spans="1:20" s="16" customFormat="1" ht="28.8" x14ac:dyDescent="0.3">
      <c r="A6" s="618"/>
      <c r="B6" s="618"/>
      <c r="C6" s="618"/>
      <c r="D6" s="618"/>
      <c r="E6" s="618"/>
      <c r="F6" s="618"/>
      <c r="G6" s="618"/>
      <c r="H6" s="618"/>
      <c r="I6" s="618"/>
      <c r="J6" s="618"/>
      <c r="K6" s="618"/>
      <c r="L6" s="618"/>
      <c r="M6" s="619"/>
      <c r="N6" s="129" t="s">
        <v>165</v>
      </c>
      <c r="O6" s="130">
        <f>B7+B8</f>
        <v>2</v>
      </c>
      <c r="P6" s="130">
        <f>B8</f>
        <v>1</v>
      </c>
      <c r="Q6" s="130">
        <f>SUM(B7:B8)</f>
        <v>2</v>
      </c>
      <c r="R6" s="618"/>
      <c r="T6" s="128"/>
    </row>
    <row r="7" spans="1:20" s="16" customFormat="1" ht="33" customHeight="1" x14ac:dyDescent="0.3">
      <c r="A7" s="620">
        <v>333903702</v>
      </c>
      <c r="B7" s="130">
        <v>1</v>
      </c>
      <c r="C7" s="131" t="s">
        <v>601</v>
      </c>
      <c r="D7" s="130">
        <v>200</v>
      </c>
      <c r="E7" s="132">
        <v>1596.27</v>
      </c>
      <c r="F7" s="133">
        <f>ROUND(((E7/220)*D7),2)</f>
        <v>1451.15</v>
      </c>
      <c r="G7" s="134">
        <v>0.4</v>
      </c>
      <c r="H7" s="133">
        <f>G7*G26</f>
        <v>648.40000000000009</v>
      </c>
      <c r="I7" s="35">
        <v>0</v>
      </c>
      <c r="J7" s="35">
        <v>0</v>
      </c>
      <c r="K7" s="35"/>
      <c r="L7" s="35">
        <v>0</v>
      </c>
      <c r="M7" s="135">
        <f>F7+H7+L7</f>
        <v>2099.5500000000002</v>
      </c>
      <c r="N7" s="133">
        <f>Uniformes!H14</f>
        <v>25.87</v>
      </c>
      <c r="O7" s="133">
        <f>Insumos!$K$48</f>
        <v>1193.4016666666666</v>
      </c>
      <c r="P7" s="133"/>
      <c r="Q7" s="133">
        <f>Equipamentos!$G$15</f>
        <v>10.164999999999999</v>
      </c>
      <c r="R7" s="136">
        <v>2</v>
      </c>
      <c r="T7" s="128"/>
    </row>
    <row r="8" spans="1:20" ht="33" customHeight="1" x14ac:dyDescent="0.3">
      <c r="A8" s="620"/>
      <c r="B8" s="130">
        <v>1</v>
      </c>
      <c r="C8" s="131" t="s">
        <v>602</v>
      </c>
      <c r="D8" s="130">
        <v>200</v>
      </c>
      <c r="E8" s="132">
        <v>1596.27</v>
      </c>
      <c r="F8" s="133">
        <f>ROUND(((E8/220)*D8),2)</f>
        <v>1451.15</v>
      </c>
      <c r="G8" s="137">
        <v>0</v>
      </c>
      <c r="H8" s="35">
        <v>0</v>
      </c>
      <c r="I8" s="138">
        <v>0.12</v>
      </c>
      <c r="J8" s="134">
        <v>0.25</v>
      </c>
      <c r="K8" s="132">
        <f>F8</f>
        <v>1451.15</v>
      </c>
      <c r="L8" s="139">
        <f>ROUND((K8*I8*J8),2)</f>
        <v>43.53</v>
      </c>
      <c r="M8" s="135">
        <f>F8+H8+L8</f>
        <v>1494.68</v>
      </c>
      <c r="N8" s="133">
        <f>Uniformes!H14+Uniformes!H20</f>
        <v>30.310000000000002</v>
      </c>
      <c r="O8" s="133">
        <f>Insumos!$K$48</f>
        <v>1193.4016666666666</v>
      </c>
      <c r="P8" s="133">
        <f>Insumos!K75</f>
        <v>290.61500000000001</v>
      </c>
      <c r="Q8" s="133">
        <f>Equipamentos!$G$15</f>
        <v>10.164999999999999</v>
      </c>
      <c r="R8" s="136">
        <v>2</v>
      </c>
    </row>
    <row r="9" spans="1:20" ht="33" customHeight="1" x14ac:dyDescent="0.3">
      <c r="A9" s="140">
        <v>333903701</v>
      </c>
      <c r="B9" s="130">
        <v>1</v>
      </c>
      <c r="C9" s="131" t="s">
        <v>603</v>
      </c>
      <c r="D9" s="130">
        <v>200</v>
      </c>
      <c r="E9" s="132">
        <v>2231.7399999999998</v>
      </c>
      <c r="F9" s="133">
        <f>ROUND(((E9/220)*D9),2)</f>
        <v>2028.85</v>
      </c>
      <c r="G9" s="137">
        <v>0</v>
      </c>
      <c r="H9" s="35">
        <v>0</v>
      </c>
      <c r="I9" s="138">
        <v>0.12</v>
      </c>
      <c r="J9" s="134">
        <v>0.25</v>
      </c>
      <c r="K9" s="132">
        <f>F9</f>
        <v>2028.85</v>
      </c>
      <c r="L9" s="139">
        <f>ROUND((K9*I9*J9),2)</f>
        <v>60.87</v>
      </c>
      <c r="M9" s="135">
        <f>F9+H9+L9</f>
        <v>2089.7199999999998</v>
      </c>
      <c r="N9" s="133">
        <f>Uniformes!H28</f>
        <v>42.58</v>
      </c>
      <c r="O9" s="133"/>
      <c r="P9" s="133"/>
      <c r="Q9" s="133">
        <f>Equipamentos!$G$20</f>
        <v>1.66</v>
      </c>
      <c r="R9" s="136">
        <v>1</v>
      </c>
    </row>
    <row r="10" spans="1:20" ht="34.5" customHeight="1" x14ac:dyDescent="0.3">
      <c r="A10" s="141" t="s">
        <v>166</v>
      </c>
      <c r="B10" s="2"/>
      <c r="C10" s="2"/>
      <c r="D10" s="141"/>
      <c r="F10" s="141"/>
      <c r="G10" s="141" t="s">
        <v>167</v>
      </c>
      <c r="H10" s="141"/>
      <c r="I10" s="141"/>
      <c r="J10" s="141"/>
      <c r="K10" s="123"/>
      <c r="L10" s="142" t="s">
        <v>168</v>
      </c>
      <c r="M10" s="143">
        <f>SUM(M7:M9)</f>
        <v>5683.9500000000007</v>
      </c>
      <c r="N10" s="123"/>
      <c r="O10" s="123"/>
      <c r="P10" s="123"/>
      <c r="Q10" s="123"/>
      <c r="R10" s="123"/>
    </row>
    <row r="11" spans="1:20" ht="24.75" customHeight="1" x14ac:dyDescent="0.3">
      <c r="A11" s="621" t="s">
        <v>169</v>
      </c>
      <c r="B11" s="621"/>
      <c r="C11" s="621"/>
      <c r="D11" s="621"/>
      <c r="E11" s="621"/>
      <c r="F11" s="621"/>
      <c r="G11" s="621"/>
      <c r="N11" s="123"/>
      <c r="O11" s="123"/>
      <c r="P11" s="123"/>
      <c r="Q11" s="123"/>
      <c r="R11" s="123"/>
    </row>
    <row r="12" spans="1:20" ht="24" customHeight="1" x14ac:dyDescent="0.3">
      <c r="A12" s="144">
        <v>1</v>
      </c>
      <c r="B12" s="622" t="s">
        <v>170</v>
      </c>
      <c r="C12" s="622"/>
      <c r="D12" s="622"/>
      <c r="E12" s="623">
        <v>46100</v>
      </c>
      <c r="F12" s="624"/>
      <c r="G12" s="624"/>
      <c r="H12" s="13" t="s">
        <v>581</v>
      </c>
      <c r="N12" s="123"/>
      <c r="O12" s="123"/>
      <c r="P12" s="123"/>
      <c r="Q12" s="123"/>
      <c r="R12" s="54"/>
    </row>
    <row r="13" spans="1:20" ht="24" customHeight="1" x14ac:dyDescent="0.3">
      <c r="A13" s="144">
        <v>2</v>
      </c>
      <c r="B13" s="622" t="s">
        <v>171</v>
      </c>
      <c r="C13" s="622"/>
      <c r="D13" s="622"/>
      <c r="E13" s="624" t="s">
        <v>606</v>
      </c>
      <c r="F13" s="624"/>
      <c r="G13" s="624"/>
      <c r="H13" s="13" t="s">
        <v>172</v>
      </c>
      <c r="N13" s="123"/>
      <c r="O13" s="123"/>
      <c r="P13" s="123"/>
      <c r="Q13" s="123"/>
      <c r="R13" s="54"/>
    </row>
    <row r="14" spans="1:20" ht="24" customHeight="1" x14ac:dyDescent="0.3">
      <c r="A14" s="144">
        <v>3</v>
      </c>
      <c r="B14" s="622" t="s">
        <v>173</v>
      </c>
      <c r="C14" s="622"/>
      <c r="D14" s="622"/>
      <c r="E14" s="624" t="s">
        <v>605</v>
      </c>
      <c r="F14" s="624"/>
      <c r="G14" s="624"/>
      <c r="H14" s="13" t="s">
        <v>593</v>
      </c>
      <c r="N14" s="123"/>
      <c r="O14" s="123"/>
      <c r="P14" s="123"/>
      <c r="Q14" s="123"/>
      <c r="R14" s="54"/>
    </row>
    <row r="15" spans="1:20" ht="24" customHeight="1" x14ac:dyDescent="0.3">
      <c r="A15" s="144">
        <v>4</v>
      </c>
      <c r="B15" s="622" t="s">
        <v>174</v>
      </c>
      <c r="C15" s="622"/>
      <c r="D15" s="622"/>
      <c r="E15" s="624" t="s">
        <v>607</v>
      </c>
      <c r="F15" s="624"/>
      <c r="G15" s="624"/>
      <c r="H15" s="13" t="s">
        <v>595</v>
      </c>
      <c r="N15" s="123"/>
      <c r="O15" s="123"/>
      <c r="P15" s="123"/>
      <c r="Q15" s="123"/>
      <c r="R15" s="54"/>
    </row>
    <row r="16" spans="1:20" ht="24" customHeight="1" x14ac:dyDescent="0.3">
      <c r="A16" s="144">
        <v>5</v>
      </c>
      <c r="B16" s="622" t="s">
        <v>175</v>
      </c>
      <c r="C16" s="622"/>
      <c r="D16" s="622"/>
      <c r="E16" s="624" t="s">
        <v>608</v>
      </c>
      <c r="F16" s="624"/>
      <c r="G16" s="624"/>
      <c r="H16" s="13" t="s">
        <v>594</v>
      </c>
      <c r="N16" s="123"/>
      <c r="O16" s="123"/>
      <c r="P16" s="123"/>
      <c r="Q16" s="123"/>
      <c r="R16" s="54"/>
    </row>
    <row r="17" spans="1:17" ht="12.75" customHeight="1" x14ac:dyDescent="0.3">
      <c r="A17" s="145"/>
      <c r="H17" s="13"/>
      <c r="J17" s="1"/>
      <c r="K17" s="1"/>
    </row>
    <row r="18" spans="1:17" s="54" customFormat="1" ht="24.75" customHeight="1" x14ac:dyDescent="0.3">
      <c r="A18" s="621" t="s">
        <v>176</v>
      </c>
      <c r="B18" s="621"/>
      <c r="C18" s="621"/>
      <c r="D18" s="621"/>
      <c r="E18" s="621"/>
      <c r="F18" s="621"/>
      <c r="G18" s="621"/>
      <c r="H18" s="13"/>
      <c r="I18" s="123"/>
      <c r="J18" s="123"/>
      <c r="K18" s="123"/>
      <c r="L18" s="123"/>
      <c r="M18" s="123"/>
      <c r="N18" s="123"/>
      <c r="O18" s="123"/>
      <c r="P18" s="123"/>
      <c r="Q18" s="123"/>
    </row>
    <row r="19" spans="1:17" ht="24" customHeight="1" x14ac:dyDescent="0.3">
      <c r="A19" s="144" t="s">
        <v>177</v>
      </c>
      <c r="B19" s="622" t="s">
        <v>178</v>
      </c>
      <c r="C19" s="622"/>
      <c r="D19" s="622"/>
      <c r="E19" s="622"/>
      <c r="F19" s="622"/>
      <c r="G19" s="134">
        <f>Encargos!C57</f>
        <v>0.68199999999999994</v>
      </c>
      <c r="H19" s="13"/>
      <c r="J19" s="1"/>
      <c r="K19" s="1"/>
    </row>
    <row r="20" spans="1:17" ht="12.75" customHeight="1" x14ac:dyDescent="0.3">
      <c r="A20" s="145"/>
      <c r="G20" s="2"/>
      <c r="H20" s="13"/>
      <c r="J20" s="1"/>
      <c r="K20" s="1"/>
    </row>
    <row r="21" spans="1:17" ht="24.75" customHeight="1" x14ac:dyDescent="0.3">
      <c r="A21" s="95">
        <v>1</v>
      </c>
      <c r="B21" s="622" t="s">
        <v>179</v>
      </c>
      <c r="C21" s="622"/>
      <c r="D21" s="622"/>
      <c r="E21" s="622"/>
      <c r="F21" s="622"/>
      <c r="G21" s="146">
        <f>G22*G23</f>
        <v>0.01</v>
      </c>
      <c r="H21" s="13"/>
      <c r="J21" s="1"/>
      <c r="K21" s="1"/>
    </row>
    <row r="22" spans="1:17" ht="24.75" customHeight="1" x14ac:dyDescent="0.3">
      <c r="A22" s="95">
        <v>2</v>
      </c>
      <c r="B22" s="622" t="s">
        <v>180</v>
      </c>
      <c r="C22" s="622"/>
      <c r="D22" s="622"/>
      <c r="E22" s="622"/>
      <c r="F22" s="622"/>
      <c r="G22" s="138">
        <v>0.02</v>
      </c>
      <c r="H22" s="13" t="s">
        <v>181</v>
      </c>
      <c r="J22" s="1"/>
      <c r="K22" s="1"/>
    </row>
    <row r="23" spans="1:17" ht="24.75" customHeight="1" x14ac:dyDescent="0.3">
      <c r="A23" s="95">
        <v>3</v>
      </c>
      <c r="B23" s="622" t="s">
        <v>182</v>
      </c>
      <c r="C23" s="622"/>
      <c r="D23" s="622"/>
      <c r="E23" s="622"/>
      <c r="F23" s="622"/>
      <c r="G23" s="147">
        <v>0.5</v>
      </c>
      <c r="H23" s="13" t="s">
        <v>183</v>
      </c>
      <c r="J23" s="1"/>
      <c r="K23" s="1"/>
    </row>
    <row r="24" spans="1:17" ht="12.75" customHeight="1" x14ac:dyDescent="0.3">
      <c r="A24" s="145"/>
      <c r="B24" s="123"/>
      <c r="C24" s="123"/>
      <c r="D24" s="123"/>
      <c r="E24" s="123"/>
      <c r="F24" s="123"/>
      <c r="H24" s="13"/>
      <c r="J24" s="1"/>
      <c r="K24" s="1"/>
    </row>
    <row r="25" spans="1:17" ht="24.75" customHeight="1" x14ac:dyDescent="0.3">
      <c r="A25" s="621" t="s">
        <v>184</v>
      </c>
      <c r="B25" s="621"/>
      <c r="C25" s="621"/>
      <c r="D25" s="621"/>
      <c r="E25" s="621"/>
      <c r="F25" s="621"/>
      <c r="G25" s="621"/>
      <c r="H25" s="13"/>
      <c r="J25" s="1"/>
      <c r="K25" s="1"/>
    </row>
    <row r="26" spans="1:17" ht="24.75" customHeight="1" x14ac:dyDescent="0.3">
      <c r="A26" s="95">
        <v>1</v>
      </c>
      <c r="B26" s="622" t="s">
        <v>185</v>
      </c>
      <c r="C26" s="622"/>
      <c r="D26" s="622"/>
      <c r="E26" s="622"/>
      <c r="F26" s="622"/>
      <c r="G26" s="132">
        <v>1621</v>
      </c>
      <c r="H26" s="13" t="s">
        <v>186</v>
      </c>
      <c r="J26" s="1"/>
      <c r="K26" s="1"/>
    </row>
    <row r="27" spans="1:17" ht="12.75" customHeight="1" x14ac:dyDescent="0.3">
      <c r="A27" s="148"/>
      <c r="B27" s="149"/>
      <c r="C27" s="149"/>
      <c r="D27" s="149"/>
      <c r="E27" s="149"/>
      <c r="F27" s="149"/>
      <c r="G27" s="150"/>
      <c r="H27" s="13"/>
      <c r="J27" s="1"/>
      <c r="K27" s="1"/>
    </row>
    <row r="28" spans="1:17" s="54" customFormat="1" ht="24.75" customHeight="1" x14ac:dyDescent="0.3">
      <c r="A28" s="621" t="s">
        <v>187</v>
      </c>
      <c r="B28" s="621"/>
      <c r="C28" s="621"/>
      <c r="D28" s="621"/>
      <c r="E28" s="621"/>
      <c r="F28" s="621"/>
      <c r="G28" s="621"/>
      <c r="H28" s="13"/>
      <c r="I28" s="1"/>
      <c r="J28" s="1"/>
      <c r="K28" s="123"/>
      <c r="L28" s="123"/>
      <c r="M28" s="123"/>
      <c r="N28" s="123"/>
      <c r="O28" s="123"/>
      <c r="P28" s="123"/>
      <c r="Q28" s="123"/>
    </row>
    <row r="29" spans="1:17" ht="26.25" customHeight="1" x14ac:dyDescent="0.3">
      <c r="A29" s="144">
        <v>1</v>
      </c>
      <c r="B29" s="622" t="s">
        <v>188</v>
      </c>
      <c r="C29" s="622"/>
      <c r="D29" s="622"/>
      <c r="E29" s="622"/>
      <c r="F29" s="622"/>
      <c r="G29" s="147">
        <v>6.51</v>
      </c>
      <c r="H29" s="13" t="s">
        <v>189</v>
      </c>
      <c r="J29" s="1"/>
      <c r="K29" s="1"/>
    </row>
    <row r="30" spans="1:17" ht="26.25" customHeight="1" x14ac:dyDescent="0.3">
      <c r="A30" s="151">
        <v>2</v>
      </c>
      <c r="B30" s="622" t="s">
        <v>190</v>
      </c>
      <c r="C30" s="622"/>
      <c r="D30" s="622"/>
      <c r="E30" s="622"/>
      <c r="F30" s="622"/>
      <c r="G30" s="147">
        <v>0</v>
      </c>
      <c r="H30" s="13" t="s">
        <v>189</v>
      </c>
      <c r="J30" s="1"/>
      <c r="K30" s="1"/>
    </row>
    <row r="31" spans="1:17" ht="26.25" customHeight="1" x14ac:dyDescent="0.3">
      <c r="A31" s="625">
        <v>3</v>
      </c>
      <c r="B31" s="626" t="s">
        <v>191</v>
      </c>
      <c r="C31" s="626"/>
      <c r="D31" s="627" t="s">
        <v>192</v>
      </c>
      <c r="E31" s="627"/>
      <c r="F31" s="627"/>
      <c r="G31" s="152">
        <v>3.99</v>
      </c>
      <c r="H31" s="153" t="s">
        <v>193</v>
      </c>
      <c r="I31" s="123"/>
      <c r="J31" s="1"/>
      <c r="K31" s="1"/>
      <c r="O31" s="56"/>
    </row>
    <row r="32" spans="1:17" ht="26.25" customHeight="1" x14ac:dyDescent="0.3">
      <c r="A32" s="625"/>
      <c r="B32" s="626"/>
      <c r="C32" s="626"/>
      <c r="D32" s="627" t="s">
        <v>194</v>
      </c>
      <c r="E32" s="627"/>
      <c r="F32" s="627"/>
      <c r="G32" s="152">
        <v>2</v>
      </c>
      <c r="H32" s="153" t="s">
        <v>195</v>
      </c>
      <c r="I32" s="123"/>
      <c r="J32" s="1"/>
      <c r="K32" s="1"/>
      <c r="O32" s="56"/>
    </row>
    <row r="33" spans="1:17" ht="26.25" customHeight="1" x14ac:dyDescent="0.3">
      <c r="A33" s="625"/>
      <c r="B33" s="626"/>
      <c r="C33" s="626"/>
      <c r="D33" s="627" t="s">
        <v>196</v>
      </c>
      <c r="E33" s="627"/>
      <c r="F33" s="627"/>
      <c r="G33" s="154">
        <v>22</v>
      </c>
      <c r="H33" s="13" t="s">
        <v>197</v>
      </c>
      <c r="I33" s="123"/>
      <c r="J33" s="1"/>
      <c r="K33" s="1"/>
      <c r="O33" s="56"/>
    </row>
    <row r="34" spans="1:17" ht="26.25" customHeight="1" x14ac:dyDescent="0.3">
      <c r="A34" s="625"/>
      <c r="B34" s="626"/>
      <c r="C34" s="626"/>
      <c r="D34" s="628" t="s">
        <v>198</v>
      </c>
      <c r="E34" s="628"/>
      <c r="F34" s="628"/>
      <c r="G34" s="155">
        <v>0.06</v>
      </c>
      <c r="H34" s="153" t="s">
        <v>199</v>
      </c>
      <c r="O34" s="56"/>
    </row>
    <row r="35" spans="1:17" ht="26.25" customHeight="1" x14ac:dyDescent="0.3">
      <c r="A35" s="625">
        <v>4</v>
      </c>
      <c r="B35" s="626" t="s">
        <v>200</v>
      </c>
      <c r="C35" s="626"/>
      <c r="D35" s="627" t="s">
        <v>201</v>
      </c>
      <c r="E35" s="627"/>
      <c r="F35" s="627"/>
      <c r="G35" s="147">
        <v>29.15</v>
      </c>
      <c r="H35" s="153" t="s">
        <v>202</v>
      </c>
      <c r="I35" s="123"/>
      <c r="J35" s="1"/>
      <c r="K35" s="1"/>
    </row>
    <row r="36" spans="1:17" ht="26.25" customHeight="1" x14ac:dyDescent="0.3">
      <c r="A36" s="625"/>
      <c r="B36" s="626"/>
      <c r="C36" s="626"/>
      <c r="D36" s="627" t="s">
        <v>196</v>
      </c>
      <c r="E36" s="627"/>
      <c r="F36" s="627"/>
      <c r="G36" s="154">
        <f>G33</f>
        <v>22</v>
      </c>
      <c r="H36" s="13" t="s">
        <v>197</v>
      </c>
      <c r="I36" s="156"/>
      <c r="J36" s="156"/>
      <c r="K36" s="123"/>
      <c r="O36" s="56"/>
    </row>
    <row r="37" spans="1:17" ht="26.25" customHeight="1" x14ac:dyDescent="0.3">
      <c r="A37" s="625"/>
      <c r="B37" s="626"/>
      <c r="C37" s="626"/>
      <c r="D37" s="628" t="s">
        <v>198</v>
      </c>
      <c r="E37" s="628"/>
      <c r="F37" s="628"/>
      <c r="G37" s="138">
        <v>0.2</v>
      </c>
      <c r="H37" s="153" t="s">
        <v>199</v>
      </c>
      <c r="J37" s="1"/>
      <c r="K37" s="1"/>
      <c r="O37" s="56"/>
    </row>
    <row r="38" spans="1:17" ht="26.25" customHeight="1" x14ac:dyDescent="0.3">
      <c r="A38" s="144">
        <v>5</v>
      </c>
      <c r="B38" s="629" t="s">
        <v>609</v>
      </c>
      <c r="C38" s="630"/>
      <c r="D38" s="630"/>
      <c r="E38" s="630"/>
      <c r="F38" s="630"/>
      <c r="G38" s="147">
        <v>52</v>
      </c>
      <c r="H38" s="13" t="s">
        <v>204</v>
      </c>
      <c r="J38" s="1"/>
      <c r="K38" s="1"/>
      <c r="O38" s="56"/>
    </row>
    <row r="39" spans="1:17" ht="26.25" customHeight="1" x14ac:dyDescent="0.3">
      <c r="A39" s="144">
        <v>6</v>
      </c>
      <c r="B39" s="630" t="s">
        <v>203</v>
      </c>
      <c r="C39" s="630"/>
      <c r="D39" s="630"/>
      <c r="E39" s="630"/>
      <c r="F39" s="630"/>
      <c r="G39" s="147">
        <v>0</v>
      </c>
      <c r="H39" s="13" t="s">
        <v>204</v>
      </c>
      <c r="J39" s="1"/>
      <c r="K39" s="1"/>
    </row>
    <row r="40" spans="1:17" ht="12.75" customHeight="1" x14ac:dyDescent="0.3">
      <c r="H40" s="13"/>
      <c r="J40" s="1"/>
      <c r="K40" s="1"/>
    </row>
    <row r="41" spans="1:17" s="54" customFormat="1" ht="24.75" customHeight="1" x14ac:dyDescent="0.3">
      <c r="A41" s="621" t="s">
        <v>205</v>
      </c>
      <c r="B41" s="621"/>
      <c r="C41" s="621"/>
      <c r="D41" s="621"/>
      <c r="E41" s="621"/>
      <c r="F41" s="621"/>
      <c r="G41" s="621"/>
      <c r="H41" s="13"/>
      <c r="I41" s="123"/>
      <c r="J41" s="123"/>
      <c r="K41" s="123"/>
      <c r="L41" s="123"/>
      <c r="M41" s="123"/>
      <c r="N41" s="123"/>
      <c r="O41" s="123"/>
      <c r="P41" s="123"/>
      <c r="Q41" s="123"/>
    </row>
    <row r="42" spans="1:17" ht="24.75" customHeight="1" x14ac:dyDescent="0.3">
      <c r="A42" s="144">
        <v>1</v>
      </c>
      <c r="B42" s="622" t="s">
        <v>206</v>
      </c>
      <c r="C42" s="622"/>
      <c r="D42" s="622"/>
      <c r="E42" s="622"/>
      <c r="F42" s="622"/>
      <c r="G42" s="138">
        <v>1.7100000000000001E-2</v>
      </c>
      <c r="H42" s="13" t="s">
        <v>207</v>
      </c>
      <c r="J42" s="1"/>
      <c r="K42" s="1"/>
    </row>
    <row r="43" spans="1:17" ht="24.75" customHeight="1" x14ac:dyDescent="0.3">
      <c r="A43" s="144">
        <v>2</v>
      </c>
      <c r="B43" s="622" t="s">
        <v>208</v>
      </c>
      <c r="C43" s="622"/>
      <c r="D43" s="622"/>
      <c r="E43" s="622"/>
      <c r="F43" s="622"/>
      <c r="G43" s="138">
        <v>1.7000000000000001E-2</v>
      </c>
      <c r="H43" s="13" t="s">
        <v>207</v>
      </c>
      <c r="J43" s="1"/>
      <c r="K43" s="1"/>
    </row>
    <row r="44" spans="1:17" ht="12.75" customHeight="1" x14ac:dyDescent="0.3">
      <c r="H44" s="13"/>
      <c r="J44" s="1"/>
      <c r="K44" s="1"/>
    </row>
    <row r="45" spans="1:17" s="54" customFormat="1" ht="24.75" customHeight="1" x14ac:dyDescent="0.3">
      <c r="A45" s="621" t="s">
        <v>209</v>
      </c>
      <c r="B45" s="621"/>
      <c r="C45" s="621"/>
      <c r="D45" s="621"/>
      <c r="E45" s="621"/>
      <c r="F45" s="621"/>
      <c r="G45" s="621"/>
      <c r="H45" s="13"/>
      <c r="I45" s="123"/>
      <c r="J45" s="123"/>
      <c r="K45" s="123"/>
      <c r="L45" s="123"/>
      <c r="M45" s="123"/>
      <c r="N45" s="123"/>
      <c r="O45" s="123"/>
      <c r="P45" s="123"/>
      <c r="Q45" s="123"/>
    </row>
    <row r="46" spans="1:17" s="54" customFormat="1" ht="24.75" customHeight="1" x14ac:dyDescent="0.3">
      <c r="A46" s="619" t="s">
        <v>210</v>
      </c>
      <c r="B46" s="619" t="str">
        <f>IF(F49="LUCRO REAL","INFORMAR ALÍQUOTAS MÉDIAS DE RECOLHIMENTO DOS ÚLTIMOS 12 (DOZE) MESES.",IF(F49="LUCRO PRESUMIDO","ALÍQUOTAS FIXAS - PIS: 0,65%; COFINS: 3,00%.",IF(F49="SIMPLES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ALÍQUOTAS FIXAS - PIS: 0,65%; COFINS: 3,00%.</v>
      </c>
      <c r="C46" s="619"/>
      <c r="D46" s="619"/>
      <c r="E46" s="619"/>
      <c r="F46" s="619"/>
      <c r="G46" s="619"/>
      <c r="H46" s="13"/>
      <c r="I46" s="123"/>
      <c r="J46" s="123"/>
      <c r="K46" s="123"/>
      <c r="L46" s="123"/>
      <c r="M46" s="123"/>
      <c r="N46" s="123"/>
      <c r="O46" s="123"/>
      <c r="P46" s="123"/>
      <c r="Q46" s="123"/>
    </row>
    <row r="47" spans="1:17" s="54" customFormat="1" ht="24.75" customHeight="1" x14ac:dyDescent="0.3">
      <c r="A47" s="619"/>
      <c r="B47" s="619"/>
      <c r="C47" s="619"/>
      <c r="D47" s="619"/>
      <c r="E47" s="619"/>
      <c r="F47" s="619"/>
      <c r="G47" s="619"/>
      <c r="H47" s="13"/>
      <c r="I47" s="123"/>
      <c r="J47" s="123"/>
      <c r="K47" s="123"/>
      <c r="L47" s="123"/>
      <c r="M47" s="123"/>
      <c r="N47" s="123"/>
      <c r="O47" s="123"/>
      <c r="P47" s="123"/>
      <c r="Q47" s="123"/>
    </row>
    <row r="48" spans="1:17" s="54" customFormat="1" ht="24.75" customHeight="1" x14ac:dyDescent="0.3">
      <c r="A48" s="619"/>
      <c r="B48" s="619"/>
      <c r="C48" s="619"/>
      <c r="D48" s="619"/>
      <c r="E48" s="619"/>
      <c r="F48" s="619"/>
      <c r="G48" s="619"/>
      <c r="H48" s="13"/>
      <c r="I48" s="123"/>
      <c r="J48" s="123"/>
      <c r="K48" s="123"/>
      <c r="L48" s="123"/>
      <c r="M48" s="123"/>
      <c r="N48" s="123"/>
      <c r="O48" s="123"/>
      <c r="P48" s="123"/>
      <c r="Q48" s="123"/>
    </row>
    <row r="49" spans="1:17" ht="24" customHeight="1" x14ac:dyDescent="0.3">
      <c r="A49" s="144">
        <v>1</v>
      </c>
      <c r="B49" s="622" t="s">
        <v>211</v>
      </c>
      <c r="C49" s="622"/>
      <c r="D49" s="622"/>
      <c r="E49" s="622"/>
      <c r="F49" s="624" t="s">
        <v>604</v>
      </c>
      <c r="G49" s="624"/>
      <c r="H49" s="157" t="s">
        <v>212</v>
      </c>
      <c r="J49" s="1"/>
      <c r="K49" s="1"/>
      <c r="Q49" s="158"/>
    </row>
    <row r="50" spans="1:17" ht="24" customHeight="1" x14ac:dyDescent="0.3">
      <c r="A50" s="144">
        <v>2</v>
      </c>
      <c r="B50" s="622" t="s">
        <v>213</v>
      </c>
      <c r="C50" s="622"/>
      <c r="D50" s="622"/>
      <c r="E50" s="622"/>
      <c r="F50" s="622"/>
      <c r="G50" s="138">
        <v>0.03</v>
      </c>
      <c r="H50" s="13" t="s">
        <v>214</v>
      </c>
      <c r="J50" s="1"/>
      <c r="K50" s="1"/>
    </row>
    <row r="51" spans="1:17" ht="24" customHeight="1" x14ac:dyDescent="0.3">
      <c r="A51" s="144">
        <v>3</v>
      </c>
      <c r="B51" s="622" t="s">
        <v>215</v>
      </c>
      <c r="C51" s="622"/>
      <c r="D51" s="622"/>
      <c r="E51" s="622"/>
      <c r="F51" s="622"/>
      <c r="G51" s="138">
        <v>6.4999999999999997E-3</v>
      </c>
      <c r="H51" s="13" t="s">
        <v>214</v>
      </c>
      <c r="J51" s="1"/>
      <c r="K51" s="1"/>
    </row>
    <row r="52" spans="1:17" ht="24" customHeight="1" x14ac:dyDescent="0.3">
      <c r="A52" s="144">
        <v>4</v>
      </c>
      <c r="B52" s="622" t="s">
        <v>216</v>
      </c>
      <c r="C52" s="622"/>
      <c r="D52" s="622"/>
      <c r="E52" s="622"/>
      <c r="F52" s="622"/>
      <c r="G52" s="138">
        <v>0.03</v>
      </c>
      <c r="H52" s="13" t="s">
        <v>217</v>
      </c>
      <c r="J52" s="1"/>
      <c r="K52" s="1"/>
    </row>
    <row r="53" spans="1:17" ht="24" customHeight="1" x14ac:dyDescent="0.3">
      <c r="A53" s="144">
        <v>5</v>
      </c>
      <c r="B53" s="630" t="s">
        <v>203</v>
      </c>
      <c r="C53" s="630"/>
      <c r="D53" s="630"/>
      <c r="E53" s="630"/>
      <c r="F53" s="630"/>
      <c r="G53" s="138">
        <v>0</v>
      </c>
      <c r="H53" s="13" t="s">
        <v>218</v>
      </c>
      <c r="J53" s="1"/>
      <c r="K53" s="1"/>
    </row>
    <row r="54" spans="1:17" ht="21.75" customHeight="1" x14ac:dyDescent="0.3">
      <c r="A54" s="144">
        <v>6</v>
      </c>
      <c r="B54" s="622" t="s">
        <v>219</v>
      </c>
      <c r="C54" s="622"/>
      <c r="D54" s="622"/>
      <c r="E54" s="622"/>
      <c r="F54" s="622"/>
      <c r="G54" s="134">
        <f>SUM(G50:G53)</f>
        <v>6.6500000000000004E-2</v>
      </c>
      <c r="H54" s="13"/>
      <c r="J54" s="1"/>
      <c r="K54" s="1"/>
    </row>
    <row r="55" spans="1:17" ht="12.75" customHeight="1" x14ac:dyDescent="0.3"/>
    <row r="56" spans="1:17" ht="14.4" x14ac:dyDescent="0.3">
      <c r="A56" s="159"/>
      <c r="H56" s="160"/>
    </row>
    <row r="57" spans="1:17" ht="14.4" x14ac:dyDescent="0.3">
      <c r="A57" s="159"/>
      <c r="H57" s="160"/>
    </row>
    <row r="58" spans="1:17" ht="14.4" x14ac:dyDescent="0.3">
      <c r="A58" s="159"/>
      <c r="H58" s="160"/>
    </row>
    <row r="59" spans="1:17" ht="14.4" x14ac:dyDescent="0.3">
      <c r="A59" s="159"/>
      <c r="H59" s="160"/>
    </row>
    <row r="60" spans="1:17" ht="14.4" x14ac:dyDescent="0.3">
      <c r="A60" s="159"/>
      <c r="H60" s="160"/>
    </row>
    <row r="61" spans="1:17" ht="14.4" x14ac:dyDescent="0.3">
      <c r="A61" s="159"/>
      <c r="H61" s="160"/>
    </row>
    <row r="62" spans="1:17" ht="14.4" x14ac:dyDescent="0.3">
      <c r="A62" s="159"/>
      <c r="H62" s="160"/>
    </row>
    <row r="63" spans="1:17" ht="14.4" x14ac:dyDescent="0.3">
      <c r="A63" s="159"/>
      <c r="H63" s="160"/>
    </row>
    <row r="64" spans="1:17" ht="14.4" x14ac:dyDescent="0.3">
      <c r="A64" s="159"/>
      <c r="H64" s="160"/>
    </row>
    <row r="65" spans="1:8" ht="14.4" x14ac:dyDescent="0.3">
      <c r="A65" s="159"/>
      <c r="H65" s="160"/>
    </row>
    <row r="66" spans="1:8" ht="14.4" x14ac:dyDescent="0.3">
      <c r="A66" s="159"/>
      <c r="H66" s="160"/>
    </row>
    <row r="67" spans="1:8" ht="14.4" x14ac:dyDescent="0.3">
      <c r="A67" s="159"/>
      <c r="H67" s="160"/>
    </row>
    <row r="68" spans="1:8" ht="14.4" x14ac:dyDescent="0.3">
      <c r="A68" s="159"/>
      <c r="H68" s="160"/>
    </row>
    <row r="69" spans="1:8" ht="14.4" x14ac:dyDescent="0.3">
      <c r="A69" s="159"/>
      <c r="H69" s="160"/>
    </row>
    <row r="70" spans="1:8" ht="14.4" x14ac:dyDescent="0.3">
      <c r="A70" s="159"/>
      <c r="H70" s="160"/>
    </row>
    <row r="71" spans="1:8" ht="14.4" x14ac:dyDescent="0.3">
      <c r="A71" s="161"/>
      <c r="B71" s="162"/>
      <c r="C71" s="162"/>
      <c r="D71" s="162"/>
      <c r="E71" s="162"/>
      <c r="F71" s="162"/>
      <c r="G71" s="162"/>
      <c r="H71" s="163"/>
    </row>
    <row r="72" spans="1:8" ht="14.4" x14ac:dyDescent="0.3"/>
    <row r="73" spans="1:8" ht="14.4" x14ac:dyDescent="0.3"/>
    <row r="74" spans="1:8" ht="14.4" x14ac:dyDescent="0.3"/>
    <row r="75" spans="1:8" ht="14.4" x14ac:dyDescent="0.3"/>
    <row r="76" spans="1:8" ht="14.4" x14ac:dyDescent="0.3"/>
    <row r="77" spans="1:8" ht="14.4" x14ac:dyDescent="0.3"/>
    <row r="78" spans="1:8" ht="14.4" x14ac:dyDescent="0.3"/>
  </sheetData>
  <sheetProtection algorithmName="SHA-512" hashValue="FCh6DYZLh9QmVR0QGj56CiGylhTcZXLPYo03ZqMzI0i09LsEpctm8l6M5bfdhLKZez4pHDTMoWAS2G9E+1eALQ==" saltValue="Y/P3/VzkSrinTfejXlYo8Q==" spinCount="100000" sheet="1" objects="1" scenarios="1"/>
  <mergeCells count="62">
    <mergeCell ref="B50:F50"/>
    <mergeCell ref="B51:F51"/>
    <mergeCell ref="B52:F52"/>
    <mergeCell ref="B53:F53"/>
    <mergeCell ref="B54:F54"/>
    <mergeCell ref="A45:G45"/>
    <mergeCell ref="A46:A48"/>
    <mergeCell ref="B46:G48"/>
    <mergeCell ref="B49:E49"/>
    <mergeCell ref="F49:G49"/>
    <mergeCell ref="B38:F38"/>
    <mergeCell ref="B39:F39"/>
    <mergeCell ref="A41:G41"/>
    <mergeCell ref="B42:F42"/>
    <mergeCell ref="B43:F43"/>
    <mergeCell ref="A35:A37"/>
    <mergeCell ref="B35:C37"/>
    <mergeCell ref="D35:F35"/>
    <mergeCell ref="D36:F36"/>
    <mergeCell ref="D37:F37"/>
    <mergeCell ref="A31:A34"/>
    <mergeCell ref="B31:C34"/>
    <mergeCell ref="D31:F31"/>
    <mergeCell ref="D32:F32"/>
    <mergeCell ref="D33:F33"/>
    <mergeCell ref="D34:F34"/>
    <mergeCell ref="A25:G25"/>
    <mergeCell ref="B26:F26"/>
    <mergeCell ref="A28:G28"/>
    <mergeCell ref="B29:F29"/>
    <mergeCell ref="B30:F30"/>
    <mergeCell ref="A18:G18"/>
    <mergeCell ref="B19:F19"/>
    <mergeCell ref="B21:F21"/>
    <mergeCell ref="B22:F22"/>
    <mergeCell ref="B23:F23"/>
    <mergeCell ref="B14:D14"/>
    <mergeCell ref="E14:G14"/>
    <mergeCell ref="B15:D15"/>
    <mergeCell ref="E15:G15"/>
    <mergeCell ref="B16:D16"/>
    <mergeCell ref="E16:G16"/>
    <mergeCell ref="A11:G11"/>
    <mergeCell ref="B12:D12"/>
    <mergeCell ref="E12:G12"/>
    <mergeCell ref="B13:D13"/>
    <mergeCell ref="E13:G13"/>
    <mergeCell ref="K5:K6"/>
    <mergeCell ref="L5:L6"/>
    <mergeCell ref="M5:M6"/>
    <mergeCell ref="R5:R6"/>
    <mergeCell ref="A7:A8"/>
    <mergeCell ref="F5:F6"/>
    <mergeCell ref="G5:G6"/>
    <mergeCell ref="H5:H6"/>
    <mergeCell ref="I5:I6"/>
    <mergeCell ref="J5:J6"/>
    <mergeCell ref="A5:A6"/>
    <mergeCell ref="B5:B6"/>
    <mergeCell ref="C5:C6"/>
    <mergeCell ref="D5:D6"/>
    <mergeCell ref="E5:E6"/>
  </mergeCells>
  <dataValidations count="1">
    <dataValidation type="list" allowBlank="1" showInputMessage="1" showErrorMessage="1" sqref="F49" xr:uid="{00000000-0002-0000-0200-000000000000}">
      <formula1>"LUCRO REAL,LUCRO PRESUMIDO,SIMPLES NACIONAL,OUTRO"</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34"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1:H61"/>
  <sheetViews>
    <sheetView showGridLines="0" view="pageBreakPreview" topLeftCell="A21" zoomScaleNormal="110" zoomScaleSheetLayoutView="100" zoomScalePageLayoutView="140" workbookViewId="0">
      <selection activeCell="C60" sqref="C60"/>
    </sheetView>
  </sheetViews>
  <sheetFormatPr defaultColWidth="9" defaultRowHeight="14.25" customHeight="1" x14ac:dyDescent="0.3"/>
  <cols>
    <col min="2" max="2" width="55.5546875" customWidth="1"/>
    <col min="3" max="3" width="13.109375" customWidth="1"/>
    <col min="4" max="4" width="4.88671875" customWidth="1"/>
    <col min="5" max="5" width="41.6640625" customWidth="1"/>
    <col min="6" max="8" width="11" customWidth="1"/>
    <col min="258" max="258" width="55.5546875" customWidth="1"/>
    <col min="259" max="259" width="13.109375" customWidth="1"/>
    <col min="261" max="261" width="35.109375" customWidth="1"/>
    <col min="262" max="264" width="11" customWidth="1"/>
    <col min="514" max="514" width="55.5546875" customWidth="1"/>
    <col min="515" max="515" width="13.109375" customWidth="1"/>
    <col min="517" max="517" width="35.109375" customWidth="1"/>
    <col min="518" max="520" width="11" customWidth="1"/>
    <col min="770" max="770" width="55.5546875" customWidth="1"/>
    <col min="771" max="771" width="13.109375" customWidth="1"/>
    <col min="773" max="773" width="35.109375" customWidth="1"/>
    <col min="774" max="776" width="11" customWidth="1"/>
    <col min="1026" max="1026" width="55.5546875" customWidth="1"/>
    <col min="1027" max="1027" width="13.109375" customWidth="1"/>
    <col min="1029" max="1029" width="35.109375" customWidth="1"/>
    <col min="1030" max="1032" width="11" customWidth="1"/>
    <col min="1282" max="1282" width="55.5546875" customWidth="1"/>
    <col min="1283" max="1283" width="13.109375" customWidth="1"/>
    <col min="1285" max="1285" width="35.109375" customWidth="1"/>
    <col min="1286" max="1288" width="11" customWidth="1"/>
    <col min="1538" max="1538" width="55.5546875" customWidth="1"/>
    <col min="1539" max="1539" width="13.109375" customWidth="1"/>
    <col min="1541" max="1541" width="35.109375" customWidth="1"/>
    <col min="1542" max="1544" width="11" customWidth="1"/>
    <col min="1794" max="1794" width="55.5546875" customWidth="1"/>
    <col min="1795" max="1795" width="13.109375" customWidth="1"/>
    <col min="1797" max="1797" width="35.109375" customWidth="1"/>
    <col min="1798" max="1800" width="11" customWidth="1"/>
    <col min="2050" max="2050" width="55.5546875" customWidth="1"/>
    <col min="2051" max="2051" width="13.109375" customWidth="1"/>
    <col min="2053" max="2053" width="35.109375" customWidth="1"/>
    <col min="2054" max="2056" width="11" customWidth="1"/>
    <col min="2306" max="2306" width="55.5546875" customWidth="1"/>
    <col min="2307" max="2307" width="13.109375" customWidth="1"/>
    <col min="2309" max="2309" width="35.109375" customWidth="1"/>
    <col min="2310" max="2312" width="11" customWidth="1"/>
    <col min="2562" max="2562" width="55.5546875" customWidth="1"/>
    <col min="2563" max="2563" width="13.109375" customWidth="1"/>
    <col min="2565" max="2565" width="35.109375" customWidth="1"/>
    <col min="2566" max="2568" width="11" customWidth="1"/>
    <col min="2818" max="2818" width="55.5546875" customWidth="1"/>
    <col min="2819" max="2819" width="13.109375" customWidth="1"/>
    <col min="2821" max="2821" width="35.109375" customWidth="1"/>
    <col min="2822" max="2824" width="11" customWidth="1"/>
    <col min="3074" max="3074" width="55.5546875" customWidth="1"/>
    <col min="3075" max="3075" width="13.109375" customWidth="1"/>
    <col min="3077" max="3077" width="35.109375" customWidth="1"/>
    <col min="3078" max="3080" width="11" customWidth="1"/>
    <col min="3330" max="3330" width="55.5546875" customWidth="1"/>
    <col min="3331" max="3331" width="13.109375" customWidth="1"/>
    <col min="3333" max="3333" width="35.109375" customWidth="1"/>
    <col min="3334" max="3336" width="11" customWidth="1"/>
    <col min="3586" max="3586" width="55.5546875" customWidth="1"/>
    <col min="3587" max="3587" width="13.109375" customWidth="1"/>
    <col min="3589" max="3589" width="35.109375" customWidth="1"/>
    <col min="3590" max="3592" width="11" customWidth="1"/>
    <col min="3842" max="3842" width="55.5546875" customWidth="1"/>
    <col min="3843" max="3843" width="13.109375" customWidth="1"/>
    <col min="3845" max="3845" width="35.109375" customWidth="1"/>
    <col min="3846" max="3848" width="11" customWidth="1"/>
    <col min="4098" max="4098" width="55.5546875" customWidth="1"/>
    <col min="4099" max="4099" width="13.109375" customWidth="1"/>
    <col min="4101" max="4101" width="35.109375" customWidth="1"/>
    <col min="4102" max="4104" width="11" customWidth="1"/>
    <col min="4354" max="4354" width="55.5546875" customWidth="1"/>
    <col min="4355" max="4355" width="13.109375" customWidth="1"/>
    <col min="4357" max="4357" width="35.109375" customWidth="1"/>
    <col min="4358" max="4360" width="11" customWidth="1"/>
    <col min="4610" max="4610" width="55.5546875" customWidth="1"/>
    <col min="4611" max="4611" width="13.109375" customWidth="1"/>
    <col min="4613" max="4613" width="35.109375" customWidth="1"/>
    <col min="4614" max="4616" width="11" customWidth="1"/>
    <col min="4866" max="4866" width="55.5546875" customWidth="1"/>
    <col min="4867" max="4867" width="13.109375" customWidth="1"/>
    <col min="4869" max="4869" width="35.109375" customWidth="1"/>
    <col min="4870" max="4872" width="11" customWidth="1"/>
    <col min="5122" max="5122" width="55.5546875" customWidth="1"/>
    <col min="5123" max="5123" width="13.109375" customWidth="1"/>
    <col min="5125" max="5125" width="35.109375" customWidth="1"/>
    <col min="5126" max="5128" width="11" customWidth="1"/>
    <col min="5378" max="5378" width="55.5546875" customWidth="1"/>
    <col min="5379" max="5379" width="13.109375" customWidth="1"/>
    <col min="5381" max="5381" width="35.109375" customWidth="1"/>
    <col min="5382" max="5384" width="11" customWidth="1"/>
    <col min="5634" max="5634" width="55.5546875" customWidth="1"/>
    <col min="5635" max="5635" width="13.109375" customWidth="1"/>
    <col min="5637" max="5637" width="35.109375" customWidth="1"/>
    <col min="5638" max="5640" width="11" customWidth="1"/>
    <col min="5890" max="5890" width="55.5546875" customWidth="1"/>
    <col min="5891" max="5891" width="13.109375" customWidth="1"/>
    <col min="5893" max="5893" width="35.109375" customWidth="1"/>
    <col min="5894" max="5896" width="11" customWidth="1"/>
    <col min="6146" max="6146" width="55.5546875" customWidth="1"/>
    <col min="6147" max="6147" width="13.109375" customWidth="1"/>
    <col min="6149" max="6149" width="35.109375" customWidth="1"/>
    <col min="6150" max="6152" width="11" customWidth="1"/>
    <col min="6402" max="6402" width="55.5546875" customWidth="1"/>
    <col min="6403" max="6403" width="13.109375" customWidth="1"/>
    <col min="6405" max="6405" width="35.109375" customWidth="1"/>
    <col min="6406" max="6408" width="11" customWidth="1"/>
    <col min="6658" max="6658" width="55.5546875" customWidth="1"/>
    <col min="6659" max="6659" width="13.109375" customWidth="1"/>
    <col min="6661" max="6661" width="35.109375" customWidth="1"/>
    <col min="6662" max="6664" width="11" customWidth="1"/>
    <col min="6914" max="6914" width="55.5546875" customWidth="1"/>
    <col min="6915" max="6915" width="13.109375" customWidth="1"/>
    <col min="6917" max="6917" width="35.109375" customWidth="1"/>
    <col min="6918" max="6920" width="11" customWidth="1"/>
    <col min="7170" max="7170" width="55.5546875" customWidth="1"/>
    <col min="7171" max="7171" width="13.109375" customWidth="1"/>
    <col min="7173" max="7173" width="35.109375" customWidth="1"/>
    <col min="7174" max="7176" width="11" customWidth="1"/>
    <col min="7426" max="7426" width="55.5546875" customWidth="1"/>
    <col min="7427" max="7427" width="13.109375" customWidth="1"/>
    <col min="7429" max="7429" width="35.109375" customWidth="1"/>
    <col min="7430" max="7432" width="11" customWidth="1"/>
    <col min="7682" max="7682" width="55.5546875" customWidth="1"/>
    <col min="7683" max="7683" width="13.109375" customWidth="1"/>
    <col min="7685" max="7685" width="35.109375" customWidth="1"/>
    <col min="7686" max="7688" width="11" customWidth="1"/>
    <col min="7938" max="7938" width="55.5546875" customWidth="1"/>
    <col min="7939" max="7939" width="13.109375" customWidth="1"/>
    <col min="7941" max="7941" width="35.109375" customWidth="1"/>
    <col min="7942" max="7944" width="11" customWidth="1"/>
    <col min="8194" max="8194" width="55.5546875" customWidth="1"/>
    <col min="8195" max="8195" width="13.109375" customWidth="1"/>
    <col min="8197" max="8197" width="35.109375" customWidth="1"/>
    <col min="8198" max="8200" width="11" customWidth="1"/>
    <col min="8450" max="8450" width="55.5546875" customWidth="1"/>
    <col min="8451" max="8451" width="13.109375" customWidth="1"/>
    <col min="8453" max="8453" width="35.109375" customWidth="1"/>
    <col min="8454" max="8456" width="11" customWidth="1"/>
    <col min="8706" max="8706" width="55.5546875" customWidth="1"/>
    <col min="8707" max="8707" width="13.109375" customWidth="1"/>
    <col min="8709" max="8709" width="35.109375" customWidth="1"/>
    <col min="8710" max="8712" width="11" customWidth="1"/>
    <col min="8962" max="8962" width="55.5546875" customWidth="1"/>
    <col min="8963" max="8963" width="13.109375" customWidth="1"/>
    <col min="8965" max="8965" width="35.109375" customWidth="1"/>
    <col min="8966" max="8968" width="11" customWidth="1"/>
    <col min="9218" max="9218" width="55.5546875" customWidth="1"/>
    <col min="9219" max="9219" width="13.109375" customWidth="1"/>
    <col min="9221" max="9221" width="35.109375" customWidth="1"/>
    <col min="9222" max="9224" width="11" customWidth="1"/>
    <col min="9474" max="9474" width="55.5546875" customWidth="1"/>
    <col min="9475" max="9475" width="13.109375" customWidth="1"/>
    <col min="9477" max="9477" width="35.109375" customWidth="1"/>
    <col min="9478" max="9480" width="11" customWidth="1"/>
    <col min="9730" max="9730" width="55.5546875" customWidth="1"/>
    <col min="9731" max="9731" width="13.109375" customWidth="1"/>
    <col min="9733" max="9733" width="35.109375" customWidth="1"/>
    <col min="9734" max="9736" width="11" customWidth="1"/>
    <col min="9986" max="9986" width="55.5546875" customWidth="1"/>
    <col min="9987" max="9987" width="13.109375" customWidth="1"/>
    <col min="9989" max="9989" width="35.109375" customWidth="1"/>
    <col min="9990" max="9992" width="11" customWidth="1"/>
    <col min="10242" max="10242" width="55.5546875" customWidth="1"/>
    <col min="10243" max="10243" width="13.109375" customWidth="1"/>
    <col min="10245" max="10245" width="35.109375" customWidth="1"/>
    <col min="10246" max="10248" width="11" customWidth="1"/>
    <col min="10498" max="10498" width="55.5546875" customWidth="1"/>
    <col min="10499" max="10499" width="13.109375" customWidth="1"/>
    <col min="10501" max="10501" width="35.109375" customWidth="1"/>
    <col min="10502" max="10504" width="11" customWidth="1"/>
    <col min="10754" max="10754" width="55.5546875" customWidth="1"/>
    <col min="10755" max="10755" width="13.109375" customWidth="1"/>
    <col min="10757" max="10757" width="35.109375" customWidth="1"/>
    <col min="10758" max="10760" width="11" customWidth="1"/>
    <col min="11010" max="11010" width="55.5546875" customWidth="1"/>
    <col min="11011" max="11011" width="13.109375" customWidth="1"/>
    <col min="11013" max="11013" width="35.109375" customWidth="1"/>
    <col min="11014" max="11016" width="11" customWidth="1"/>
    <col min="11266" max="11266" width="55.5546875" customWidth="1"/>
    <col min="11267" max="11267" width="13.109375" customWidth="1"/>
    <col min="11269" max="11269" width="35.109375" customWidth="1"/>
    <col min="11270" max="11272" width="11" customWidth="1"/>
    <col min="11522" max="11522" width="55.5546875" customWidth="1"/>
    <col min="11523" max="11523" width="13.109375" customWidth="1"/>
    <col min="11525" max="11525" width="35.109375" customWidth="1"/>
    <col min="11526" max="11528" width="11" customWidth="1"/>
    <col min="11778" max="11778" width="55.5546875" customWidth="1"/>
    <col min="11779" max="11779" width="13.109375" customWidth="1"/>
    <col min="11781" max="11781" width="35.109375" customWidth="1"/>
    <col min="11782" max="11784" width="11" customWidth="1"/>
    <col min="12034" max="12034" width="55.5546875" customWidth="1"/>
    <col min="12035" max="12035" width="13.109375" customWidth="1"/>
    <col min="12037" max="12037" width="35.109375" customWidth="1"/>
    <col min="12038" max="12040" width="11" customWidth="1"/>
    <col min="12290" max="12290" width="55.5546875" customWidth="1"/>
    <col min="12291" max="12291" width="13.109375" customWidth="1"/>
    <col min="12293" max="12293" width="35.109375" customWidth="1"/>
    <col min="12294" max="12296" width="11" customWidth="1"/>
    <col min="12546" max="12546" width="55.5546875" customWidth="1"/>
    <col min="12547" max="12547" width="13.109375" customWidth="1"/>
    <col min="12549" max="12549" width="35.109375" customWidth="1"/>
    <col min="12550" max="12552" width="11" customWidth="1"/>
    <col min="12802" max="12802" width="55.5546875" customWidth="1"/>
    <col min="12803" max="12803" width="13.109375" customWidth="1"/>
    <col min="12805" max="12805" width="35.109375" customWidth="1"/>
    <col min="12806" max="12808" width="11" customWidth="1"/>
    <col min="13058" max="13058" width="55.5546875" customWidth="1"/>
    <col min="13059" max="13059" width="13.109375" customWidth="1"/>
    <col min="13061" max="13061" width="35.109375" customWidth="1"/>
    <col min="13062" max="13064" width="11" customWidth="1"/>
    <col min="13314" max="13314" width="55.5546875" customWidth="1"/>
    <col min="13315" max="13315" width="13.109375" customWidth="1"/>
    <col min="13317" max="13317" width="35.109375" customWidth="1"/>
    <col min="13318" max="13320" width="11" customWidth="1"/>
    <col min="13570" max="13570" width="55.5546875" customWidth="1"/>
    <col min="13571" max="13571" width="13.109375" customWidth="1"/>
    <col min="13573" max="13573" width="35.109375" customWidth="1"/>
    <col min="13574" max="13576" width="11" customWidth="1"/>
    <col min="13826" max="13826" width="55.5546875" customWidth="1"/>
    <col min="13827" max="13827" width="13.109375" customWidth="1"/>
    <col min="13829" max="13829" width="35.109375" customWidth="1"/>
    <col min="13830" max="13832" width="11" customWidth="1"/>
    <col min="14082" max="14082" width="55.5546875" customWidth="1"/>
    <col min="14083" max="14083" width="13.109375" customWidth="1"/>
    <col min="14085" max="14085" width="35.109375" customWidth="1"/>
    <col min="14086" max="14088" width="11" customWidth="1"/>
    <col min="14338" max="14338" width="55.5546875" customWidth="1"/>
    <col min="14339" max="14339" width="13.109375" customWidth="1"/>
    <col min="14341" max="14341" width="35.109375" customWidth="1"/>
    <col min="14342" max="14344" width="11" customWidth="1"/>
    <col min="14594" max="14594" width="55.5546875" customWidth="1"/>
    <col min="14595" max="14595" width="13.109375" customWidth="1"/>
    <col min="14597" max="14597" width="35.109375" customWidth="1"/>
    <col min="14598" max="14600" width="11" customWidth="1"/>
    <col min="14850" max="14850" width="55.5546875" customWidth="1"/>
    <col min="14851" max="14851" width="13.109375" customWidth="1"/>
    <col min="14853" max="14853" width="35.109375" customWidth="1"/>
    <col min="14854" max="14856" width="11" customWidth="1"/>
    <col min="15106" max="15106" width="55.5546875" customWidth="1"/>
    <col min="15107" max="15107" width="13.109375" customWidth="1"/>
    <col min="15109" max="15109" width="35.109375" customWidth="1"/>
    <col min="15110" max="15112" width="11" customWidth="1"/>
    <col min="15362" max="15362" width="55.5546875" customWidth="1"/>
    <col min="15363" max="15363" width="13.109375" customWidth="1"/>
    <col min="15365" max="15365" width="35.109375" customWidth="1"/>
    <col min="15366" max="15368" width="11" customWidth="1"/>
    <col min="15618" max="15618" width="55.5546875" customWidth="1"/>
    <col min="15619" max="15619" width="13.109375" customWidth="1"/>
    <col min="15621" max="15621" width="35.109375" customWidth="1"/>
    <col min="15622" max="15624" width="11" customWidth="1"/>
    <col min="15874" max="15874" width="55.5546875" customWidth="1"/>
    <col min="15875" max="15875" width="13.109375" customWidth="1"/>
    <col min="15877" max="15877" width="35.109375" customWidth="1"/>
    <col min="15878" max="15880" width="11" customWidth="1"/>
    <col min="16130" max="16130" width="55.5546875" customWidth="1"/>
    <col min="16131" max="16131" width="13.109375" customWidth="1"/>
    <col min="16133" max="16133" width="35.109375" customWidth="1"/>
    <col min="16134" max="16136" width="11" customWidth="1"/>
  </cols>
  <sheetData>
    <row r="1" spans="1:4" ht="14.4" x14ac:dyDescent="0.3">
      <c r="A1" s="164"/>
      <c r="B1" s="165" t="str">
        <f>INSTRUÇÕES!B1</f>
        <v>Tribunal Regional Federal da 6ª Região</v>
      </c>
      <c r="C1" s="166"/>
    </row>
    <row r="2" spans="1:4" ht="14.4" x14ac:dyDescent="0.3">
      <c r="A2" s="167"/>
      <c r="B2" s="119" t="str">
        <f>INSTRUÇÕES!B2</f>
        <v>Seção Judiciária de Minas Gerais</v>
      </c>
      <c r="C2" s="168"/>
    </row>
    <row r="3" spans="1:4" ht="14.4" x14ac:dyDescent="0.3">
      <c r="A3" s="169"/>
      <c r="B3" s="119" t="str">
        <f>INSTRUÇÕES!B3</f>
        <v>Subseção Judiciária de Manhuaçu</v>
      </c>
      <c r="C3" s="168"/>
    </row>
    <row r="4" spans="1:4" ht="21.75" customHeight="1" x14ac:dyDescent="0.3">
      <c r="A4" s="631" t="s">
        <v>231</v>
      </c>
      <c r="B4" s="631"/>
      <c r="C4" s="631"/>
    </row>
    <row r="5" spans="1:4" ht="21.75" customHeight="1" x14ac:dyDescent="0.3">
      <c r="A5" s="631" t="s">
        <v>232</v>
      </c>
      <c r="B5" s="631"/>
      <c r="C5" s="631"/>
    </row>
    <row r="6" spans="1:4" ht="26.25" customHeight="1" x14ac:dyDescent="0.3">
      <c r="A6" s="632" t="s">
        <v>233</v>
      </c>
      <c r="B6" s="632"/>
      <c r="C6" s="632"/>
    </row>
    <row r="7" spans="1:4" ht="14.4" x14ac:dyDescent="0.3">
      <c r="A7" s="633" t="s">
        <v>234</v>
      </c>
      <c r="B7" s="633"/>
      <c r="C7" s="633"/>
    </row>
    <row r="8" spans="1:4" ht="15.75" customHeight="1" x14ac:dyDescent="0.3">
      <c r="A8" s="170" t="s">
        <v>52</v>
      </c>
      <c r="B8" s="171" t="s">
        <v>235</v>
      </c>
      <c r="C8" s="172" t="s">
        <v>236</v>
      </c>
    </row>
    <row r="9" spans="1:4" ht="15.75" customHeight="1" x14ac:dyDescent="0.3">
      <c r="A9" s="173" t="s">
        <v>237</v>
      </c>
      <c r="B9" s="634" t="s">
        <v>238</v>
      </c>
      <c r="C9" s="634"/>
    </row>
    <row r="10" spans="1:4" ht="15.75" customHeight="1" x14ac:dyDescent="0.3">
      <c r="A10" s="174">
        <v>1</v>
      </c>
      <c r="B10" s="175" t="s">
        <v>239</v>
      </c>
      <c r="C10" s="176">
        <v>0.2</v>
      </c>
    </row>
    <row r="11" spans="1:4" ht="15.75" customHeight="1" x14ac:dyDescent="0.3">
      <c r="A11" s="174">
        <v>2</v>
      </c>
      <c r="B11" s="175" t="s">
        <v>240</v>
      </c>
      <c r="C11" s="176">
        <v>1.4999999999999999E-2</v>
      </c>
    </row>
    <row r="12" spans="1:4" ht="15.75" customHeight="1" x14ac:dyDescent="0.3">
      <c r="A12" s="174">
        <v>3</v>
      </c>
      <c r="B12" s="175" t="s">
        <v>241</v>
      </c>
      <c r="C12" s="176">
        <v>0.01</v>
      </c>
    </row>
    <row r="13" spans="1:4" ht="15.75" customHeight="1" x14ac:dyDescent="0.3">
      <c r="A13" s="174">
        <v>4</v>
      </c>
      <c r="B13" s="175" t="s">
        <v>242</v>
      </c>
      <c r="C13" s="176">
        <v>2E-3</v>
      </c>
    </row>
    <row r="14" spans="1:4" ht="15.75" customHeight="1" x14ac:dyDescent="0.3">
      <c r="A14" s="174">
        <v>5</v>
      </c>
      <c r="B14" s="175" t="s">
        <v>243</v>
      </c>
      <c r="C14" s="176">
        <v>2.5000000000000001E-2</v>
      </c>
    </row>
    <row r="15" spans="1:4" ht="15.75" customHeight="1" x14ac:dyDescent="0.3">
      <c r="A15" s="174">
        <v>6</v>
      </c>
      <c r="B15" s="175" t="s">
        <v>244</v>
      </c>
      <c r="C15" s="176">
        <v>0.08</v>
      </c>
    </row>
    <row r="16" spans="1:4" ht="15.75" customHeight="1" x14ac:dyDescent="0.3">
      <c r="A16" s="174">
        <v>7</v>
      </c>
      <c r="B16" s="175" t="s">
        <v>245</v>
      </c>
      <c r="C16" s="177">
        <f>Dados!G21</f>
        <v>0.01</v>
      </c>
      <c r="D16" s="178" t="s">
        <v>246</v>
      </c>
    </row>
    <row r="17" spans="1:3" ht="15.75" customHeight="1" x14ac:dyDescent="0.3">
      <c r="A17" s="174">
        <v>8</v>
      </c>
      <c r="B17" s="175" t="s">
        <v>247</v>
      </c>
      <c r="C17" s="176">
        <v>6.0000000000000001E-3</v>
      </c>
    </row>
    <row r="18" spans="1:3" ht="15.75" customHeight="1" x14ac:dyDescent="0.3">
      <c r="A18" s="635" t="s">
        <v>248</v>
      </c>
      <c r="B18" s="635"/>
      <c r="C18" s="179">
        <f>SUM(C10:C17)</f>
        <v>0.34800000000000009</v>
      </c>
    </row>
    <row r="19" spans="1:3" ht="15.75" customHeight="1" x14ac:dyDescent="0.3">
      <c r="A19" s="636" t="s">
        <v>249</v>
      </c>
      <c r="B19" s="636"/>
      <c r="C19" s="636"/>
    </row>
    <row r="20" spans="1:3" ht="15.75" customHeight="1" x14ac:dyDescent="0.3">
      <c r="A20" s="636" t="s">
        <v>250</v>
      </c>
      <c r="B20" s="636"/>
      <c r="C20" s="636"/>
    </row>
    <row r="21" spans="1:3" ht="15.75" customHeight="1" x14ac:dyDescent="0.3">
      <c r="A21" s="174">
        <v>9</v>
      </c>
      <c r="B21" s="180" t="s">
        <v>251</v>
      </c>
      <c r="C21" s="536">
        <f>ROUND((100%/11),4)</f>
        <v>9.0899999999999995E-2</v>
      </c>
    </row>
    <row r="22" spans="1:3" ht="15.75" customHeight="1" x14ac:dyDescent="0.3">
      <c r="A22" s="174">
        <v>10</v>
      </c>
      <c r="B22" s="180" t="s">
        <v>252</v>
      </c>
      <c r="C22" s="536">
        <f>ROUND((C21/3),4)</f>
        <v>3.0300000000000001E-2</v>
      </c>
    </row>
    <row r="23" spans="1:3" ht="15.75" customHeight="1" x14ac:dyDescent="0.3">
      <c r="A23" s="637" t="s">
        <v>253</v>
      </c>
      <c r="B23" s="637"/>
      <c r="C23" s="181">
        <f>SUM(C21:C22)</f>
        <v>0.1212</v>
      </c>
    </row>
    <row r="24" spans="1:3" ht="15.75" customHeight="1" x14ac:dyDescent="0.3">
      <c r="A24" s="638" t="s">
        <v>254</v>
      </c>
      <c r="B24" s="638"/>
      <c r="C24" s="177">
        <f>(C18*C23)</f>
        <v>4.217760000000001E-2</v>
      </c>
    </row>
    <row r="25" spans="1:3" ht="15.75" customHeight="1" x14ac:dyDescent="0.3">
      <c r="A25" s="637" t="s">
        <v>255</v>
      </c>
      <c r="B25" s="637"/>
      <c r="C25" s="181">
        <f>SUM(C23:C24)</f>
        <v>0.16337760000000001</v>
      </c>
    </row>
    <row r="26" spans="1:3" ht="15.75" customHeight="1" x14ac:dyDescent="0.3">
      <c r="A26" s="173" t="s">
        <v>256</v>
      </c>
      <c r="B26" s="634" t="s">
        <v>257</v>
      </c>
      <c r="C26" s="634"/>
    </row>
    <row r="27" spans="1:3" ht="15.75" customHeight="1" x14ac:dyDescent="0.3">
      <c r="A27" s="174">
        <v>11</v>
      </c>
      <c r="B27" s="175" t="s">
        <v>258</v>
      </c>
      <c r="C27" s="176">
        <f>ROUND((0.0144*0.1*0.4509*6/12),4)</f>
        <v>2.9999999999999997E-4</v>
      </c>
    </row>
    <row r="28" spans="1:3" ht="15.75" customHeight="1" x14ac:dyDescent="0.3">
      <c r="A28" s="638" t="s">
        <v>259</v>
      </c>
      <c r="B28" s="638"/>
      <c r="C28" s="182">
        <f>C18*C27</f>
        <v>1.0440000000000002E-4</v>
      </c>
    </row>
    <row r="29" spans="1:3" ht="15.75" customHeight="1" x14ac:dyDescent="0.3">
      <c r="A29" s="637" t="s">
        <v>260</v>
      </c>
      <c r="B29" s="637"/>
      <c r="C29" s="183">
        <f>SUM(C27:C28)</f>
        <v>4.0439999999999996E-4</v>
      </c>
    </row>
    <row r="30" spans="1:3" ht="15.75" customHeight="1" x14ac:dyDescent="0.3">
      <c r="A30" s="173" t="s">
        <v>261</v>
      </c>
      <c r="B30" s="634" t="s">
        <v>262</v>
      </c>
      <c r="C30" s="634"/>
    </row>
    <row r="31" spans="1:3" ht="15.75" customHeight="1" x14ac:dyDescent="0.3">
      <c r="A31" s="174">
        <v>12</v>
      </c>
      <c r="B31" s="175" t="s">
        <v>263</v>
      </c>
      <c r="C31" s="176">
        <f>ROUND((100%/12)*5%,4)</f>
        <v>4.1999999999999997E-3</v>
      </c>
    </row>
    <row r="32" spans="1:3" ht="15.75" customHeight="1" x14ac:dyDescent="0.3">
      <c r="A32" s="639" t="s">
        <v>264</v>
      </c>
      <c r="B32" s="639"/>
      <c r="C32" s="177">
        <f>C15*C31</f>
        <v>3.3599999999999998E-4</v>
      </c>
    </row>
    <row r="33" spans="1:8" ht="15.75" customHeight="1" x14ac:dyDescent="0.3">
      <c r="A33" s="174">
        <v>13</v>
      </c>
      <c r="B33" s="175" t="s">
        <v>265</v>
      </c>
      <c r="C33" s="536">
        <f>ROUND((C15*0.4*0.9*(1+1/11+1/11+(1/3*1/11))),5)</f>
        <v>3.4909999999999997E-2</v>
      </c>
    </row>
    <row r="34" spans="1:8" ht="15.75" customHeight="1" x14ac:dyDescent="0.3">
      <c r="A34" s="174">
        <v>14</v>
      </c>
      <c r="B34" s="175" t="s">
        <v>266</v>
      </c>
      <c r="C34" s="176">
        <v>4.0000000000000002E-4</v>
      </c>
    </row>
    <row r="35" spans="1:8" ht="15.75" customHeight="1" x14ac:dyDescent="0.3">
      <c r="A35" s="639" t="s">
        <v>267</v>
      </c>
      <c r="B35" s="639"/>
      <c r="C35" s="177">
        <f>ROUND((C34*C18),4)</f>
        <v>1E-4</v>
      </c>
    </row>
    <row r="36" spans="1:8" ht="15.75" customHeight="1" x14ac:dyDescent="0.3">
      <c r="A36" s="174">
        <v>15</v>
      </c>
      <c r="B36" s="175" t="s">
        <v>268</v>
      </c>
      <c r="C36" s="177">
        <f>(0.4*C15/100)</f>
        <v>3.2000000000000003E-4</v>
      </c>
    </row>
    <row r="37" spans="1:8" ht="15.75" customHeight="1" x14ac:dyDescent="0.3">
      <c r="A37" s="640" t="s">
        <v>269</v>
      </c>
      <c r="B37" s="640"/>
      <c r="C37" s="181">
        <f>SUM(C31:C36)</f>
        <v>4.0265999999999996E-2</v>
      </c>
    </row>
    <row r="38" spans="1:8" ht="15.75" customHeight="1" x14ac:dyDescent="0.3">
      <c r="A38" s="173" t="s">
        <v>270</v>
      </c>
      <c r="B38" s="634" t="s">
        <v>271</v>
      </c>
      <c r="C38" s="634"/>
    </row>
    <row r="39" spans="1:8" ht="15.75" customHeight="1" x14ac:dyDescent="0.3">
      <c r="A39" s="174">
        <v>16</v>
      </c>
      <c r="B39" s="175" t="s">
        <v>272</v>
      </c>
      <c r="C39" s="536">
        <f>ROUND((100%/11),4)</f>
        <v>9.0899999999999995E-2</v>
      </c>
    </row>
    <row r="40" spans="1:8" ht="15.75" customHeight="1" x14ac:dyDescent="0.3">
      <c r="A40" s="174">
        <v>17</v>
      </c>
      <c r="B40" s="175" t="s">
        <v>273</v>
      </c>
      <c r="C40" s="176">
        <v>1.5E-3</v>
      </c>
    </row>
    <row r="41" spans="1:8" ht="15.75" customHeight="1" x14ac:dyDescent="0.3">
      <c r="A41" s="174">
        <v>18</v>
      </c>
      <c r="B41" s="175" t="s">
        <v>274</v>
      </c>
      <c r="C41" s="176">
        <f>ROUND((5/30/12)*0.022,4)</f>
        <v>2.9999999999999997E-4</v>
      </c>
    </row>
    <row r="42" spans="1:8" ht="15.75" customHeight="1" x14ac:dyDescent="0.3">
      <c r="A42" s="174">
        <v>19</v>
      </c>
      <c r="B42" s="175" t="s">
        <v>275</v>
      </c>
      <c r="C42" s="176">
        <f>ROUND((1/30/12),4)</f>
        <v>2.8E-3</v>
      </c>
    </row>
    <row r="43" spans="1:8" ht="15.75" customHeight="1" x14ac:dyDescent="0.3">
      <c r="A43" s="174">
        <v>20</v>
      </c>
      <c r="B43" s="175" t="s">
        <v>276</v>
      </c>
      <c r="C43" s="176">
        <f>ROUND((15/30/12*0.0078),4)</f>
        <v>2.9999999999999997E-4</v>
      </c>
    </row>
    <row r="44" spans="1:8" ht="15.75" customHeight="1" x14ac:dyDescent="0.3">
      <c r="A44" s="640" t="s">
        <v>253</v>
      </c>
      <c r="B44" s="640"/>
      <c r="C44" s="181">
        <f>SUM(C39:C43)</f>
        <v>9.5799999999999982E-2</v>
      </c>
      <c r="E44" s="641" t="s">
        <v>277</v>
      </c>
      <c r="F44" s="641"/>
      <c r="G44" s="641"/>
      <c r="H44" s="641"/>
    </row>
    <row r="45" spans="1:8" ht="15.75" customHeight="1" x14ac:dyDescent="0.3">
      <c r="A45" s="639" t="s">
        <v>278</v>
      </c>
      <c r="B45" s="639"/>
      <c r="C45" s="177">
        <f>C18*C44</f>
        <v>3.3338400000000004E-2</v>
      </c>
      <c r="E45" s="641"/>
      <c r="F45" s="641"/>
      <c r="G45" s="641"/>
      <c r="H45" s="641"/>
    </row>
    <row r="46" spans="1:8" ht="15" customHeight="1" x14ac:dyDescent="0.3">
      <c r="A46" s="640" t="s">
        <v>279</v>
      </c>
      <c r="B46" s="640"/>
      <c r="C46" s="181">
        <f>SUM(C44:C45)</f>
        <v>0.12913839999999999</v>
      </c>
      <c r="E46" s="642" t="s">
        <v>280</v>
      </c>
      <c r="F46" s="643" t="s">
        <v>281</v>
      </c>
      <c r="G46" s="643"/>
      <c r="H46" s="643"/>
    </row>
    <row r="47" spans="1:8" ht="15.75" customHeight="1" x14ac:dyDescent="0.3">
      <c r="A47" s="184" t="s">
        <v>282</v>
      </c>
      <c r="B47" s="185" t="s">
        <v>283</v>
      </c>
      <c r="C47" s="186" t="s">
        <v>177</v>
      </c>
      <c r="E47" s="642"/>
      <c r="F47" s="643" t="s">
        <v>284</v>
      </c>
      <c r="G47" s="643"/>
      <c r="H47" s="643"/>
    </row>
    <row r="48" spans="1:8" ht="15.75" customHeight="1" x14ac:dyDescent="0.3">
      <c r="A48" s="174">
        <v>21</v>
      </c>
      <c r="B48" s="175" t="s">
        <v>285</v>
      </c>
      <c r="C48" s="176">
        <f>1*1%/12</f>
        <v>8.3333333333333339E-4</v>
      </c>
      <c r="E48" s="187" t="s">
        <v>286</v>
      </c>
      <c r="F48" s="188" t="s">
        <v>287</v>
      </c>
      <c r="G48" s="188" t="s">
        <v>288</v>
      </c>
      <c r="H48" s="189" t="s">
        <v>289</v>
      </c>
    </row>
    <row r="49" spans="1:8" ht="15.75" customHeight="1" x14ac:dyDescent="0.3">
      <c r="A49" s="640" t="s">
        <v>290</v>
      </c>
      <c r="B49" s="640"/>
      <c r="C49" s="181">
        <f>SUM(C47:C48)</f>
        <v>8.3333333333333339E-4</v>
      </c>
      <c r="E49" s="187" t="s">
        <v>291</v>
      </c>
      <c r="F49" s="190">
        <v>0.34300000000000003</v>
      </c>
      <c r="G49" s="190">
        <v>0.39800000000000002</v>
      </c>
      <c r="H49" s="191">
        <f>$C$18</f>
        <v>0.34800000000000009</v>
      </c>
    </row>
    <row r="50" spans="1:8" ht="15.75" customHeight="1" x14ac:dyDescent="0.3">
      <c r="A50" s="644" t="s">
        <v>292</v>
      </c>
      <c r="B50" s="644"/>
      <c r="C50" s="644"/>
      <c r="E50" s="187" t="s">
        <v>293</v>
      </c>
      <c r="F50" s="190">
        <v>5.0000000000000001E-3</v>
      </c>
      <c r="G50" s="190">
        <v>0.06</v>
      </c>
      <c r="H50" s="191">
        <f>$C$16</f>
        <v>0.01</v>
      </c>
    </row>
    <row r="51" spans="1:8" ht="15.75" customHeight="1" x14ac:dyDescent="0.3">
      <c r="A51" s="639" t="s">
        <v>238</v>
      </c>
      <c r="B51" s="639"/>
      <c r="C51" s="177">
        <f>ROUND(C18,4)</f>
        <v>0.34799999999999998</v>
      </c>
      <c r="E51" s="192" t="s">
        <v>294</v>
      </c>
      <c r="F51" s="193">
        <f>$C$21</f>
        <v>9.0899999999999995E-2</v>
      </c>
      <c r="G51" s="193">
        <f>$F$51</f>
        <v>9.0899999999999995E-2</v>
      </c>
      <c r="H51" s="194">
        <f>$F$51</f>
        <v>9.0899999999999995E-2</v>
      </c>
    </row>
    <row r="52" spans="1:8" ht="15.75" customHeight="1" x14ac:dyDescent="0.3">
      <c r="A52" s="639" t="s">
        <v>295</v>
      </c>
      <c r="B52" s="639"/>
      <c r="C52" s="177">
        <f>ROUND(C25,4)</f>
        <v>0.16339999999999999</v>
      </c>
      <c r="E52" s="192" t="s">
        <v>296</v>
      </c>
      <c r="F52" s="193">
        <f>$C$39</f>
        <v>9.0899999999999995E-2</v>
      </c>
      <c r="G52" s="193">
        <f>$F$52</f>
        <v>9.0899999999999995E-2</v>
      </c>
      <c r="H52" s="194">
        <f>$F$52</f>
        <v>9.0899999999999995E-2</v>
      </c>
    </row>
    <row r="53" spans="1:8" ht="15.75" customHeight="1" x14ac:dyDescent="0.3">
      <c r="A53" s="639" t="s">
        <v>257</v>
      </c>
      <c r="B53" s="639"/>
      <c r="C53" s="177">
        <f>ROUND(C29,4)</f>
        <v>4.0000000000000002E-4</v>
      </c>
      <c r="E53" s="192" t="s">
        <v>297</v>
      </c>
      <c r="F53" s="193">
        <f>$C$22</f>
        <v>3.0300000000000001E-2</v>
      </c>
      <c r="G53" s="193">
        <f>$F$53</f>
        <v>3.0300000000000001E-2</v>
      </c>
      <c r="H53" s="194">
        <f>$F$53</f>
        <v>3.0300000000000001E-2</v>
      </c>
    </row>
    <row r="54" spans="1:8" ht="15.75" customHeight="1" x14ac:dyDescent="0.3">
      <c r="A54" s="639" t="s">
        <v>298</v>
      </c>
      <c r="B54" s="639"/>
      <c r="C54" s="177">
        <f>ROUND(C37,4)</f>
        <v>4.0300000000000002E-2</v>
      </c>
      <c r="E54" s="195" t="s">
        <v>253</v>
      </c>
      <c r="F54" s="196">
        <f>SUM(F51:F53)</f>
        <v>0.21209999999999998</v>
      </c>
      <c r="G54" s="196">
        <f>SUM(G51:G53)</f>
        <v>0.21209999999999998</v>
      </c>
      <c r="H54" s="197">
        <f>ROUND((SUM(H51:H53)),4)</f>
        <v>0.21210000000000001</v>
      </c>
    </row>
    <row r="55" spans="1:8" ht="15.75" customHeight="1" x14ac:dyDescent="0.3">
      <c r="A55" s="639" t="s">
        <v>299</v>
      </c>
      <c r="B55" s="639"/>
      <c r="C55" s="177">
        <f>ROUND(C46,4)</f>
        <v>0.12909999999999999</v>
      </c>
      <c r="E55" s="192" t="s">
        <v>300</v>
      </c>
      <c r="F55" s="193">
        <f>F54*F49</f>
        <v>7.2750300000000004E-2</v>
      </c>
      <c r="G55" s="193">
        <f>G54*G49</f>
        <v>8.4415799999999999E-2</v>
      </c>
      <c r="H55" s="194">
        <f>ROUND((H54*H49),4)</f>
        <v>7.3800000000000004E-2</v>
      </c>
    </row>
    <row r="56" spans="1:8" ht="15.75" customHeight="1" x14ac:dyDescent="0.3">
      <c r="A56" s="639" t="s">
        <v>285</v>
      </c>
      <c r="B56" s="639"/>
      <c r="C56" s="177">
        <f>ROUND(C49,4)</f>
        <v>8.0000000000000004E-4</v>
      </c>
      <c r="E56" s="192" t="s">
        <v>301</v>
      </c>
      <c r="F56" s="193">
        <v>3.4909999999999997E-2</v>
      </c>
      <c r="G56" s="193">
        <v>3.4909999999999997E-2</v>
      </c>
      <c r="H56" s="198">
        <f>C33</f>
        <v>3.4909999999999997E-2</v>
      </c>
    </row>
    <row r="57" spans="1:8" ht="15.75" customHeight="1" x14ac:dyDescent="0.3">
      <c r="A57" s="645" t="s">
        <v>302</v>
      </c>
      <c r="B57" s="645"/>
      <c r="C57" s="179">
        <f>SUM(C51:C56)</f>
        <v>0.68199999999999994</v>
      </c>
      <c r="E57" s="199" t="s">
        <v>303</v>
      </c>
      <c r="F57" s="200">
        <f>SUM(F54:F56)</f>
        <v>0.3197603</v>
      </c>
      <c r="G57" s="200">
        <f>SUM(G54:G56)</f>
        <v>0.33142579999999999</v>
      </c>
      <c r="H57" s="201">
        <f>ROUND((SUM(H54:H56)),4)</f>
        <v>0.32079999999999997</v>
      </c>
    </row>
    <row r="58" spans="1:8" ht="24" x14ac:dyDescent="0.3">
      <c r="A58" s="202" t="s">
        <v>43</v>
      </c>
      <c r="B58" s="203"/>
      <c r="C58" s="204"/>
      <c r="E58" s="192" t="s">
        <v>304</v>
      </c>
      <c r="F58" s="193" t="s">
        <v>177</v>
      </c>
      <c r="G58" s="193" t="s">
        <v>177</v>
      </c>
      <c r="H58" s="194" t="s">
        <v>177</v>
      </c>
    </row>
    <row r="59" spans="1:8" ht="54.75" customHeight="1" x14ac:dyDescent="0.3">
      <c r="A59" s="646" t="s">
        <v>305</v>
      </c>
      <c r="B59" s="646"/>
      <c r="C59" s="646"/>
      <c r="E59" s="205" t="s">
        <v>306</v>
      </c>
      <c r="F59" s="206">
        <f>F57</f>
        <v>0.3197603</v>
      </c>
      <c r="G59" s="206">
        <f>G57</f>
        <v>0.33142579999999999</v>
      </c>
      <c r="H59" s="207">
        <f>ROUND((H57),4)</f>
        <v>0.32079999999999997</v>
      </c>
    </row>
    <row r="61" spans="1:8" ht="12.75" customHeight="1" x14ac:dyDescent="0.3"/>
  </sheetData>
  <sheetProtection algorithmName="SHA-512" hashValue="U0JiJZtfzwQ3ZkS4lnSxxKMO+S52cHtqJDTF2XNem5+Tqf4/lzxJvyzNRIdx16hDC4FyPUxfd6/8rgpyNn0KRQ==" saltValue="ExN1zT4QD5JSwNu01UeiXw==" spinCount="100000" sheet="1" objects="1" scenarios="1"/>
  <mergeCells count="36">
    <mergeCell ref="A54:B54"/>
    <mergeCell ref="A55:B55"/>
    <mergeCell ref="A56:B56"/>
    <mergeCell ref="A57:B57"/>
    <mergeCell ref="A59:C59"/>
    <mergeCell ref="A49:B49"/>
    <mergeCell ref="A50:C50"/>
    <mergeCell ref="A51:B51"/>
    <mergeCell ref="A52:B52"/>
    <mergeCell ref="A53:B53"/>
    <mergeCell ref="E44:H45"/>
    <mergeCell ref="A45:B45"/>
    <mergeCell ref="A46:B46"/>
    <mergeCell ref="E46:E47"/>
    <mergeCell ref="F46:H46"/>
    <mergeCell ref="F47:H47"/>
    <mergeCell ref="A32:B32"/>
    <mergeCell ref="A35:B35"/>
    <mergeCell ref="A37:B37"/>
    <mergeCell ref="B38:C38"/>
    <mergeCell ref="A44:B44"/>
    <mergeCell ref="A25:B25"/>
    <mergeCell ref="B26:C26"/>
    <mergeCell ref="A28:B28"/>
    <mergeCell ref="A29:B29"/>
    <mergeCell ref="B30:C30"/>
    <mergeCell ref="A18:B18"/>
    <mergeCell ref="A19:C19"/>
    <mergeCell ref="A20:C20"/>
    <mergeCell ref="A23:B23"/>
    <mergeCell ref="A24:B24"/>
    <mergeCell ref="A4:C4"/>
    <mergeCell ref="A5:C5"/>
    <mergeCell ref="A6:C6"/>
    <mergeCell ref="A7:C7"/>
    <mergeCell ref="B9:C9"/>
  </mergeCells>
  <printOptions horizontalCentered="1" verticalCentered="1"/>
  <pageMargins left="0.51180555555555596" right="0.51180555555555596" top="0.78749999999999998" bottom="0.78749999999999998" header="0.511811023622047" footer="0.511811023622047"/>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S77"/>
  <sheetViews>
    <sheetView showGridLines="0" view="pageBreakPreview" zoomScale="55" zoomScaleNormal="100" zoomScaleSheetLayoutView="55" zoomScalePageLayoutView="140" workbookViewId="0">
      <selection activeCell="K46" sqref="K46"/>
    </sheetView>
  </sheetViews>
  <sheetFormatPr defaultColWidth="9" defaultRowHeight="14.25" customHeight="1" x14ac:dyDescent="0.3"/>
  <cols>
    <col min="1" max="1" width="5" style="87" customWidth="1"/>
    <col min="2" max="2" width="67.88671875" style="65" customWidth="1"/>
    <col min="3" max="3" width="10.44140625" style="65" customWidth="1"/>
    <col min="4" max="4" width="10.6640625" style="540" customWidth="1"/>
    <col min="5" max="5" width="15.6640625" style="65" customWidth="1"/>
    <col min="6" max="6" width="18.44140625" style="65" customWidth="1"/>
    <col min="7" max="7" width="15.6640625" style="87" customWidth="1"/>
    <col min="8" max="8" width="23.6640625" customWidth="1"/>
    <col min="9" max="9" width="4.33203125" customWidth="1"/>
    <col min="10" max="10" width="16.5546875" style="234" bestFit="1" customWidth="1"/>
    <col min="11" max="11" width="12.44140625" style="233" customWidth="1"/>
    <col min="13" max="13" width="26.109375" hidden="1" customWidth="1"/>
    <col min="14" max="18" width="11.5546875" hidden="1" customWidth="1"/>
    <col min="254" max="254" width="8.33203125" customWidth="1"/>
    <col min="255" max="255" width="44.5546875" customWidth="1"/>
    <col min="256" max="256" width="7.44140625" customWidth="1"/>
    <col min="257" max="257" width="13" customWidth="1"/>
    <col min="258" max="258" width="11.6640625" customWidth="1"/>
    <col min="259" max="259" width="10.5546875" customWidth="1"/>
    <col min="260" max="260" width="14.44140625" customWidth="1"/>
    <col min="261" max="261" width="35.44140625" customWidth="1"/>
    <col min="262" max="262" width="14" customWidth="1"/>
    <col min="263" max="263" width="11.6640625" customWidth="1"/>
    <col min="264" max="264" width="13.5546875" customWidth="1"/>
    <col min="510" max="510" width="8.33203125" customWidth="1"/>
    <col min="511" max="511" width="44.5546875" customWidth="1"/>
    <col min="512" max="512" width="7.44140625" customWidth="1"/>
    <col min="513" max="513" width="13" customWidth="1"/>
    <col min="514" max="514" width="11.6640625" customWidth="1"/>
    <col min="515" max="515" width="10.5546875" customWidth="1"/>
    <col min="516" max="516" width="14.44140625" customWidth="1"/>
    <col min="517" max="517" width="35.44140625" customWidth="1"/>
    <col min="518" max="518" width="14" customWidth="1"/>
    <col min="519" max="519" width="11.6640625" customWidth="1"/>
    <col min="520" max="520" width="13.5546875" customWidth="1"/>
    <col min="766" max="766" width="8.33203125" customWidth="1"/>
    <col min="767" max="767" width="44.5546875" customWidth="1"/>
    <col min="768" max="768" width="7.44140625" customWidth="1"/>
    <col min="769" max="769" width="13" customWidth="1"/>
    <col min="770" max="770" width="11.6640625" customWidth="1"/>
    <col min="771" max="771" width="10.5546875" customWidth="1"/>
    <col min="772" max="772" width="14.44140625" customWidth="1"/>
    <col min="773" max="773" width="35.44140625" customWidth="1"/>
    <col min="774" max="774" width="14" customWidth="1"/>
    <col min="775" max="775" width="11.6640625" customWidth="1"/>
    <col min="776" max="776" width="13.5546875" customWidth="1"/>
    <col min="1022" max="1022" width="8.33203125" customWidth="1"/>
    <col min="1023" max="1023" width="44.5546875" customWidth="1"/>
    <col min="1024" max="1024" width="7.44140625" customWidth="1"/>
    <col min="1025" max="1025" width="13" customWidth="1"/>
    <col min="1026" max="1026" width="11.6640625" customWidth="1"/>
    <col min="1027" max="1027" width="10.5546875" customWidth="1"/>
    <col min="1028" max="1028" width="14.44140625" customWidth="1"/>
    <col min="1029" max="1029" width="35.44140625" customWidth="1"/>
    <col min="1030" max="1030" width="14" customWidth="1"/>
    <col min="1031" max="1031" width="11.6640625" customWidth="1"/>
    <col min="1032" max="1032" width="13.5546875" customWidth="1"/>
    <col min="1278" max="1278" width="8.33203125" customWidth="1"/>
    <col min="1279" max="1279" width="44.5546875" customWidth="1"/>
    <col min="1280" max="1280" width="7.44140625" customWidth="1"/>
    <col min="1281" max="1281" width="13" customWidth="1"/>
    <col min="1282" max="1282" width="11.6640625" customWidth="1"/>
    <col min="1283" max="1283" width="10.5546875" customWidth="1"/>
    <col min="1284" max="1284" width="14.44140625" customWidth="1"/>
    <col min="1285" max="1285" width="35.44140625" customWidth="1"/>
    <col min="1286" max="1286" width="14" customWidth="1"/>
    <col min="1287" max="1287" width="11.6640625" customWidth="1"/>
    <col min="1288" max="1288" width="13.5546875" customWidth="1"/>
    <col min="1534" max="1534" width="8.33203125" customWidth="1"/>
    <col min="1535" max="1535" width="44.5546875" customWidth="1"/>
    <col min="1536" max="1536" width="7.44140625" customWidth="1"/>
    <col min="1537" max="1537" width="13" customWidth="1"/>
    <col min="1538" max="1538" width="11.6640625" customWidth="1"/>
    <col min="1539" max="1539" width="10.5546875" customWidth="1"/>
    <col min="1540" max="1540" width="14.44140625" customWidth="1"/>
    <col min="1541" max="1541" width="35.44140625" customWidth="1"/>
    <col min="1542" max="1542" width="14" customWidth="1"/>
    <col min="1543" max="1543" width="11.6640625" customWidth="1"/>
    <col min="1544" max="1544" width="13.5546875" customWidth="1"/>
    <col min="1790" max="1790" width="8.33203125" customWidth="1"/>
    <col min="1791" max="1791" width="44.5546875" customWidth="1"/>
    <col min="1792" max="1792" width="7.44140625" customWidth="1"/>
    <col min="1793" max="1793" width="13" customWidth="1"/>
    <col min="1794" max="1794" width="11.6640625" customWidth="1"/>
    <col min="1795" max="1795" width="10.5546875" customWidth="1"/>
    <col min="1796" max="1796" width="14.44140625" customWidth="1"/>
    <col min="1797" max="1797" width="35.44140625" customWidth="1"/>
    <col min="1798" max="1798" width="14" customWidth="1"/>
    <col min="1799" max="1799" width="11.6640625" customWidth="1"/>
    <col min="1800" max="1800" width="13.5546875" customWidth="1"/>
    <col min="2046" max="2046" width="8.33203125" customWidth="1"/>
    <col min="2047" max="2047" width="44.5546875" customWidth="1"/>
    <col min="2048" max="2048" width="7.44140625" customWidth="1"/>
    <col min="2049" max="2049" width="13" customWidth="1"/>
    <col min="2050" max="2050" width="11.6640625" customWidth="1"/>
    <col min="2051" max="2051" width="10.5546875" customWidth="1"/>
    <col min="2052" max="2052" width="14.44140625" customWidth="1"/>
    <col min="2053" max="2053" width="35.44140625" customWidth="1"/>
    <col min="2054" max="2054" width="14" customWidth="1"/>
    <col min="2055" max="2055" width="11.6640625" customWidth="1"/>
    <col min="2056" max="2056" width="13.5546875" customWidth="1"/>
    <col min="2302" max="2302" width="8.33203125" customWidth="1"/>
    <col min="2303" max="2303" width="44.5546875" customWidth="1"/>
    <col min="2304" max="2304" width="7.44140625" customWidth="1"/>
    <col min="2305" max="2305" width="13" customWidth="1"/>
    <col min="2306" max="2306" width="11.6640625" customWidth="1"/>
    <col min="2307" max="2307" width="10.5546875" customWidth="1"/>
    <col min="2308" max="2308" width="14.44140625" customWidth="1"/>
    <col min="2309" max="2309" width="35.44140625" customWidth="1"/>
    <col min="2310" max="2310" width="14" customWidth="1"/>
    <col min="2311" max="2311" width="11.6640625" customWidth="1"/>
    <col min="2312" max="2312" width="13.5546875" customWidth="1"/>
    <col min="2558" max="2558" width="8.33203125" customWidth="1"/>
    <col min="2559" max="2559" width="44.5546875" customWidth="1"/>
    <col min="2560" max="2560" width="7.44140625" customWidth="1"/>
    <col min="2561" max="2561" width="13" customWidth="1"/>
    <col min="2562" max="2562" width="11.6640625" customWidth="1"/>
    <col min="2563" max="2563" width="10.5546875" customWidth="1"/>
    <col min="2564" max="2564" width="14.44140625" customWidth="1"/>
    <col min="2565" max="2565" width="35.44140625" customWidth="1"/>
    <col min="2566" max="2566" width="14" customWidth="1"/>
    <col min="2567" max="2567" width="11.6640625" customWidth="1"/>
    <col min="2568" max="2568" width="13.5546875" customWidth="1"/>
    <col min="2814" max="2814" width="8.33203125" customWidth="1"/>
    <col min="2815" max="2815" width="44.5546875" customWidth="1"/>
    <col min="2816" max="2816" width="7.44140625" customWidth="1"/>
    <col min="2817" max="2817" width="13" customWidth="1"/>
    <col min="2818" max="2818" width="11.6640625" customWidth="1"/>
    <col min="2819" max="2819" width="10.5546875" customWidth="1"/>
    <col min="2820" max="2820" width="14.44140625" customWidth="1"/>
    <col min="2821" max="2821" width="35.44140625" customWidth="1"/>
    <col min="2822" max="2822" width="14" customWidth="1"/>
    <col min="2823" max="2823" width="11.6640625" customWidth="1"/>
    <col min="2824" max="2824" width="13.5546875" customWidth="1"/>
    <col min="3070" max="3070" width="8.33203125" customWidth="1"/>
    <col min="3071" max="3071" width="44.5546875" customWidth="1"/>
    <col min="3072" max="3072" width="7.44140625" customWidth="1"/>
    <col min="3073" max="3073" width="13" customWidth="1"/>
    <col min="3074" max="3074" width="11.6640625" customWidth="1"/>
    <col min="3075" max="3075" width="10.5546875" customWidth="1"/>
    <col min="3076" max="3076" width="14.44140625" customWidth="1"/>
    <col min="3077" max="3077" width="35.44140625" customWidth="1"/>
    <col min="3078" max="3078" width="14" customWidth="1"/>
    <col min="3079" max="3079" width="11.6640625" customWidth="1"/>
    <col min="3080" max="3080" width="13.5546875" customWidth="1"/>
    <col min="3326" max="3326" width="8.33203125" customWidth="1"/>
    <col min="3327" max="3327" width="44.5546875" customWidth="1"/>
    <col min="3328" max="3328" width="7.44140625" customWidth="1"/>
    <col min="3329" max="3329" width="13" customWidth="1"/>
    <col min="3330" max="3330" width="11.6640625" customWidth="1"/>
    <col min="3331" max="3331" width="10.5546875" customWidth="1"/>
    <col min="3332" max="3332" width="14.44140625" customWidth="1"/>
    <col min="3333" max="3333" width="35.44140625" customWidth="1"/>
    <col min="3334" max="3334" width="14" customWidth="1"/>
    <col min="3335" max="3335" width="11.6640625" customWidth="1"/>
    <col min="3336" max="3336" width="13.5546875" customWidth="1"/>
    <col min="3582" max="3582" width="8.33203125" customWidth="1"/>
    <col min="3583" max="3583" width="44.5546875" customWidth="1"/>
    <col min="3584" max="3584" width="7.44140625" customWidth="1"/>
    <col min="3585" max="3585" width="13" customWidth="1"/>
    <col min="3586" max="3586" width="11.6640625" customWidth="1"/>
    <col min="3587" max="3587" width="10.5546875" customWidth="1"/>
    <col min="3588" max="3588" width="14.44140625" customWidth="1"/>
    <col min="3589" max="3589" width="35.44140625" customWidth="1"/>
    <col min="3590" max="3590" width="14" customWidth="1"/>
    <col min="3591" max="3591" width="11.6640625" customWidth="1"/>
    <col min="3592" max="3592" width="13.5546875" customWidth="1"/>
    <col min="3838" max="3838" width="8.33203125" customWidth="1"/>
    <col min="3839" max="3839" width="44.5546875" customWidth="1"/>
    <col min="3840" max="3840" width="7.44140625" customWidth="1"/>
    <col min="3841" max="3841" width="13" customWidth="1"/>
    <col min="3842" max="3842" width="11.6640625" customWidth="1"/>
    <col min="3843" max="3843" width="10.5546875" customWidth="1"/>
    <col min="3844" max="3844" width="14.44140625" customWidth="1"/>
    <col min="3845" max="3845" width="35.44140625" customWidth="1"/>
    <col min="3846" max="3846" width="14" customWidth="1"/>
    <col min="3847" max="3847" width="11.6640625" customWidth="1"/>
    <col min="3848" max="3848" width="13.5546875" customWidth="1"/>
    <col min="4094" max="4094" width="8.33203125" customWidth="1"/>
    <col min="4095" max="4095" width="44.5546875" customWidth="1"/>
    <col min="4096" max="4096" width="7.44140625" customWidth="1"/>
    <col min="4097" max="4097" width="13" customWidth="1"/>
    <col min="4098" max="4098" width="11.6640625" customWidth="1"/>
    <col min="4099" max="4099" width="10.5546875" customWidth="1"/>
    <col min="4100" max="4100" width="14.44140625" customWidth="1"/>
    <col min="4101" max="4101" width="35.44140625" customWidth="1"/>
    <col min="4102" max="4102" width="14" customWidth="1"/>
    <col min="4103" max="4103" width="11.6640625" customWidth="1"/>
    <col min="4104" max="4104" width="13.5546875" customWidth="1"/>
    <col min="4350" max="4350" width="8.33203125" customWidth="1"/>
    <col min="4351" max="4351" width="44.5546875" customWidth="1"/>
    <col min="4352" max="4352" width="7.44140625" customWidth="1"/>
    <col min="4353" max="4353" width="13" customWidth="1"/>
    <col min="4354" max="4354" width="11.6640625" customWidth="1"/>
    <col min="4355" max="4355" width="10.5546875" customWidth="1"/>
    <col min="4356" max="4356" width="14.44140625" customWidth="1"/>
    <col min="4357" max="4357" width="35.44140625" customWidth="1"/>
    <col min="4358" max="4358" width="14" customWidth="1"/>
    <col min="4359" max="4359" width="11.6640625" customWidth="1"/>
    <col min="4360" max="4360" width="13.5546875" customWidth="1"/>
    <col min="4606" max="4606" width="8.33203125" customWidth="1"/>
    <col min="4607" max="4607" width="44.5546875" customWidth="1"/>
    <col min="4608" max="4608" width="7.44140625" customWidth="1"/>
    <col min="4609" max="4609" width="13" customWidth="1"/>
    <col min="4610" max="4610" width="11.6640625" customWidth="1"/>
    <col min="4611" max="4611" width="10.5546875" customWidth="1"/>
    <col min="4612" max="4612" width="14.44140625" customWidth="1"/>
    <col min="4613" max="4613" width="35.44140625" customWidth="1"/>
    <col min="4614" max="4614" width="14" customWidth="1"/>
    <col min="4615" max="4615" width="11.6640625" customWidth="1"/>
    <col min="4616" max="4616" width="13.5546875" customWidth="1"/>
    <col min="4862" max="4862" width="8.33203125" customWidth="1"/>
    <col min="4863" max="4863" width="44.5546875" customWidth="1"/>
    <col min="4864" max="4864" width="7.44140625" customWidth="1"/>
    <col min="4865" max="4865" width="13" customWidth="1"/>
    <col min="4866" max="4866" width="11.6640625" customWidth="1"/>
    <col min="4867" max="4867" width="10.5546875" customWidth="1"/>
    <col min="4868" max="4868" width="14.44140625" customWidth="1"/>
    <col min="4869" max="4869" width="35.44140625" customWidth="1"/>
    <col min="4870" max="4870" width="14" customWidth="1"/>
    <col min="4871" max="4871" width="11.6640625" customWidth="1"/>
    <col min="4872" max="4872" width="13.5546875" customWidth="1"/>
    <col min="5118" max="5118" width="8.33203125" customWidth="1"/>
    <col min="5119" max="5119" width="44.5546875" customWidth="1"/>
    <col min="5120" max="5120" width="7.44140625" customWidth="1"/>
    <col min="5121" max="5121" width="13" customWidth="1"/>
    <col min="5122" max="5122" width="11.6640625" customWidth="1"/>
    <col min="5123" max="5123" width="10.5546875" customWidth="1"/>
    <col min="5124" max="5124" width="14.44140625" customWidth="1"/>
    <col min="5125" max="5125" width="35.44140625" customWidth="1"/>
    <col min="5126" max="5126" width="14" customWidth="1"/>
    <col min="5127" max="5127" width="11.6640625" customWidth="1"/>
    <col min="5128" max="5128" width="13.5546875" customWidth="1"/>
    <col min="5374" max="5374" width="8.33203125" customWidth="1"/>
    <col min="5375" max="5375" width="44.5546875" customWidth="1"/>
    <col min="5376" max="5376" width="7.44140625" customWidth="1"/>
    <col min="5377" max="5377" width="13" customWidth="1"/>
    <col min="5378" max="5378" width="11.6640625" customWidth="1"/>
    <col min="5379" max="5379" width="10.5546875" customWidth="1"/>
    <col min="5380" max="5380" width="14.44140625" customWidth="1"/>
    <col min="5381" max="5381" width="35.44140625" customWidth="1"/>
    <col min="5382" max="5382" width="14" customWidth="1"/>
    <col min="5383" max="5383" width="11.6640625" customWidth="1"/>
    <col min="5384" max="5384" width="13.5546875" customWidth="1"/>
    <col min="5630" max="5630" width="8.33203125" customWidth="1"/>
    <col min="5631" max="5631" width="44.5546875" customWidth="1"/>
    <col min="5632" max="5632" width="7.44140625" customWidth="1"/>
    <col min="5633" max="5633" width="13" customWidth="1"/>
    <col min="5634" max="5634" width="11.6640625" customWidth="1"/>
    <col min="5635" max="5635" width="10.5546875" customWidth="1"/>
    <col min="5636" max="5636" width="14.44140625" customWidth="1"/>
    <col min="5637" max="5637" width="35.44140625" customWidth="1"/>
    <col min="5638" max="5638" width="14" customWidth="1"/>
    <col min="5639" max="5639" width="11.6640625" customWidth="1"/>
    <col min="5640" max="5640" width="13.5546875" customWidth="1"/>
    <col min="5886" max="5886" width="8.33203125" customWidth="1"/>
    <col min="5887" max="5887" width="44.5546875" customWidth="1"/>
    <col min="5888" max="5888" width="7.44140625" customWidth="1"/>
    <col min="5889" max="5889" width="13" customWidth="1"/>
    <col min="5890" max="5890" width="11.6640625" customWidth="1"/>
    <col min="5891" max="5891" width="10.5546875" customWidth="1"/>
    <col min="5892" max="5892" width="14.44140625" customWidth="1"/>
    <col min="5893" max="5893" width="35.44140625" customWidth="1"/>
    <col min="5894" max="5894" width="14" customWidth="1"/>
    <col min="5895" max="5895" width="11.6640625" customWidth="1"/>
    <col min="5896" max="5896" width="13.5546875" customWidth="1"/>
    <col min="6142" max="6142" width="8.33203125" customWidth="1"/>
    <col min="6143" max="6143" width="44.5546875" customWidth="1"/>
    <col min="6144" max="6144" width="7.44140625" customWidth="1"/>
    <col min="6145" max="6145" width="13" customWidth="1"/>
    <col min="6146" max="6146" width="11.6640625" customWidth="1"/>
    <col min="6147" max="6147" width="10.5546875" customWidth="1"/>
    <col min="6148" max="6148" width="14.44140625" customWidth="1"/>
    <col min="6149" max="6149" width="35.44140625" customWidth="1"/>
    <col min="6150" max="6150" width="14" customWidth="1"/>
    <col min="6151" max="6151" width="11.6640625" customWidth="1"/>
    <col min="6152" max="6152" width="13.5546875" customWidth="1"/>
    <col min="6398" max="6398" width="8.33203125" customWidth="1"/>
    <col min="6399" max="6399" width="44.5546875" customWidth="1"/>
    <col min="6400" max="6400" width="7.44140625" customWidth="1"/>
    <col min="6401" max="6401" width="13" customWidth="1"/>
    <col min="6402" max="6402" width="11.6640625" customWidth="1"/>
    <col min="6403" max="6403" width="10.5546875" customWidth="1"/>
    <col min="6404" max="6404" width="14.44140625" customWidth="1"/>
    <col min="6405" max="6405" width="35.44140625" customWidth="1"/>
    <col min="6406" max="6406" width="14" customWidth="1"/>
    <col min="6407" max="6407" width="11.6640625" customWidth="1"/>
    <col min="6408" max="6408" width="13.5546875" customWidth="1"/>
    <col min="6654" max="6654" width="8.33203125" customWidth="1"/>
    <col min="6655" max="6655" width="44.5546875" customWidth="1"/>
    <col min="6656" max="6656" width="7.44140625" customWidth="1"/>
    <col min="6657" max="6657" width="13" customWidth="1"/>
    <col min="6658" max="6658" width="11.6640625" customWidth="1"/>
    <col min="6659" max="6659" width="10.5546875" customWidth="1"/>
    <col min="6660" max="6660" width="14.44140625" customWidth="1"/>
    <col min="6661" max="6661" width="35.44140625" customWidth="1"/>
    <col min="6662" max="6662" width="14" customWidth="1"/>
    <col min="6663" max="6663" width="11.6640625" customWidth="1"/>
    <col min="6664" max="6664" width="13.5546875" customWidth="1"/>
    <col min="6910" max="6910" width="8.33203125" customWidth="1"/>
    <col min="6911" max="6911" width="44.5546875" customWidth="1"/>
    <col min="6912" max="6912" width="7.44140625" customWidth="1"/>
    <col min="6913" max="6913" width="13" customWidth="1"/>
    <col min="6914" max="6914" width="11.6640625" customWidth="1"/>
    <col min="6915" max="6915" width="10.5546875" customWidth="1"/>
    <col min="6916" max="6916" width="14.44140625" customWidth="1"/>
    <col min="6917" max="6917" width="35.44140625" customWidth="1"/>
    <col min="6918" max="6918" width="14" customWidth="1"/>
    <col min="6919" max="6919" width="11.6640625" customWidth="1"/>
    <col min="6920" max="6920" width="13.5546875" customWidth="1"/>
    <col min="7166" max="7166" width="8.33203125" customWidth="1"/>
    <col min="7167" max="7167" width="44.5546875" customWidth="1"/>
    <col min="7168" max="7168" width="7.44140625" customWidth="1"/>
    <col min="7169" max="7169" width="13" customWidth="1"/>
    <col min="7170" max="7170" width="11.6640625" customWidth="1"/>
    <col min="7171" max="7171" width="10.5546875" customWidth="1"/>
    <col min="7172" max="7172" width="14.44140625" customWidth="1"/>
    <col min="7173" max="7173" width="35.44140625" customWidth="1"/>
    <col min="7174" max="7174" width="14" customWidth="1"/>
    <col min="7175" max="7175" width="11.6640625" customWidth="1"/>
    <col min="7176" max="7176" width="13.5546875" customWidth="1"/>
    <col min="7422" max="7422" width="8.33203125" customWidth="1"/>
    <col min="7423" max="7423" width="44.5546875" customWidth="1"/>
    <col min="7424" max="7424" width="7.44140625" customWidth="1"/>
    <col min="7425" max="7425" width="13" customWidth="1"/>
    <col min="7426" max="7426" width="11.6640625" customWidth="1"/>
    <col min="7427" max="7427" width="10.5546875" customWidth="1"/>
    <col min="7428" max="7428" width="14.44140625" customWidth="1"/>
    <col min="7429" max="7429" width="35.44140625" customWidth="1"/>
    <col min="7430" max="7430" width="14" customWidth="1"/>
    <col min="7431" max="7431" width="11.6640625" customWidth="1"/>
    <col min="7432" max="7432" width="13.5546875" customWidth="1"/>
    <col min="7678" max="7678" width="8.33203125" customWidth="1"/>
    <col min="7679" max="7679" width="44.5546875" customWidth="1"/>
    <col min="7680" max="7680" width="7.44140625" customWidth="1"/>
    <col min="7681" max="7681" width="13" customWidth="1"/>
    <col min="7682" max="7682" width="11.6640625" customWidth="1"/>
    <col min="7683" max="7683" width="10.5546875" customWidth="1"/>
    <col min="7684" max="7684" width="14.44140625" customWidth="1"/>
    <col min="7685" max="7685" width="35.44140625" customWidth="1"/>
    <col min="7686" max="7686" width="14" customWidth="1"/>
    <col min="7687" max="7687" width="11.6640625" customWidth="1"/>
    <col min="7688" max="7688" width="13.5546875" customWidth="1"/>
    <col min="7934" max="7934" width="8.33203125" customWidth="1"/>
    <col min="7935" max="7935" width="44.5546875" customWidth="1"/>
    <col min="7936" max="7936" width="7.44140625" customWidth="1"/>
    <col min="7937" max="7937" width="13" customWidth="1"/>
    <col min="7938" max="7938" width="11.6640625" customWidth="1"/>
    <col min="7939" max="7939" width="10.5546875" customWidth="1"/>
    <col min="7940" max="7940" width="14.44140625" customWidth="1"/>
    <col min="7941" max="7941" width="35.44140625" customWidth="1"/>
    <col min="7942" max="7942" width="14" customWidth="1"/>
    <col min="7943" max="7943" width="11.6640625" customWidth="1"/>
    <col min="7944" max="7944" width="13.5546875" customWidth="1"/>
    <col min="8190" max="8190" width="8.33203125" customWidth="1"/>
    <col min="8191" max="8191" width="44.5546875" customWidth="1"/>
    <col min="8192" max="8192" width="7.44140625" customWidth="1"/>
    <col min="8193" max="8193" width="13" customWidth="1"/>
    <col min="8194" max="8194" width="11.6640625" customWidth="1"/>
    <col min="8195" max="8195" width="10.5546875" customWidth="1"/>
    <col min="8196" max="8196" width="14.44140625" customWidth="1"/>
    <col min="8197" max="8197" width="35.44140625" customWidth="1"/>
    <col min="8198" max="8198" width="14" customWidth="1"/>
    <col min="8199" max="8199" width="11.6640625" customWidth="1"/>
    <col min="8200" max="8200" width="13.5546875" customWidth="1"/>
    <col min="8446" max="8446" width="8.33203125" customWidth="1"/>
    <col min="8447" max="8447" width="44.5546875" customWidth="1"/>
    <col min="8448" max="8448" width="7.44140625" customWidth="1"/>
    <col min="8449" max="8449" width="13" customWidth="1"/>
    <col min="8450" max="8450" width="11.6640625" customWidth="1"/>
    <col min="8451" max="8451" width="10.5546875" customWidth="1"/>
    <col min="8452" max="8452" width="14.44140625" customWidth="1"/>
    <col min="8453" max="8453" width="35.44140625" customWidth="1"/>
    <col min="8454" max="8454" width="14" customWidth="1"/>
    <col min="8455" max="8455" width="11.6640625" customWidth="1"/>
    <col min="8456" max="8456" width="13.5546875" customWidth="1"/>
    <col min="8702" max="8702" width="8.33203125" customWidth="1"/>
    <col min="8703" max="8703" width="44.5546875" customWidth="1"/>
    <col min="8704" max="8704" width="7.44140625" customWidth="1"/>
    <col min="8705" max="8705" width="13" customWidth="1"/>
    <col min="8706" max="8706" width="11.6640625" customWidth="1"/>
    <col min="8707" max="8707" width="10.5546875" customWidth="1"/>
    <col min="8708" max="8708" width="14.44140625" customWidth="1"/>
    <col min="8709" max="8709" width="35.44140625" customWidth="1"/>
    <col min="8710" max="8710" width="14" customWidth="1"/>
    <col min="8711" max="8711" width="11.6640625" customWidth="1"/>
    <col min="8712" max="8712" width="13.5546875" customWidth="1"/>
    <col min="8958" max="8958" width="8.33203125" customWidth="1"/>
    <col min="8959" max="8959" width="44.5546875" customWidth="1"/>
    <col min="8960" max="8960" width="7.44140625" customWidth="1"/>
    <col min="8961" max="8961" width="13" customWidth="1"/>
    <col min="8962" max="8962" width="11.6640625" customWidth="1"/>
    <col min="8963" max="8963" width="10.5546875" customWidth="1"/>
    <col min="8964" max="8964" width="14.44140625" customWidth="1"/>
    <col min="8965" max="8965" width="35.44140625" customWidth="1"/>
    <col min="8966" max="8966" width="14" customWidth="1"/>
    <col min="8967" max="8967" width="11.6640625" customWidth="1"/>
    <col min="8968" max="8968" width="13.5546875" customWidth="1"/>
    <col min="9214" max="9214" width="8.33203125" customWidth="1"/>
    <col min="9215" max="9215" width="44.5546875" customWidth="1"/>
    <col min="9216" max="9216" width="7.44140625" customWidth="1"/>
    <col min="9217" max="9217" width="13" customWidth="1"/>
    <col min="9218" max="9218" width="11.6640625" customWidth="1"/>
    <col min="9219" max="9219" width="10.5546875" customWidth="1"/>
    <col min="9220" max="9220" width="14.44140625" customWidth="1"/>
    <col min="9221" max="9221" width="35.44140625" customWidth="1"/>
    <col min="9222" max="9222" width="14" customWidth="1"/>
    <col min="9223" max="9223" width="11.6640625" customWidth="1"/>
    <col min="9224" max="9224" width="13.5546875" customWidth="1"/>
    <col min="9470" max="9470" width="8.33203125" customWidth="1"/>
    <col min="9471" max="9471" width="44.5546875" customWidth="1"/>
    <col min="9472" max="9472" width="7.44140625" customWidth="1"/>
    <col min="9473" max="9473" width="13" customWidth="1"/>
    <col min="9474" max="9474" width="11.6640625" customWidth="1"/>
    <col min="9475" max="9475" width="10.5546875" customWidth="1"/>
    <col min="9476" max="9476" width="14.44140625" customWidth="1"/>
    <col min="9477" max="9477" width="35.44140625" customWidth="1"/>
    <col min="9478" max="9478" width="14" customWidth="1"/>
    <col min="9479" max="9479" width="11.6640625" customWidth="1"/>
    <col min="9480" max="9480" width="13.5546875" customWidth="1"/>
    <col min="9726" max="9726" width="8.33203125" customWidth="1"/>
    <col min="9727" max="9727" width="44.5546875" customWidth="1"/>
    <col min="9728" max="9728" width="7.44140625" customWidth="1"/>
    <col min="9729" max="9729" width="13" customWidth="1"/>
    <col min="9730" max="9730" width="11.6640625" customWidth="1"/>
    <col min="9731" max="9731" width="10.5546875" customWidth="1"/>
    <col min="9732" max="9732" width="14.44140625" customWidth="1"/>
    <col min="9733" max="9733" width="35.44140625" customWidth="1"/>
    <col min="9734" max="9734" width="14" customWidth="1"/>
    <col min="9735" max="9735" width="11.6640625" customWidth="1"/>
    <col min="9736" max="9736" width="13.5546875" customWidth="1"/>
    <col min="9982" max="9982" width="8.33203125" customWidth="1"/>
    <col min="9983" max="9983" width="44.5546875" customWidth="1"/>
    <col min="9984" max="9984" width="7.44140625" customWidth="1"/>
    <col min="9985" max="9985" width="13" customWidth="1"/>
    <col min="9986" max="9986" width="11.6640625" customWidth="1"/>
    <col min="9987" max="9987" width="10.5546875" customWidth="1"/>
    <col min="9988" max="9988" width="14.44140625" customWidth="1"/>
    <col min="9989" max="9989" width="35.44140625" customWidth="1"/>
    <col min="9990" max="9990" width="14" customWidth="1"/>
    <col min="9991" max="9991" width="11.6640625" customWidth="1"/>
    <col min="9992" max="9992" width="13.5546875" customWidth="1"/>
    <col min="10238" max="10238" width="8.33203125" customWidth="1"/>
    <col min="10239" max="10239" width="44.5546875" customWidth="1"/>
    <col min="10240" max="10240" width="7.44140625" customWidth="1"/>
    <col min="10241" max="10241" width="13" customWidth="1"/>
    <col min="10242" max="10242" width="11.6640625" customWidth="1"/>
    <col min="10243" max="10243" width="10.5546875" customWidth="1"/>
    <col min="10244" max="10244" width="14.44140625" customWidth="1"/>
    <col min="10245" max="10245" width="35.44140625" customWidth="1"/>
    <col min="10246" max="10246" width="14" customWidth="1"/>
    <col min="10247" max="10247" width="11.6640625" customWidth="1"/>
    <col min="10248" max="10248" width="13.5546875" customWidth="1"/>
    <col min="10494" max="10494" width="8.33203125" customWidth="1"/>
    <col min="10495" max="10495" width="44.5546875" customWidth="1"/>
    <col min="10496" max="10496" width="7.44140625" customWidth="1"/>
    <col min="10497" max="10497" width="13" customWidth="1"/>
    <col min="10498" max="10498" width="11.6640625" customWidth="1"/>
    <col min="10499" max="10499" width="10.5546875" customWidth="1"/>
    <col min="10500" max="10500" width="14.44140625" customWidth="1"/>
    <col min="10501" max="10501" width="35.44140625" customWidth="1"/>
    <col min="10502" max="10502" width="14" customWidth="1"/>
    <col min="10503" max="10503" width="11.6640625" customWidth="1"/>
    <col min="10504" max="10504" width="13.5546875" customWidth="1"/>
    <col min="10750" max="10750" width="8.33203125" customWidth="1"/>
    <col min="10751" max="10751" width="44.5546875" customWidth="1"/>
    <col min="10752" max="10752" width="7.44140625" customWidth="1"/>
    <col min="10753" max="10753" width="13" customWidth="1"/>
    <col min="10754" max="10754" width="11.6640625" customWidth="1"/>
    <col min="10755" max="10755" width="10.5546875" customWidth="1"/>
    <col min="10756" max="10756" width="14.44140625" customWidth="1"/>
    <col min="10757" max="10757" width="35.44140625" customWidth="1"/>
    <col min="10758" max="10758" width="14" customWidth="1"/>
    <col min="10759" max="10759" width="11.6640625" customWidth="1"/>
    <col min="10760" max="10760" width="13.5546875" customWidth="1"/>
    <col min="11006" max="11006" width="8.33203125" customWidth="1"/>
    <col min="11007" max="11007" width="44.5546875" customWidth="1"/>
    <col min="11008" max="11008" width="7.44140625" customWidth="1"/>
    <col min="11009" max="11009" width="13" customWidth="1"/>
    <col min="11010" max="11010" width="11.6640625" customWidth="1"/>
    <col min="11011" max="11011" width="10.5546875" customWidth="1"/>
    <col min="11012" max="11012" width="14.44140625" customWidth="1"/>
    <col min="11013" max="11013" width="35.44140625" customWidth="1"/>
    <col min="11014" max="11014" width="14" customWidth="1"/>
    <col min="11015" max="11015" width="11.6640625" customWidth="1"/>
    <col min="11016" max="11016" width="13.5546875" customWidth="1"/>
    <col min="11262" max="11262" width="8.33203125" customWidth="1"/>
    <col min="11263" max="11263" width="44.5546875" customWidth="1"/>
    <col min="11264" max="11264" width="7.44140625" customWidth="1"/>
    <col min="11265" max="11265" width="13" customWidth="1"/>
    <col min="11266" max="11266" width="11.6640625" customWidth="1"/>
    <col min="11267" max="11267" width="10.5546875" customWidth="1"/>
    <col min="11268" max="11268" width="14.44140625" customWidth="1"/>
    <col min="11269" max="11269" width="35.44140625" customWidth="1"/>
    <col min="11270" max="11270" width="14" customWidth="1"/>
    <col min="11271" max="11271" width="11.6640625" customWidth="1"/>
    <col min="11272" max="11272" width="13.5546875" customWidth="1"/>
    <col min="11518" max="11518" width="8.33203125" customWidth="1"/>
    <col min="11519" max="11519" width="44.5546875" customWidth="1"/>
    <col min="11520" max="11520" width="7.44140625" customWidth="1"/>
    <col min="11521" max="11521" width="13" customWidth="1"/>
    <col min="11522" max="11522" width="11.6640625" customWidth="1"/>
    <col min="11523" max="11523" width="10.5546875" customWidth="1"/>
    <col min="11524" max="11524" width="14.44140625" customWidth="1"/>
    <col min="11525" max="11525" width="35.44140625" customWidth="1"/>
    <col min="11526" max="11526" width="14" customWidth="1"/>
    <col min="11527" max="11527" width="11.6640625" customWidth="1"/>
    <col min="11528" max="11528" width="13.5546875" customWidth="1"/>
    <col min="11774" max="11774" width="8.33203125" customWidth="1"/>
    <col min="11775" max="11775" width="44.5546875" customWidth="1"/>
    <col min="11776" max="11776" width="7.44140625" customWidth="1"/>
    <col min="11777" max="11777" width="13" customWidth="1"/>
    <col min="11778" max="11778" width="11.6640625" customWidth="1"/>
    <col min="11779" max="11779" width="10.5546875" customWidth="1"/>
    <col min="11780" max="11780" width="14.44140625" customWidth="1"/>
    <col min="11781" max="11781" width="35.44140625" customWidth="1"/>
    <col min="11782" max="11782" width="14" customWidth="1"/>
    <col min="11783" max="11783" width="11.6640625" customWidth="1"/>
    <col min="11784" max="11784" width="13.5546875" customWidth="1"/>
    <col min="12030" max="12030" width="8.33203125" customWidth="1"/>
    <col min="12031" max="12031" width="44.5546875" customWidth="1"/>
    <col min="12032" max="12032" width="7.44140625" customWidth="1"/>
    <col min="12033" max="12033" width="13" customWidth="1"/>
    <col min="12034" max="12034" width="11.6640625" customWidth="1"/>
    <col min="12035" max="12035" width="10.5546875" customWidth="1"/>
    <col min="12036" max="12036" width="14.44140625" customWidth="1"/>
    <col min="12037" max="12037" width="35.44140625" customWidth="1"/>
    <col min="12038" max="12038" width="14" customWidth="1"/>
    <col min="12039" max="12039" width="11.6640625" customWidth="1"/>
    <col min="12040" max="12040" width="13.5546875" customWidth="1"/>
    <col min="12286" max="12286" width="8.33203125" customWidth="1"/>
    <col min="12287" max="12287" width="44.5546875" customWidth="1"/>
    <col min="12288" max="12288" width="7.44140625" customWidth="1"/>
    <col min="12289" max="12289" width="13" customWidth="1"/>
    <col min="12290" max="12290" width="11.6640625" customWidth="1"/>
    <col min="12291" max="12291" width="10.5546875" customWidth="1"/>
    <col min="12292" max="12292" width="14.44140625" customWidth="1"/>
    <col min="12293" max="12293" width="35.44140625" customWidth="1"/>
    <col min="12294" max="12294" width="14" customWidth="1"/>
    <col min="12295" max="12295" width="11.6640625" customWidth="1"/>
    <col min="12296" max="12296" width="13.5546875" customWidth="1"/>
    <col min="12542" max="12542" width="8.33203125" customWidth="1"/>
    <col min="12543" max="12543" width="44.5546875" customWidth="1"/>
    <col min="12544" max="12544" width="7.44140625" customWidth="1"/>
    <col min="12545" max="12545" width="13" customWidth="1"/>
    <col min="12546" max="12546" width="11.6640625" customWidth="1"/>
    <col min="12547" max="12547" width="10.5546875" customWidth="1"/>
    <col min="12548" max="12548" width="14.44140625" customWidth="1"/>
    <col min="12549" max="12549" width="35.44140625" customWidth="1"/>
    <col min="12550" max="12550" width="14" customWidth="1"/>
    <col min="12551" max="12551" width="11.6640625" customWidth="1"/>
    <col min="12552" max="12552" width="13.5546875" customWidth="1"/>
    <col min="12798" max="12798" width="8.33203125" customWidth="1"/>
    <col min="12799" max="12799" width="44.5546875" customWidth="1"/>
    <col min="12800" max="12800" width="7.44140625" customWidth="1"/>
    <col min="12801" max="12801" width="13" customWidth="1"/>
    <col min="12802" max="12802" width="11.6640625" customWidth="1"/>
    <col min="12803" max="12803" width="10.5546875" customWidth="1"/>
    <col min="12804" max="12804" width="14.44140625" customWidth="1"/>
    <col min="12805" max="12805" width="35.44140625" customWidth="1"/>
    <col min="12806" max="12806" width="14" customWidth="1"/>
    <col min="12807" max="12807" width="11.6640625" customWidth="1"/>
    <col min="12808" max="12808" width="13.5546875" customWidth="1"/>
    <col min="13054" max="13054" width="8.33203125" customWidth="1"/>
    <col min="13055" max="13055" width="44.5546875" customWidth="1"/>
    <col min="13056" max="13056" width="7.44140625" customWidth="1"/>
    <col min="13057" max="13057" width="13" customWidth="1"/>
    <col min="13058" max="13058" width="11.6640625" customWidth="1"/>
    <col min="13059" max="13059" width="10.5546875" customWidth="1"/>
    <col min="13060" max="13060" width="14.44140625" customWidth="1"/>
    <col min="13061" max="13061" width="35.44140625" customWidth="1"/>
    <col min="13062" max="13062" width="14" customWidth="1"/>
    <col min="13063" max="13063" width="11.6640625" customWidth="1"/>
    <col min="13064" max="13064" width="13.5546875" customWidth="1"/>
    <col min="13310" max="13310" width="8.33203125" customWidth="1"/>
    <col min="13311" max="13311" width="44.5546875" customWidth="1"/>
    <col min="13312" max="13312" width="7.44140625" customWidth="1"/>
    <col min="13313" max="13313" width="13" customWidth="1"/>
    <col min="13314" max="13314" width="11.6640625" customWidth="1"/>
    <col min="13315" max="13315" width="10.5546875" customWidth="1"/>
    <col min="13316" max="13316" width="14.44140625" customWidth="1"/>
    <col min="13317" max="13317" width="35.44140625" customWidth="1"/>
    <col min="13318" max="13318" width="14" customWidth="1"/>
    <col min="13319" max="13319" width="11.6640625" customWidth="1"/>
    <col min="13320" max="13320" width="13.5546875" customWidth="1"/>
    <col min="13566" max="13566" width="8.33203125" customWidth="1"/>
    <col min="13567" max="13567" width="44.5546875" customWidth="1"/>
    <col min="13568" max="13568" width="7.44140625" customWidth="1"/>
    <col min="13569" max="13569" width="13" customWidth="1"/>
    <col min="13570" max="13570" width="11.6640625" customWidth="1"/>
    <col min="13571" max="13571" width="10.5546875" customWidth="1"/>
    <col min="13572" max="13572" width="14.44140625" customWidth="1"/>
    <col min="13573" max="13573" width="35.44140625" customWidth="1"/>
    <col min="13574" max="13574" width="14" customWidth="1"/>
    <col min="13575" max="13575" width="11.6640625" customWidth="1"/>
    <col min="13576" max="13576" width="13.5546875" customWidth="1"/>
    <col min="13822" max="13822" width="8.33203125" customWidth="1"/>
    <col min="13823" max="13823" width="44.5546875" customWidth="1"/>
    <col min="13824" max="13824" width="7.44140625" customWidth="1"/>
    <col min="13825" max="13825" width="13" customWidth="1"/>
    <col min="13826" max="13826" width="11.6640625" customWidth="1"/>
    <col min="13827" max="13827" width="10.5546875" customWidth="1"/>
    <col min="13828" max="13828" width="14.44140625" customWidth="1"/>
    <col min="13829" max="13829" width="35.44140625" customWidth="1"/>
    <col min="13830" max="13830" width="14" customWidth="1"/>
    <col min="13831" max="13831" width="11.6640625" customWidth="1"/>
    <col min="13832" max="13832" width="13.5546875" customWidth="1"/>
    <col min="14078" max="14078" width="8.33203125" customWidth="1"/>
    <col min="14079" max="14079" width="44.5546875" customWidth="1"/>
    <col min="14080" max="14080" width="7.44140625" customWidth="1"/>
    <col min="14081" max="14081" width="13" customWidth="1"/>
    <col min="14082" max="14082" width="11.6640625" customWidth="1"/>
    <col min="14083" max="14083" width="10.5546875" customWidth="1"/>
    <col min="14084" max="14084" width="14.44140625" customWidth="1"/>
    <col min="14085" max="14085" width="35.44140625" customWidth="1"/>
    <col min="14086" max="14086" width="14" customWidth="1"/>
    <col min="14087" max="14087" width="11.6640625" customWidth="1"/>
    <col min="14088" max="14088" width="13.5546875" customWidth="1"/>
    <col min="14334" max="14334" width="8.33203125" customWidth="1"/>
    <col min="14335" max="14335" width="44.5546875" customWidth="1"/>
    <col min="14336" max="14336" width="7.44140625" customWidth="1"/>
    <col min="14337" max="14337" width="13" customWidth="1"/>
    <col min="14338" max="14338" width="11.6640625" customWidth="1"/>
    <col min="14339" max="14339" width="10.5546875" customWidth="1"/>
    <col min="14340" max="14340" width="14.44140625" customWidth="1"/>
    <col min="14341" max="14341" width="35.44140625" customWidth="1"/>
    <col min="14342" max="14342" width="14" customWidth="1"/>
    <col min="14343" max="14343" width="11.6640625" customWidth="1"/>
    <col min="14344" max="14344" width="13.5546875" customWidth="1"/>
    <col min="14590" max="14590" width="8.33203125" customWidth="1"/>
    <col min="14591" max="14591" width="44.5546875" customWidth="1"/>
    <col min="14592" max="14592" width="7.44140625" customWidth="1"/>
    <col min="14593" max="14593" width="13" customWidth="1"/>
    <col min="14594" max="14594" width="11.6640625" customWidth="1"/>
    <col min="14595" max="14595" width="10.5546875" customWidth="1"/>
    <col min="14596" max="14596" width="14.44140625" customWidth="1"/>
    <col min="14597" max="14597" width="35.44140625" customWidth="1"/>
    <col min="14598" max="14598" width="14" customWidth="1"/>
    <col min="14599" max="14599" width="11.6640625" customWidth="1"/>
    <col min="14600" max="14600" width="13.5546875" customWidth="1"/>
    <col min="14846" max="14846" width="8.33203125" customWidth="1"/>
    <col min="14847" max="14847" width="44.5546875" customWidth="1"/>
    <col min="14848" max="14848" width="7.44140625" customWidth="1"/>
    <col min="14849" max="14849" width="13" customWidth="1"/>
    <col min="14850" max="14850" width="11.6640625" customWidth="1"/>
    <col min="14851" max="14851" width="10.5546875" customWidth="1"/>
    <col min="14852" max="14852" width="14.44140625" customWidth="1"/>
    <col min="14853" max="14853" width="35.44140625" customWidth="1"/>
    <col min="14854" max="14854" width="14" customWidth="1"/>
    <col min="14855" max="14855" width="11.6640625" customWidth="1"/>
    <col min="14856" max="14856" width="13.5546875" customWidth="1"/>
    <col min="15102" max="15102" width="8.33203125" customWidth="1"/>
    <col min="15103" max="15103" width="44.5546875" customWidth="1"/>
    <col min="15104" max="15104" width="7.44140625" customWidth="1"/>
    <col min="15105" max="15105" width="13" customWidth="1"/>
    <col min="15106" max="15106" width="11.6640625" customWidth="1"/>
    <col min="15107" max="15107" width="10.5546875" customWidth="1"/>
    <col min="15108" max="15108" width="14.44140625" customWidth="1"/>
    <col min="15109" max="15109" width="35.44140625" customWidth="1"/>
    <col min="15110" max="15110" width="14" customWidth="1"/>
    <col min="15111" max="15111" width="11.6640625" customWidth="1"/>
    <col min="15112" max="15112" width="13.5546875" customWidth="1"/>
    <col min="15358" max="15358" width="8.33203125" customWidth="1"/>
    <col min="15359" max="15359" width="44.5546875" customWidth="1"/>
    <col min="15360" max="15360" width="7.44140625" customWidth="1"/>
    <col min="15361" max="15361" width="13" customWidth="1"/>
    <col min="15362" max="15362" width="11.6640625" customWidth="1"/>
    <col min="15363" max="15363" width="10.5546875" customWidth="1"/>
    <col min="15364" max="15364" width="14.44140625" customWidth="1"/>
    <col min="15365" max="15365" width="35.44140625" customWidth="1"/>
    <col min="15366" max="15366" width="14" customWidth="1"/>
    <col min="15367" max="15367" width="11.6640625" customWidth="1"/>
    <col min="15368" max="15368" width="13.5546875" customWidth="1"/>
    <col min="15614" max="15614" width="8.33203125" customWidth="1"/>
    <col min="15615" max="15615" width="44.5546875" customWidth="1"/>
    <col min="15616" max="15616" width="7.44140625" customWidth="1"/>
    <col min="15617" max="15617" width="13" customWidth="1"/>
    <col min="15618" max="15618" width="11.6640625" customWidth="1"/>
    <col min="15619" max="15619" width="10.5546875" customWidth="1"/>
    <col min="15620" max="15620" width="14.44140625" customWidth="1"/>
    <col min="15621" max="15621" width="35.44140625" customWidth="1"/>
    <col min="15622" max="15622" width="14" customWidth="1"/>
    <col min="15623" max="15623" width="11.6640625" customWidth="1"/>
    <col min="15624" max="15624" width="13.5546875" customWidth="1"/>
    <col min="15870" max="15870" width="8.33203125" customWidth="1"/>
    <col min="15871" max="15871" width="44.5546875" customWidth="1"/>
    <col min="15872" max="15872" width="7.44140625" customWidth="1"/>
    <col min="15873" max="15873" width="13" customWidth="1"/>
    <col min="15874" max="15874" width="11.6640625" customWidth="1"/>
    <col min="15875" max="15875" width="10.5546875" customWidth="1"/>
    <col min="15876" max="15876" width="14.44140625" customWidth="1"/>
    <col min="15877" max="15877" width="35.44140625" customWidth="1"/>
    <col min="15878" max="15878" width="14" customWidth="1"/>
    <col min="15879" max="15879" width="11.6640625" customWidth="1"/>
    <col min="15880" max="15880" width="13.5546875" customWidth="1"/>
    <col min="16126" max="16126" width="8.33203125" customWidth="1"/>
    <col min="16127" max="16127" width="44.5546875" customWidth="1"/>
    <col min="16128" max="16128" width="7.44140625" customWidth="1"/>
    <col min="16129" max="16129" width="13" customWidth="1"/>
    <col min="16130" max="16130" width="11.6640625" customWidth="1"/>
    <col min="16131" max="16131" width="10.5546875" customWidth="1"/>
    <col min="16132" max="16132" width="14.44140625" customWidth="1"/>
    <col min="16133" max="16133" width="35.44140625" customWidth="1"/>
    <col min="16134" max="16134" width="14" customWidth="1"/>
    <col min="16135" max="16135" width="11.6640625" customWidth="1"/>
    <col min="16136" max="16136" width="13.5546875" customWidth="1"/>
  </cols>
  <sheetData>
    <row r="1" spans="1:19" s="65" customFormat="1" ht="15" customHeight="1" x14ac:dyDescent="0.3">
      <c r="A1" s="235"/>
      <c r="B1" s="165" t="str">
        <f>INSTRUÇÕES!B1</f>
        <v>Tribunal Regional Federal da 6ª Região</v>
      </c>
      <c r="C1" s="236"/>
      <c r="D1" s="539"/>
      <c r="E1" s="236"/>
      <c r="F1" s="236"/>
      <c r="G1" s="237"/>
      <c r="H1" s="238"/>
      <c r="J1" s="233"/>
      <c r="K1" s="233"/>
    </row>
    <row r="2" spans="1:19" s="65" customFormat="1" ht="17.25" customHeight="1" x14ac:dyDescent="0.3">
      <c r="A2" s="239"/>
      <c r="B2" s="119" t="str">
        <f>INSTRUÇÕES!B2</f>
        <v>Seção Judiciária de Minas Gerais</v>
      </c>
      <c r="D2" s="540"/>
      <c r="G2" s="87"/>
      <c r="H2" s="240"/>
      <c r="J2" s="233"/>
      <c r="K2" s="233"/>
    </row>
    <row r="3" spans="1:19" s="65" customFormat="1" ht="16.5" customHeight="1" x14ac:dyDescent="0.3">
      <c r="A3" s="239"/>
      <c r="B3" s="119" t="str">
        <f>INSTRUÇÕES!B3</f>
        <v>Subseção Judiciária de Manhuaçu</v>
      </c>
      <c r="D3" s="540"/>
      <c r="G3" s="87"/>
      <c r="H3" s="240"/>
      <c r="J3" s="233"/>
      <c r="K3" s="233"/>
      <c r="M3" s="241"/>
      <c r="N3" s="241"/>
      <c r="O3" s="241"/>
      <c r="P3" s="241"/>
      <c r="Q3" s="241"/>
      <c r="R3" s="241"/>
    </row>
    <row r="4" spans="1:19" s="65" customFormat="1" ht="27.75" customHeight="1" x14ac:dyDescent="0.3">
      <c r="A4" s="647" t="s">
        <v>576</v>
      </c>
      <c r="B4" s="647"/>
      <c r="C4" s="647"/>
      <c r="D4" s="647"/>
      <c r="E4" s="647"/>
      <c r="F4" s="647"/>
      <c r="G4" s="647"/>
      <c r="H4" s="647"/>
      <c r="I4" s="242"/>
      <c r="J4" s="242"/>
      <c r="K4" s="233"/>
      <c r="S4" s="241"/>
    </row>
    <row r="5" spans="1:19" s="241" customFormat="1" ht="24" customHeight="1" x14ac:dyDescent="0.3">
      <c r="A5" s="648" t="s">
        <v>308</v>
      </c>
      <c r="B5" s="648"/>
      <c r="C5" s="648"/>
      <c r="D5" s="648"/>
      <c r="E5" s="648"/>
      <c r="F5" s="648"/>
      <c r="G5" s="648"/>
      <c r="H5" s="648"/>
      <c r="J5" s="243"/>
      <c r="K5" s="244"/>
      <c r="M5" s="601" t="s">
        <v>326</v>
      </c>
      <c r="N5" s="601"/>
      <c r="O5" s="601"/>
      <c r="P5" s="601"/>
      <c r="Q5" s="601"/>
      <c r="R5" s="601"/>
      <c r="S5" s="65"/>
    </row>
    <row r="6" spans="1:19" s="65" customFormat="1" ht="15" customHeight="1" x14ac:dyDescent="0.3">
      <c r="A6" s="649" t="s">
        <v>52</v>
      </c>
      <c r="B6" s="650" t="s">
        <v>574</v>
      </c>
      <c r="C6" s="650"/>
      <c r="D6" s="650"/>
      <c r="E6" s="245"/>
      <c r="F6" s="245"/>
      <c r="G6" s="651"/>
      <c r="H6" s="652" t="s">
        <v>327</v>
      </c>
      <c r="I6" s="64"/>
      <c r="J6" s="64"/>
      <c r="K6" s="233"/>
      <c r="M6" s="601"/>
      <c r="N6" s="601"/>
      <c r="O6" s="601"/>
      <c r="P6" s="601"/>
      <c r="Q6" s="601"/>
      <c r="R6" s="601"/>
    </row>
    <row r="7" spans="1:19" s="65" customFormat="1" ht="13.5" customHeight="1" x14ac:dyDescent="0.3">
      <c r="A7" s="649"/>
      <c r="B7" s="650"/>
      <c r="C7" s="650"/>
      <c r="D7" s="650"/>
      <c r="E7" s="245"/>
      <c r="F7" s="245"/>
      <c r="G7" s="651"/>
      <c r="H7" s="652"/>
      <c r="I7" s="64"/>
      <c r="J7" s="653" t="s">
        <v>328</v>
      </c>
      <c r="K7" s="653"/>
      <c r="M7" s="601"/>
      <c r="N7" s="601"/>
      <c r="O7" s="601"/>
      <c r="P7" s="601"/>
      <c r="Q7" s="601"/>
      <c r="R7" s="601"/>
    </row>
    <row r="8" spans="1:19" s="65" customFormat="1" ht="41.4" x14ac:dyDescent="0.3">
      <c r="A8" s="649"/>
      <c r="B8" s="245" t="s">
        <v>575</v>
      </c>
      <c r="C8" s="247" t="s">
        <v>55</v>
      </c>
      <c r="D8" s="247" t="s">
        <v>56</v>
      </c>
      <c r="E8" s="247" t="s">
        <v>329</v>
      </c>
      <c r="F8" s="247" t="s">
        <v>61</v>
      </c>
      <c r="G8" s="247" t="s">
        <v>330</v>
      </c>
      <c r="H8" s="652"/>
      <c r="I8" s="64"/>
      <c r="J8" s="248" t="s">
        <v>59</v>
      </c>
      <c r="K8" s="249" t="s">
        <v>58</v>
      </c>
      <c r="M8" s="250" t="s">
        <v>331</v>
      </c>
      <c r="N8" s="20" t="s">
        <v>226</v>
      </c>
      <c r="O8" s="20" t="s">
        <v>227</v>
      </c>
      <c r="P8" s="20" t="s">
        <v>228</v>
      </c>
      <c r="Q8" s="20" t="s">
        <v>229</v>
      </c>
      <c r="R8" s="22" t="s">
        <v>230</v>
      </c>
    </row>
    <row r="9" spans="1:19" s="65" customFormat="1" ht="67.5" customHeight="1" x14ac:dyDescent="0.3">
      <c r="A9" s="70">
        <v>1</v>
      </c>
      <c r="B9" s="251" t="s">
        <v>332</v>
      </c>
      <c r="C9" s="71" t="s">
        <v>333</v>
      </c>
      <c r="D9" s="71"/>
      <c r="E9" s="71">
        <v>1</v>
      </c>
      <c r="F9" s="71" t="s">
        <v>334</v>
      </c>
      <c r="G9" s="252">
        <v>44.78</v>
      </c>
      <c r="H9" s="253"/>
      <c r="I9" s="64"/>
      <c r="J9" s="71">
        <f>'Ocorrências Mensais - FAT'!G24</f>
        <v>0.33333333333333331</v>
      </c>
      <c r="K9" s="254">
        <f t="shared" ref="K9:K45" si="0">J9*G9</f>
        <v>14.926666666666666</v>
      </c>
      <c r="M9" s="255">
        <v>1.99</v>
      </c>
      <c r="N9" s="36">
        <f>ROUND(IF(Dados!$J$55="SIM",M9*Dados!$N$55,M9),2)</f>
        <v>1.99</v>
      </c>
      <c r="O9" s="36" t="e">
        <f>ROUND(IF(Dados!#REF!="SIM",N9*Dados!#REF!,N9),2)</f>
        <v>#REF!</v>
      </c>
      <c r="P9" s="36" t="e">
        <f>ROUND(IF(Dados!#REF!="SIM",O9*Dados!#REF!,O9),2)</f>
        <v>#REF!</v>
      </c>
      <c r="Q9" s="36" t="e">
        <f>ROUND(IF(Dados!#REF!="SIM",P9*Dados!#REF!,P9),2)</f>
        <v>#REF!</v>
      </c>
      <c r="R9" s="256" t="e">
        <f>ROUND(IF(Dados!#REF!="SIM",Q9*Dados!#REF!,Q9),2)</f>
        <v>#REF!</v>
      </c>
    </row>
    <row r="10" spans="1:19" s="65" customFormat="1" ht="30.75" customHeight="1" x14ac:dyDescent="0.3">
      <c r="A10" s="79">
        <v>2</v>
      </c>
      <c r="B10" s="251" t="s">
        <v>335</v>
      </c>
      <c r="C10" s="71" t="s">
        <v>333</v>
      </c>
      <c r="D10" s="71"/>
      <c r="E10" s="71">
        <v>1</v>
      </c>
      <c r="F10" s="71" t="s">
        <v>336</v>
      </c>
      <c r="G10" s="252">
        <v>46.93</v>
      </c>
      <c r="H10" s="257"/>
      <c r="I10" s="64"/>
      <c r="J10" s="71">
        <f>'Ocorrências Mensais - FAT'!G25</f>
        <v>0.5</v>
      </c>
      <c r="K10" s="254">
        <f t="shared" si="0"/>
        <v>23.465</v>
      </c>
      <c r="M10" s="255">
        <v>2</v>
      </c>
      <c r="N10" s="36">
        <f>ROUND(IF(Dados!$J$55="SIM",M10*Dados!$N$55,M10),2)</f>
        <v>2</v>
      </c>
      <c r="O10" s="36" t="e">
        <f>ROUND(IF(Dados!#REF!="SIM",N10*Dados!#REF!,N10),2)</f>
        <v>#REF!</v>
      </c>
      <c r="P10" s="36" t="e">
        <f>ROUND(IF(Dados!#REF!="SIM",O10*Dados!#REF!,O10),2)</f>
        <v>#REF!</v>
      </c>
      <c r="Q10" s="36" t="e">
        <f>ROUND(IF(Dados!#REF!="SIM",P10*Dados!#REF!,P10),2)</f>
        <v>#REF!</v>
      </c>
      <c r="R10" s="256" t="e">
        <f>ROUND(IF(Dados!#REF!="SIM",Q10*Dados!#REF!,Q10),2)</f>
        <v>#REF!</v>
      </c>
    </row>
    <row r="11" spans="1:19" s="65" customFormat="1" ht="37.5" customHeight="1" x14ac:dyDescent="0.3">
      <c r="A11" s="79">
        <v>3</v>
      </c>
      <c r="B11" s="251" t="s">
        <v>337</v>
      </c>
      <c r="C11" s="71" t="s">
        <v>55</v>
      </c>
      <c r="D11" s="71"/>
      <c r="E11" s="71">
        <v>2</v>
      </c>
      <c r="F11" s="71" t="s">
        <v>334</v>
      </c>
      <c r="G11" s="252">
        <v>18.77</v>
      </c>
      <c r="H11" s="257"/>
      <c r="I11" s="64"/>
      <c r="J11" s="71">
        <f>'Ocorrências Mensais - FAT'!G26</f>
        <v>0.66666666666666663</v>
      </c>
      <c r="K11" s="254">
        <f t="shared" si="0"/>
        <v>12.513333333333332</v>
      </c>
      <c r="M11" s="255">
        <v>6</v>
      </c>
      <c r="N11" s="36">
        <f>ROUND(IF(Dados!$J$55="SIM",M11*Dados!$N$55,M11),2)</f>
        <v>6</v>
      </c>
      <c r="O11" s="36" t="e">
        <f>ROUND(IF(Dados!#REF!="SIM",N11*Dados!#REF!,N11),2)</f>
        <v>#REF!</v>
      </c>
      <c r="P11" s="36" t="e">
        <f>ROUND(IF(Dados!#REF!="SIM",O11*Dados!#REF!,O11),2)</f>
        <v>#REF!</v>
      </c>
      <c r="Q11" s="36" t="e">
        <f>ROUND(IF(Dados!#REF!="SIM",P11*Dados!#REF!,P11),2)</f>
        <v>#REF!</v>
      </c>
      <c r="R11" s="256" t="e">
        <f>ROUND(IF(Dados!#REF!="SIM",Q11*Dados!#REF!,Q11),2)</f>
        <v>#REF!</v>
      </c>
    </row>
    <row r="12" spans="1:19" s="65" customFormat="1" ht="13.8" x14ac:dyDescent="0.3">
      <c r="A12" s="79">
        <v>4</v>
      </c>
      <c r="B12" s="251" t="s">
        <v>338</v>
      </c>
      <c r="C12" s="71" t="s">
        <v>333</v>
      </c>
      <c r="D12" s="71"/>
      <c r="E12" s="71">
        <v>1</v>
      </c>
      <c r="F12" s="71" t="s">
        <v>339</v>
      </c>
      <c r="G12" s="252">
        <v>39.57</v>
      </c>
      <c r="H12" s="257"/>
      <c r="I12" s="64"/>
      <c r="J12" s="71">
        <f>'Ocorrências Mensais - FAT'!G27</f>
        <v>1</v>
      </c>
      <c r="K12" s="254">
        <f t="shared" si="0"/>
        <v>39.57</v>
      </c>
      <c r="M12" s="255">
        <v>4.0999999999999996</v>
      </c>
      <c r="N12" s="36">
        <f>ROUND(IF(Dados!$J$55="SIM",M12*Dados!$N$55,M12),2)</f>
        <v>4.0999999999999996</v>
      </c>
      <c r="O12" s="36" t="e">
        <f>ROUND(IF(Dados!#REF!="SIM",N12*Dados!#REF!,N12),2)</f>
        <v>#REF!</v>
      </c>
      <c r="P12" s="36" t="e">
        <f>ROUND(IF(Dados!#REF!="SIM",O12*Dados!#REF!,O12),2)</f>
        <v>#REF!</v>
      </c>
      <c r="Q12" s="36" t="e">
        <f>ROUND(IF(Dados!#REF!="SIM",P12*Dados!#REF!,P12),2)</f>
        <v>#REF!</v>
      </c>
      <c r="R12" s="256" t="e">
        <f>ROUND(IF(Dados!#REF!="SIM",Q12*Dados!#REF!,Q12),2)</f>
        <v>#REF!</v>
      </c>
    </row>
    <row r="13" spans="1:19" s="65" customFormat="1" ht="27.6" x14ac:dyDescent="0.3">
      <c r="A13" s="79">
        <v>5</v>
      </c>
      <c r="B13" s="251" t="s">
        <v>340</v>
      </c>
      <c r="C13" s="71" t="s">
        <v>333</v>
      </c>
      <c r="D13" s="71"/>
      <c r="E13" s="71">
        <v>3</v>
      </c>
      <c r="F13" s="71" t="s">
        <v>339</v>
      </c>
      <c r="G13" s="252">
        <v>31.71</v>
      </c>
      <c r="H13" s="257"/>
      <c r="I13" s="64"/>
      <c r="J13" s="71">
        <f>'Ocorrências Mensais - FAT'!G28</f>
        <v>3</v>
      </c>
      <c r="K13" s="254">
        <f t="shared" si="0"/>
        <v>95.13</v>
      </c>
      <c r="M13" s="255">
        <v>3</v>
      </c>
      <c r="N13" s="36">
        <f>ROUND(IF(Dados!$J$55="SIM",M13*Dados!$N$55,M13),2)</f>
        <v>3</v>
      </c>
      <c r="O13" s="36" t="e">
        <f>ROUND(IF(Dados!#REF!="SIM",N13*Dados!#REF!,N13),2)</f>
        <v>#REF!</v>
      </c>
      <c r="P13" s="36" t="e">
        <f>ROUND(IF(Dados!#REF!="SIM",O13*Dados!#REF!,O13),2)</f>
        <v>#REF!</v>
      </c>
      <c r="Q13" s="36" t="e">
        <f>ROUND(IF(Dados!#REF!="SIM",P13*Dados!#REF!,P13),2)</f>
        <v>#REF!</v>
      </c>
      <c r="R13" s="256" t="e">
        <f>ROUND(IF(Dados!#REF!="SIM",Q13*Dados!#REF!,Q13),2)</f>
        <v>#REF!</v>
      </c>
    </row>
    <row r="14" spans="1:19" s="65" customFormat="1" ht="13.8" x14ac:dyDescent="0.3">
      <c r="A14" s="79">
        <v>6</v>
      </c>
      <c r="B14" s="251" t="s">
        <v>341</v>
      </c>
      <c r="C14" s="71" t="s">
        <v>333</v>
      </c>
      <c r="D14" s="71"/>
      <c r="E14" s="71">
        <v>4</v>
      </c>
      <c r="F14" s="71" t="s">
        <v>339</v>
      </c>
      <c r="G14" s="252">
        <v>33.82</v>
      </c>
      <c r="H14" s="257"/>
      <c r="I14" s="64"/>
      <c r="J14" s="71">
        <f>'Ocorrências Mensais - FAT'!G29</f>
        <v>4</v>
      </c>
      <c r="K14" s="254">
        <f t="shared" si="0"/>
        <v>135.28</v>
      </c>
      <c r="M14" s="255">
        <v>3.8</v>
      </c>
      <c r="N14" s="36">
        <f>ROUND(IF(Dados!$J$55="SIM",M14*Dados!$N$55,M14),2)</f>
        <v>3.8</v>
      </c>
      <c r="O14" s="36" t="e">
        <f>ROUND(IF(Dados!#REF!="SIM",N14*Dados!#REF!,N14),2)</f>
        <v>#REF!</v>
      </c>
      <c r="P14" s="36" t="e">
        <f>ROUND(IF(Dados!#REF!="SIM",O14*Dados!#REF!,O14),2)</f>
        <v>#REF!</v>
      </c>
      <c r="Q14" s="36" t="e">
        <f>ROUND(IF(Dados!#REF!="SIM",P14*Dados!#REF!,P14),2)</f>
        <v>#REF!</v>
      </c>
      <c r="R14" s="256" t="e">
        <f>ROUND(IF(Dados!#REF!="SIM",Q14*Dados!#REF!,Q14),2)</f>
        <v>#REF!</v>
      </c>
    </row>
    <row r="15" spans="1:19" s="65" customFormat="1" ht="13.8" x14ac:dyDescent="0.3">
      <c r="A15" s="79">
        <v>7</v>
      </c>
      <c r="B15" s="251" t="s">
        <v>342</v>
      </c>
      <c r="C15" s="71" t="s">
        <v>55</v>
      </c>
      <c r="D15" s="71"/>
      <c r="E15" s="71">
        <v>1</v>
      </c>
      <c r="F15" s="71" t="s">
        <v>339</v>
      </c>
      <c r="G15" s="252">
        <v>12.15</v>
      </c>
      <c r="H15" s="257"/>
      <c r="I15" s="64"/>
      <c r="J15" s="71">
        <f>'Ocorrências Mensais - FAT'!G30</f>
        <v>1</v>
      </c>
      <c r="K15" s="254">
        <f t="shared" si="0"/>
        <v>12.15</v>
      </c>
      <c r="M15" s="255">
        <v>4.1399999999999997</v>
      </c>
      <c r="N15" s="36">
        <f>ROUND(IF(Dados!$J$55="SIM",M15*Dados!$N$55,M15),2)</f>
        <v>4.1399999999999997</v>
      </c>
      <c r="O15" s="36" t="e">
        <f>ROUND(IF(Dados!#REF!="SIM",N15*Dados!#REF!,N15),2)</f>
        <v>#REF!</v>
      </c>
      <c r="P15" s="36" t="e">
        <f>ROUND(IF(Dados!#REF!="SIM",O15*Dados!#REF!,O15),2)</f>
        <v>#REF!</v>
      </c>
      <c r="Q15" s="36" t="e">
        <f>ROUND(IF(Dados!#REF!="SIM",P15*Dados!#REF!,P15),2)</f>
        <v>#REF!</v>
      </c>
      <c r="R15" s="256" t="e">
        <f>ROUND(IF(Dados!#REF!="SIM",Q15*Dados!#REF!,Q15),2)</f>
        <v>#REF!</v>
      </c>
    </row>
    <row r="16" spans="1:19" s="65" customFormat="1" ht="55.2" x14ac:dyDescent="0.3">
      <c r="A16" s="79">
        <v>8</v>
      </c>
      <c r="B16" s="251" t="s">
        <v>343</v>
      </c>
      <c r="C16" s="71" t="s">
        <v>55</v>
      </c>
      <c r="D16" s="71"/>
      <c r="E16" s="71">
        <v>8</v>
      </c>
      <c r="F16" s="71" t="s">
        <v>339</v>
      </c>
      <c r="G16" s="252">
        <v>2.21</v>
      </c>
      <c r="H16" s="257"/>
      <c r="I16" s="64"/>
      <c r="J16" s="71">
        <f>'Ocorrências Mensais - FAT'!G31</f>
        <v>8</v>
      </c>
      <c r="K16" s="254">
        <f t="shared" si="0"/>
        <v>17.68</v>
      </c>
      <c r="M16" s="255">
        <v>1.4</v>
      </c>
      <c r="N16" s="36">
        <f>ROUND(IF(Dados!$J$55="SIM",M16*Dados!$N$55,M16),2)</f>
        <v>1.4</v>
      </c>
      <c r="O16" s="36" t="e">
        <f>ROUND(IF(Dados!#REF!="SIM",N16*Dados!#REF!,N16),2)</f>
        <v>#REF!</v>
      </c>
      <c r="P16" s="36" t="e">
        <f>ROUND(IF(Dados!#REF!="SIM",O16*Dados!#REF!,O16),2)</f>
        <v>#REF!</v>
      </c>
      <c r="Q16" s="36" t="e">
        <f>ROUND(IF(Dados!#REF!="SIM",P16*Dados!#REF!,P16),2)</f>
        <v>#REF!</v>
      </c>
      <c r="R16" s="256" t="e">
        <f>ROUND(IF(Dados!#REF!="SIM",Q16*Dados!#REF!,Q16),2)</f>
        <v>#REF!</v>
      </c>
    </row>
    <row r="17" spans="1:18" s="65" customFormat="1" ht="13.8" x14ac:dyDescent="0.3">
      <c r="A17" s="79">
        <v>9</v>
      </c>
      <c r="B17" s="251" t="s">
        <v>344</v>
      </c>
      <c r="C17" s="71" t="s">
        <v>55</v>
      </c>
      <c r="D17" s="71"/>
      <c r="E17" s="71">
        <v>2</v>
      </c>
      <c r="F17" s="71" t="s">
        <v>334</v>
      </c>
      <c r="G17" s="252">
        <v>3.39</v>
      </c>
      <c r="H17" s="258"/>
      <c r="I17" s="64"/>
      <c r="J17" s="71">
        <f>'Ocorrências Mensais - FAT'!G32</f>
        <v>0.66666666666666663</v>
      </c>
      <c r="K17" s="254">
        <f t="shared" si="0"/>
        <v>2.2599999999999998</v>
      </c>
      <c r="M17" s="255">
        <v>3.2</v>
      </c>
      <c r="N17" s="36">
        <f>ROUND(IF(Dados!$J$55="SIM",M17*Dados!$N$55,M17),2)</f>
        <v>3.2</v>
      </c>
      <c r="O17" s="36" t="e">
        <f>ROUND(IF(Dados!#REF!="SIM",N17*Dados!#REF!,N17),2)</f>
        <v>#REF!</v>
      </c>
      <c r="P17" s="36" t="e">
        <f>ROUND(IF(Dados!#REF!="SIM",O17*Dados!#REF!,O17),2)</f>
        <v>#REF!</v>
      </c>
      <c r="Q17" s="36" t="e">
        <f>ROUND(IF(Dados!#REF!="SIM",P17*Dados!#REF!,P17),2)</f>
        <v>#REF!</v>
      </c>
      <c r="R17" s="256" t="e">
        <f>ROUND(IF(Dados!#REF!="SIM",Q17*Dados!#REF!,Q17),2)</f>
        <v>#REF!</v>
      </c>
    </row>
    <row r="18" spans="1:18" s="65" customFormat="1" ht="54" customHeight="1" x14ac:dyDescent="0.3">
      <c r="A18" s="80">
        <v>10</v>
      </c>
      <c r="B18" s="251" t="s">
        <v>345</v>
      </c>
      <c r="C18" s="71" t="s">
        <v>55</v>
      </c>
      <c r="D18" s="71"/>
      <c r="E18" s="71">
        <v>5</v>
      </c>
      <c r="F18" s="71" t="s">
        <v>339</v>
      </c>
      <c r="G18" s="252">
        <v>3.88</v>
      </c>
      <c r="H18" s="258"/>
      <c r="I18" s="64"/>
      <c r="J18" s="71">
        <f>'Ocorrências Mensais - FAT'!G33</f>
        <v>5</v>
      </c>
      <c r="K18" s="254">
        <f t="shared" si="0"/>
        <v>19.399999999999999</v>
      </c>
      <c r="M18" s="255">
        <v>4</v>
      </c>
      <c r="N18" s="36">
        <f>ROUND(IF(Dados!$J$55="SIM",M18*Dados!$N$55,M18),2)</f>
        <v>4</v>
      </c>
      <c r="O18" s="36" t="e">
        <f>ROUND(IF(Dados!#REF!="SIM",N18*Dados!#REF!,N18),2)</f>
        <v>#REF!</v>
      </c>
      <c r="P18" s="36" t="e">
        <f>ROUND(IF(Dados!#REF!="SIM",O18*Dados!#REF!,O18),2)</f>
        <v>#REF!</v>
      </c>
      <c r="Q18" s="36" t="e">
        <f>ROUND(IF(Dados!#REF!="SIM",P18*Dados!#REF!,P18),2)</f>
        <v>#REF!</v>
      </c>
      <c r="R18" s="256" t="e">
        <f>ROUND(IF(Dados!#REF!="SIM",Q18*Dados!#REF!,Q18),2)</f>
        <v>#REF!</v>
      </c>
    </row>
    <row r="19" spans="1:18" s="65" customFormat="1" ht="41.4" x14ac:dyDescent="0.3">
      <c r="A19" s="79">
        <v>11</v>
      </c>
      <c r="B19" s="251" t="s">
        <v>346</v>
      </c>
      <c r="C19" s="71" t="s">
        <v>55</v>
      </c>
      <c r="D19" s="71"/>
      <c r="E19" s="71">
        <v>1</v>
      </c>
      <c r="F19" s="71" t="s">
        <v>347</v>
      </c>
      <c r="G19" s="252">
        <v>433.44</v>
      </c>
      <c r="H19" s="257"/>
      <c r="I19" s="64"/>
      <c r="J19" s="71">
        <f>'Ocorrências Mensais - FAT'!G34</f>
        <v>8.3333333333333329E-2</v>
      </c>
      <c r="K19" s="254">
        <f t="shared" si="0"/>
        <v>36.119999999999997</v>
      </c>
      <c r="M19" s="255">
        <v>1.2</v>
      </c>
      <c r="N19" s="36">
        <f>ROUND(IF(Dados!$J$55="SIM",M19*Dados!$N$55,M19),2)</f>
        <v>1.2</v>
      </c>
      <c r="O19" s="36" t="e">
        <f>ROUND(IF(Dados!#REF!="SIM",N19*Dados!#REF!,N19),2)</f>
        <v>#REF!</v>
      </c>
      <c r="P19" s="36" t="e">
        <f>ROUND(IF(Dados!#REF!="SIM",O19*Dados!#REF!,O19),2)</f>
        <v>#REF!</v>
      </c>
      <c r="Q19" s="36" t="e">
        <f>ROUND(IF(Dados!#REF!="SIM",P19*Dados!#REF!,P19),2)</f>
        <v>#REF!</v>
      </c>
      <c r="R19" s="256" t="e">
        <f>ROUND(IF(Dados!#REF!="SIM",Q19*Dados!#REF!,Q19),2)</f>
        <v>#REF!</v>
      </c>
    </row>
    <row r="20" spans="1:18" s="65" customFormat="1" ht="105" customHeight="1" x14ac:dyDescent="0.3">
      <c r="A20" s="79">
        <v>12</v>
      </c>
      <c r="B20" s="251" t="s">
        <v>348</v>
      </c>
      <c r="C20" s="71" t="s">
        <v>55</v>
      </c>
      <c r="D20" s="71"/>
      <c r="E20" s="71">
        <v>20</v>
      </c>
      <c r="F20" s="71" t="s">
        <v>339</v>
      </c>
      <c r="G20" s="252">
        <v>4.17</v>
      </c>
      <c r="H20" s="257"/>
      <c r="I20" s="64"/>
      <c r="J20" s="71">
        <f>'Ocorrências Mensais - FAT'!G35</f>
        <v>20</v>
      </c>
      <c r="K20" s="254">
        <f t="shared" si="0"/>
        <v>83.4</v>
      </c>
      <c r="M20" s="255">
        <v>1.3</v>
      </c>
      <c r="N20" s="36">
        <f>ROUND(IF(Dados!$J$55="SIM",M20*Dados!$N$55,M20),2)</f>
        <v>1.3</v>
      </c>
      <c r="O20" s="36" t="e">
        <f>ROUND(IF(Dados!#REF!="SIM",N20*Dados!#REF!,N20),2)</f>
        <v>#REF!</v>
      </c>
      <c r="P20" s="36" t="e">
        <f>ROUND(IF(Dados!#REF!="SIM",O20*Dados!#REF!,O20),2)</f>
        <v>#REF!</v>
      </c>
      <c r="Q20" s="36" t="e">
        <f>ROUND(IF(Dados!#REF!="SIM",P20*Dados!#REF!,P20),2)</f>
        <v>#REF!</v>
      </c>
      <c r="R20" s="256" t="e">
        <f>ROUND(IF(Dados!#REF!="SIM",Q20*Dados!#REF!,Q20),2)</f>
        <v>#REF!</v>
      </c>
    </row>
    <row r="21" spans="1:18" s="65" customFormat="1" ht="13.8" x14ac:dyDescent="0.3">
      <c r="A21" s="80">
        <v>13</v>
      </c>
      <c r="B21" s="251" t="s">
        <v>349</v>
      </c>
      <c r="C21" s="71" t="s">
        <v>55</v>
      </c>
      <c r="D21" s="71"/>
      <c r="E21" s="71">
        <v>5</v>
      </c>
      <c r="F21" s="71" t="s">
        <v>339</v>
      </c>
      <c r="G21" s="252">
        <v>4.1500000000000004</v>
      </c>
      <c r="H21" s="257"/>
      <c r="I21" s="64"/>
      <c r="J21" s="71">
        <f>'Ocorrências Mensais - FAT'!G36</f>
        <v>5</v>
      </c>
      <c r="K21" s="254">
        <f t="shared" si="0"/>
        <v>20.75</v>
      </c>
      <c r="M21" s="255">
        <v>1.48</v>
      </c>
      <c r="N21" s="36">
        <f>ROUND(IF(Dados!$J$55="SIM",M21*Dados!$N$55,M21),2)</f>
        <v>1.48</v>
      </c>
      <c r="O21" s="36" t="e">
        <f>ROUND(IF(Dados!#REF!="SIM",N21*Dados!#REF!,N21),2)</f>
        <v>#REF!</v>
      </c>
      <c r="P21" s="36" t="e">
        <f>ROUND(IF(Dados!#REF!="SIM",O21*Dados!#REF!,O21),2)</f>
        <v>#REF!</v>
      </c>
      <c r="Q21" s="36" t="e">
        <f>ROUND(IF(Dados!#REF!="SIM",P21*Dados!#REF!,P21),2)</f>
        <v>#REF!</v>
      </c>
      <c r="R21" s="256" t="e">
        <f>ROUND(IF(Dados!#REF!="SIM",Q21*Dados!#REF!,Q21),2)</f>
        <v>#REF!</v>
      </c>
    </row>
    <row r="22" spans="1:18" s="65" customFormat="1" ht="41.4" x14ac:dyDescent="0.3">
      <c r="A22" s="79">
        <v>14</v>
      </c>
      <c r="B22" s="251" t="s">
        <v>350</v>
      </c>
      <c r="C22" s="71" t="s">
        <v>351</v>
      </c>
      <c r="D22" s="71"/>
      <c r="E22" s="71">
        <v>2</v>
      </c>
      <c r="F22" s="71" t="s">
        <v>339</v>
      </c>
      <c r="G22" s="252">
        <v>2.38</v>
      </c>
      <c r="H22" s="257"/>
      <c r="I22" s="64"/>
      <c r="J22" s="71">
        <f>'Ocorrências Mensais - FAT'!G37</f>
        <v>2</v>
      </c>
      <c r="K22" s="254">
        <f t="shared" si="0"/>
        <v>4.76</v>
      </c>
      <c r="M22" s="255">
        <v>1</v>
      </c>
      <c r="N22" s="36">
        <f>ROUND(IF(Dados!$J$55="SIM",M22*Dados!$N$55,M22),2)</f>
        <v>1</v>
      </c>
      <c r="O22" s="36" t="e">
        <f>ROUND(IF(Dados!#REF!="SIM",N22*Dados!#REF!,N22),2)</f>
        <v>#REF!</v>
      </c>
      <c r="P22" s="36" t="e">
        <f>ROUND(IF(Dados!#REF!="SIM",O22*Dados!#REF!,O22),2)</f>
        <v>#REF!</v>
      </c>
      <c r="Q22" s="36" t="e">
        <f>ROUND(IF(Dados!#REF!="SIM",P22*Dados!#REF!,P22),2)</f>
        <v>#REF!</v>
      </c>
      <c r="R22" s="256" t="e">
        <f>ROUND(IF(Dados!#REF!="SIM",Q22*Dados!#REF!,Q22),2)</f>
        <v>#REF!</v>
      </c>
    </row>
    <row r="23" spans="1:18" s="65" customFormat="1" ht="13.8" x14ac:dyDescent="0.3">
      <c r="A23" s="79">
        <v>15</v>
      </c>
      <c r="B23" s="251" t="s">
        <v>352</v>
      </c>
      <c r="C23" s="71" t="s">
        <v>55</v>
      </c>
      <c r="D23" s="71"/>
      <c r="E23" s="71">
        <v>1</v>
      </c>
      <c r="F23" s="71" t="s">
        <v>339</v>
      </c>
      <c r="G23" s="252">
        <v>20.309999999999999</v>
      </c>
      <c r="H23" s="257"/>
      <c r="I23" s="64"/>
      <c r="J23" s="71">
        <f>'Ocorrências Mensais - FAT'!G38</f>
        <v>1</v>
      </c>
      <c r="K23" s="254">
        <f t="shared" si="0"/>
        <v>20.309999999999999</v>
      </c>
      <c r="M23" s="255">
        <v>1.4</v>
      </c>
      <c r="N23" s="36">
        <f>ROUND(IF(Dados!$J$55="SIM",M23*Dados!$N$55,M23),2)</f>
        <v>1.4</v>
      </c>
      <c r="O23" s="36" t="e">
        <f>ROUND(IF(Dados!#REF!="SIM",N23*Dados!#REF!,N23),2)</f>
        <v>#REF!</v>
      </c>
      <c r="P23" s="36" t="e">
        <f>ROUND(IF(Dados!#REF!="SIM",O23*Dados!#REF!,O23),2)</f>
        <v>#REF!</v>
      </c>
      <c r="Q23" s="36" t="e">
        <f>ROUND(IF(Dados!#REF!="SIM",P23*Dados!#REF!,P23),2)</f>
        <v>#REF!</v>
      </c>
      <c r="R23" s="256" t="e">
        <f>ROUND(IF(Dados!#REF!="SIM",Q23*Dados!#REF!,Q23),2)</f>
        <v>#REF!</v>
      </c>
    </row>
    <row r="24" spans="1:18" s="65" customFormat="1" ht="42" customHeight="1" x14ac:dyDescent="0.3">
      <c r="A24" s="79">
        <v>16</v>
      </c>
      <c r="B24" s="251" t="s">
        <v>353</v>
      </c>
      <c r="C24" s="71" t="s">
        <v>55</v>
      </c>
      <c r="D24" s="71" t="s">
        <v>354</v>
      </c>
      <c r="E24" s="71">
        <v>17</v>
      </c>
      <c r="F24" s="71" t="s">
        <v>339</v>
      </c>
      <c r="G24" s="252">
        <v>7.49</v>
      </c>
      <c r="H24" s="257"/>
      <c r="I24" s="64"/>
      <c r="J24" s="71">
        <f>'Ocorrências Mensais - FAT'!G39</f>
        <v>17</v>
      </c>
      <c r="K24" s="254">
        <f t="shared" si="0"/>
        <v>127.33</v>
      </c>
      <c r="M24" s="255">
        <v>9.1</v>
      </c>
      <c r="N24" s="36">
        <f>ROUND(IF(Dados!$J$55="SIM",M24*Dados!$N$55,M24),2)</f>
        <v>9.1</v>
      </c>
      <c r="O24" s="36" t="e">
        <f>ROUND(IF(Dados!#REF!="SIM",N24*Dados!#REF!,N24),2)</f>
        <v>#REF!</v>
      </c>
      <c r="P24" s="36" t="e">
        <f>ROUND(IF(Dados!#REF!="SIM",O24*Dados!#REF!,O24),2)</f>
        <v>#REF!</v>
      </c>
      <c r="Q24" s="36" t="e">
        <f>ROUND(IF(Dados!#REF!="SIM",P24*Dados!#REF!,P24),2)</f>
        <v>#REF!</v>
      </c>
      <c r="R24" s="256" t="e">
        <f>ROUND(IF(Dados!#REF!="SIM",Q24*Dados!#REF!,Q24),2)</f>
        <v>#REF!</v>
      </c>
    </row>
    <row r="25" spans="1:18" s="65" customFormat="1" ht="49.5" customHeight="1" x14ac:dyDescent="0.3">
      <c r="A25" s="79">
        <v>17</v>
      </c>
      <c r="B25" s="251" t="s">
        <v>355</v>
      </c>
      <c r="C25" s="71" t="s">
        <v>55</v>
      </c>
      <c r="D25" s="71" t="s">
        <v>356</v>
      </c>
      <c r="E25" s="71">
        <v>4</v>
      </c>
      <c r="F25" s="71" t="s">
        <v>339</v>
      </c>
      <c r="G25" s="252">
        <v>11.66</v>
      </c>
      <c r="H25" s="257"/>
      <c r="I25" s="64"/>
      <c r="J25" s="71">
        <f>'Ocorrências Mensais - FAT'!G40</f>
        <v>4</v>
      </c>
      <c r="K25" s="254">
        <f t="shared" si="0"/>
        <v>46.64</v>
      </c>
      <c r="M25" s="255">
        <v>1</v>
      </c>
      <c r="N25" s="36">
        <f>ROUND(IF(Dados!$J$55="SIM",M25*Dados!$N$55,M25),2)</f>
        <v>1</v>
      </c>
      <c r="O25" s="36" t="e">
        <f>ROUND(IF(Dados!#REF!="SIM",N25*Dados!#REF!,N25),2)</f>
        <v>#REF!</v>
      </c>
      <c r="P25" s="36" t="e">
        <f>ROUND(IF(Dados!#REF!="SIM",O25*Dados!#REF!,O25),2)</f>
        <v>#REF!</v>
      </c>
      <c r="Q25" s="36" t="e">
        <f>ROUND(IF(Dados!#REF!="SIM",P25*Dados!#REF!,P25),2)</f>
        <v>#REF!</v>
      </c>
      <c r="R25" s="256" t="e">
        <f>ROUND(IF(Dados!#REF!="SIM",Q25*Dados!#REF!,Q25),2)</f>
        <v>#REF!</v>
      </c>
    </row>
    <row r="26" spans="1:18" s="65" customFormat="1" ht="55.2" x14ac:dyDescent="0.3">
      <c r="A26" s="79">
        <v>18</v>
      </c>
      <c r="B26" s="251" t="s">
        <v>357</v>
      </c>
      <c r="C26" s="71" t="s">
        <v>358</v>
      </c>
      <c r="D26" s="71"/>
      <c r="E26" s="71">
        <v>4</v>
      </c>
      <c r="F26" s="71" t="s">
        <v>339</v>
      </c>
      <c r="G26" s="252">
        <v>15.71</v>
      </c>
      <c r="H26" s="257"/>
      <c r="I26" s="64"/>
      <c r="J26" s="71">
        <f>'Ocorrências Mensais - FAT'!G41</f>
        <v>4</v>
      </c>
      <c r="K26" s="254">
        <f t="shared" si="0"/>
        <v>62.84</v>
      </c>
      <c r="M26" s="255">
        <v>1.59</v>
      </c>
      <c r="N26" s="36">
        <f>ROUND(IF(Dados!$J$55="SIM",M26*Dados!$N$55,M26),2)</f>
        <v>1.59</v>
      </c>
      <c r="O26" s="36" t="e">
        <f>ROUND(IF(Dados!#REF!="SIM",N26*Dados!#REF!,N26),2)</f>
        <v>#REF!</v>
      </c>
      <c r="P26" s="36" t="e">
        <f>ROUND(IF(Dados!#REF!="SIM",O26*Dados!#REF!,O26),2)</f>
        <v>#REF!</v>
      </c>
      <c r="Q26" s="36" t="e">
        <f>ROUND(IF(Dados!#REF!="SIM",P26*Dados!#REF!,P26),2)</f>
        <v>#REF!</v>
      </c>
      <c r="R26" s="256" t="e">
        <f>ROUND(IF(Dados!#REF!="SIM",Q26*Dados!#REF!,Q26),2)</f>
        <v>#REF!</v>
      </c>
    </row>
    <row r="27" spans="1:18" s="65" customFormat="1" ht="13.8" x14ac:dyDescent="0.3">
      <c r="A27" s="79">
        <v>19</v>
      </c>
      <c r="B27" s="251" t="s">
        <v>359</v>
      </c>
      <c r="C27" s="71" t="s">
        <v>55</v>
      </c>
      <c r="D27" s="71"/>
      <c r="E27" s="71">
        <v>1</v>
      </c>
      <c r="F27" s="71" t="s">
        <v>347</v>
      </c>
      <c r="G27" s="252">
        <v>659.14</v>
      </c>
      <c r="H27" s="258"/>
      <c r="I27" s="64"/>
      <c r="J27" s="71">
        <f>'Ocorrências Mensais - FAT'!G42</f>
        <v>8.3333333333333329E-2</v>
      </c>
      <c r="K27" s="254">
        <f t="shared" si="0"/>
        <v>54.928333333333327</v>
      </c>
      <c r="M27" s="255">
        <v>10.9</v>
      </c>
      <c r="N27" s="36">
        <f>ROUND(IF(Dados!$J$55="SIM",M27*Dados!$N$55,M27),2)</f>
        <v>10.9</v>
      </c>
      <c r="O27" s="36" t="e">
        <f>ROUND(IF(Dados!#REF!="SIM",N27*Dados!#REF!,N27),2)</f>
        <v>#REF!</v>
      </c>
      <c r="P27" s="36" t="e">
        <f>ROUND(IF(Dados!#REF!="SIM",O27*Dados!#REF!,O27),2)</f>
        <v>#REF!</v>
      </c>
      <c r="Q27" s="36" t="e">
        <f>ROUND(IF(Dados!#REF!="SIM",P27*Dados!#REF!,P27),2)</f>
        <v>#REF!</v>
      </c>
      <c r="R27" s="256" t="e">
        <f>ROUND(IF(Dados!#REF!="SIM",Q27*Dados!#REF!,Q27),2)</f>
        <v>#REF!</v>
      </c>
    </row>
    <row r="28" spans="1:18" s="65" customFormat="1" ht="13.8" x14ac:dyDescent="0.3">
      <c r="A28" s="79">
        <v>20</v>
      </c>
      <c r="B28" s="251" t="s">
        <v>360</v>
      </c>
      <c r="C28" s="71" t="s">
        <v>55</v>
      </c>
      <c r="D28" s="71"/>
      <c r="E28" s="71">
        <v>20</v>
      </c>
      <c r="F28" s="71" t="s">
        <v>339</v>
      </c>
      <c r="G28" s="252">
        <v>2.0699999999999998</v>
      </c>
      <c r="H28" s="258"/>
      <c r="I28" s="64"/>
      <c r="J28" s="71">
        <f>'Ocorrências Mensais - FAT'!G43</f>
        <v>20</v>
      </c>
      <c r="K28" s="254">
        <f t="shared" si="0"/>
        <v>41.4</v>
      </c>
      <c r="M28" s="255">
        <v>3</v>
      </c>
      <c r="N28" s="36">
        <f>ROUND(IF(Dados!$J$55="SIM",M28*Dados!$N$55,M28),2)</f>
        <v>3</v>
      </c>
      <c r="O28" s="36" t="e">
        <f>ROUND(IF(Dados!#REF!="SIM",N28*Dados!#REF!,N28),2)</f>
        <v>#REF!</v>
      </c>
      <c r="P28" s="36" t="e">
        <f>ROUND(IF(Dados!#REF!="SIM",O28*Dados!#REF!,O28),2)</f>
        <v>#REF!</v>
      </c>
      <c r="Q28" s="36" t="e">
        <f>ROUND(IF(Dados!#REF!="SIM",P28*Dados!#REF!,P28),2)</f>
        <v>#REF!</v>
      </c>
      <c r="R28" s="256" t="e">
        <f>ROUND(IF(Dados!#REF!="SIM",Q28*Dados!#REF!,Q28),2)</f>
        <v>#REF!</v>
      </c>
    </row>
    <row r="29" spans="1:18" s="65" customFormat="1" ht="21.75" customHeight="1" x14ac:dyDescent="0.3">
      <c r="A29" s="79">
        <v>21</v>
      </c>
      <c r="B29" s="251" t="s">
        <v>361</v>
      </c>
      <c r="C29" s="71" t="s">
        <v>55</v>
      </c>
      <c r="D29" s="71"/>
      <c r="E29" s="71">
        <v>2</v>
      </c>
      <c r="F29" s="71" t="s">
        <v>334</v>
      </c>
      <c r="G29" s="252">
        <v>6.52</v>
      </c>
      <c r="H29" s="258"/>
      <c r="I29" s="64"/>
      <c r="J29" s="71">
        <f>'Ocorrências Mensais - FAT'!G44</f>
        <v>0.66666666666666663</v>
      </c>
      <c r="K29" s="254">
        <f t="shared" si="0"/>
        <v>4.3466666666666658</v>
      </c>
      <c r="M29" s="255">
        <v>1</v>
      </c>
      <c r="N29" s="36">
        <f>ROUND(IF(Dados!$J$55="SIM",M29*Dados!$N$55,M29),2)</f>
        <v>1</v>
      </c>
      <c r="O29" s="36" t="e">
        <f>ROUND(IF(Dados!#REF!="SIM",N29*Dados!#REF!,N29),2)</f>
        <v>#REF!</v>
      </c>
      <c r="P29" s="36" t="e">
        <f>ROUND(IF(Dados!#REF!="SIM",O29*Dados!#REF!,O29),2)</f>
        <v>#REF!</v>
      </c>
      <c r="Q29" s="36" t="e">
        <f>ROUND(IF(Dados!#REF!="SIM",P29*Dados!#REF!,P29),2)</f>
        <v>#REF!</v>
      </c>
      <c r="R29" s="256" t="e">
        <f>ROUND(IF(Dados!#REF!="SIM",Q29*Dados!#REF!,Q29),2)</f>
        <v>#REF!</v>
      </c>
    </row>
    <row r="30" spans="1:18" s="65" customFormat="1" ht="45" customHeight="1" x14ac:dyDescent="0.3">
      <c r="A30" s="79">
        <v>22</v>
      </c>
      <c r="B30" s="251" t="s">
        <v>362</v>
      </c>
      <c r="C30" s="71" t="s">
        <v>363</v>
      </c>
      <c r="D30" s="71"/>
      <c r="E30" s="71">
        <v>2</v>
      </c>
      <c r="F30" s="71" t="s">
        <v>339</v>
      </c>
      <c r="G30" s="252">
        <v>76.94</v>
      </c>
      <c r="H30" s="257"/>
      <c r="I30" s="64"/>
      <c r="J30" s="71">
        <f>'Ocorrências Mensais - FAT'!G45</f>
        <v>2</v>
      </c>
      <c r="K30" s="254">
        <f t="shared" si="0"/>
        <v>153.88</v>
      </c>
      <c r="M30" s="255">
        <v>2</v>
      </c>
      <c r="N30" s="36">
        <f>ROUND(IF(Dados!$J$55="SIM",M30*Dados!$N$55,M30),2)</f>
        <v>2</v>
      </c>
      <c r="O30" s="36" t="e">
        <f>ROUND(IF(Dados!#REF!="SIM",N30*Dados!#REF!,N30),2)</f>
        <v>#REF!</v>
      </c>
      <c r="P30" s="36" t="e">
        <f>ROUND(IF(Dados!#REF!="SIM",O30*Dados!#REF!,O30),2)</f>
        <v>#REF!</v>
      </c>
      <c r="Q30" s="36" t="e">
        <f>ROUND(IF(Dados!#REF!="SIM",P30*Dados!#REF!,P30),2)</f>
        <v>#REF!</v>
      </c>
      <c r="R30" s="256" t="e">
        <f>ROUND(IF(Dados!#REF!="SIM",Q30*Dados!#REF!,Q30),2)</f>
        <v>#REF!</v>
      </c>
    </row>
    <row r="31" spans="1:18" s="65" customFormat="1" ht="38.25" customHeight="1" x14ac:dyDescent="0.3">
      <c r="A31" s="79">
        <v>23</v>
      </c>
      <c r="B31" s="251" t="s">
        <v>364</v>
      </c>
      <c r="C31" s="71" t="s">
        <v>351</v>
      </c>
      <c r="D31" s="71" t="s">
        <v>365</v>
      </c>
      <c r="E31" s="71">
        <v>30</v>
      </c>
      <c r="F31" s="71" t="s">
        <v>339</v>
      </c>
      <c r="G31" s="252">
        <v>31.25</v>
      </c>
      <c r="H31" s="257"/>
      <c r="I31" s="64"/>
      <c r="J31" s="71">
        <f>'Ocorrências Mensais - FAT'!G46</f>
        <v>30</v>
      </c>
      <c r="K31" s="254">
        <f t="shared" si="0"/>
        <v>937.5</v>
      </c>
      <c r="M31" s="255">
        <v>20</v>
      </c>
      <c r="N31" s="36">
        <f>ROUND(IF(Dados!$J$55="SIM",M31*Dados!$N$55,M31),2)</f>
        <v>20</v>
      </c>
      <c r="O31" s="36" t="e">
        <f>ROUND(IF(Dados!#REF!="SIM",N31*Dados!#REF!,N31),2)</f>
        <v>#REF!</v>
      </c>
      <c r="P31" s="36" t="e">
        <f>ROUND(IF(Dados!#REF!="SIM",O31*Dados!#REF!,O31),2)</f>
        <v>#REF!</v>
      </c>
      <c r="Q31" s="36" t="e">
        <f>ROUND(IF(Dados!#REF!="SIM",P31*Dados!#REF!,P31),2)</f>
        <v>#REF!</v>
      </c>
      <c r="R31" s="256" t="e">
        <f>ROUND(IF(Dados!#REF!="SIM",Q31*Dados!#REF!,Q31),2)</f>
        <v>#REF!</v>
      </c>
    </row>
    <row r="32" spans="1:18" s="65" customFormat="1" ht="27.6" x14ac:dyDescent="0.3">
      <c r="A32" s="79">
        <v>24</v>
      </c>
      <c r="B32" s="251" t="s">
        <v>366</v>
      </c>
      <c r="C32" s="71" t="s">
        <v>55</v>
      </c>
      <c r="D32" s="71"/>
      <c r="E32" s="71">
        <v>25</v>
      </c>
      <c r="F32" s="71" t="s">
        <v>339</v>
      </c>
      <c r="G32" s="252">
        <v>2.1800000000000002</v>
      </c>
      <c r="H32" s="258"/>
      <c r="I32" s="64"/>
      <c r="J32" s="71">
        <f>'Ocorrências Mensais - FAT'!G47</f>
        <v>25</v>
      </c>
      <c r="K32" s="254">
        <f t="shared" si="0"/>
        <v>54.500000000000007</v>
      </c>
      <c r="M32" s="255">
        <v>6.3</v>
      </c>
      <c r="N32" s="36">
        <f>ROUND(IF(Dados!$J$55="SIM",M32*Dados!$N$55,M32),2)</f>
        <v>6.3</v>
      </c>
      <c r="O32" s="36" t="e">
        <f>ROUND(IF(Dados!#REF!="SIM",N32*Dados!#REF!,N32),2)</f>
        <v>#REF!</v>
      </c>
      <c r="P32" s="36" t="e">
        <f>ROUND(IF(Dados!#REF!="SIM",O32*Dados!#REF!,O32),2)</f>
        <v>#REF!</v>
      </c>
      <c r="Q32" s="36" t="e">
        <f>ROUND(IF(Dados!#REF!="SIM",P32*Dados!#REF!,P32),2)</f>
        <v>#REF!</v>
      </c>
      <c r="R32" s="256" t="e">
        <f>ROUND(IF(Dados!#REF!="SIM",Q32*Dados!#REF!,Q32),2)</f>
        <v>#REF!</v>
      </c>
    </row>
    <row r="33" spans="1:18" s="65" customFormat="1" ht="41.4" x14ac:dyDescent="0.3">
      <c r="A33" s="79">
        <v>25</v>
      </c>
      <c r="B33" s="251" t="s">
        <v>367</v>
      </c>
      <c r="C33" s="71" t="s">
        <v>55</v>
      </c>
      <c r="D33" s="71"/>
      <c r="E33" s="71">
        <v>2</v>
      </c>
      <c r="F33" s="71" t="s">
        <v>334</v>
      </c>
      <c r="G33" s="252">
        <v>11.36</v>
      </c>
      <c r="H33" s="258"/>
      <c r="I33" s="64"/>
      <c r="J33" s="71">
        <f>'Ocorrências Mensais - FAT'!G48</f>
        <v>0.66666666666666663</v>
      </c>
      <c r="K33" s="254">
        <f t="shared" si="0"/>
        <v>7.5733333333333324</v>
      </c>
      <c r="M33" s="255"/>
      <c r="N33" s="36"/>
      <c r="O33" s="36"/>
      <c r="P33" s="36"/>
      <c r="Q33" s="36"/>
      <c r="R33" s="256"/>
    </row>
    <row r="34" spans="1:18" s="65" customFormat="1" ht="41.4" x14ac:dyDescent="0.3">
      <c r="A34" s="79">
        <v>26</v>
      </c>
      <c r="B34" s="251" t="s">
        <v>368</v>
      </c>
      <c r="C34" s="71" t="s">
        <v>55</v>
      </c>
      <c r="D34" s="71"/>
      <c r="E34" s="71">
        <v>2</v>
      </c>
      <c r="F34" s="71" t="s">
        <v>334</v>
      </c>
      <c r="G34" s="252">
        <v>17.760000000000002</v>
      </c>
      <c r="H34" s="258"/>
      <c r="I34" s="64"/>
      <c r="J34" s="71">
        <f>'Ocorrências Mensais - FAT'!G49</f>
        <v>0.66666666666666663</v>
      </c>
      <c r="K34" s="254">
        <f t="shared" si="0"/>
        <v>11.84</v>
      </c>
      <c r="M34" s="255"/>
      <c r="N34" s="36"/>
      <c r="O34" s="36"/>
      <c r="P34" s="36"/>
      <c r="Q34" s="36"/>
      <c r="R34" s="256"/>
    </row>
    <row r="35" spans="1:18" s="65" customFormat="1" ht="15.75" customHeight="1" x14ac:dyDescent="0.3">
      <c r="A35" s="79">
        <v>27</v>
      </c>
      <c r="B35" s="251" t="s">
        <v>369</v>
      </c>
      <c r="C35" s="71" t="s">
        <v>370</v>
      </c>
      <c r="D35" s="71"/>
      <c r="E35" s="71">
        <v>2</v>
      </c>
      <c r="F35" s="71" t="s">
        <v>339</v>
      </c>
      <c r="G35" s="252">
        <v>8.7100000000000009</v>
      </c>
      <c r="H35" s="258"/>
      <c r="I35" s="64"/>
      <c r="J35" s="71">
        <f>'Ocorrências Mensais - FAT'!G50</f>
        <v>2</v>
      </c>
      <c r="K35" s="254">
        <f t="shared" si="0"/>
        <v>17.420000000000002</v>
      </c>
      <c r="M35" s="255"/>
      <c r="N35" s="36"/>
      <c r="O35" s="36"/>
      <c r="P35" s="36"/>
      <c r="Q35" s="36"/>
      <c r="R35" s="256"/>
    </row>
    <row r="36" spans="1:18" s="65" customFormat="1" ht="27.6" x14ac:dyDescent="0.3">
      <c r="A36" s="79">
        <v>28</v>
      </c>
      <c r="B36" s="251" t="s">
        <v>371</v>
      </c>
      <c r="C36" s="71" t="s">
        <v>55</v>
      </c>
      <c r="D36" s="71"/>
      <c r="E36" s="71">
        <v>3</v>
      </c>
      <c r="F36" s="71" t="s">
        <v>339</v>
      </c>
      <c r="G36" s="252">
        <v>22.57</v>
      </c>
      <c r="H36" s="258"/>
      <c r="I36" s="64"/>
      <c r="J36" s="71">
        <f>'Ocorrências Mensais - FAT'!G51</f>
        <v>3</v>
      </c>
      <c r="K36" s="254">
        <f t="shared" si="0"/>
        <v>67.710000000000008</v>
      </c>
      <c r="M36" s="255"/>
      <c r="N36" s="36"/>
      <c r="O36" s="36"/>
      <c r="P36" s="36"/>
      <c r="Q36" s="36"/>
      <c r="R36" s="256"/>
    </row>
    <row r="37" spans="1:18" s="65" customFormat="1" ht="27.6" x14ac:dyDescent="0.3">
      <c r="A37" s="79">
        <v>29</v>
      </c>
      <c r="B37" s="251" t="s">
        <v>372</v>
      </c>
      <c r="C37" s="71" t="s">
        <v>333</v>
      </c>
      <c r="D37" s="71"/>
      <c r="E37" s="71">
        <v>3</v>
      </c>
      <c r="F37" s="71" t="s">
        <v>339</v>
      </c>
      <c r="G37" s="252">
        <v>21.92</v>
      </c>
      <c r="H37" s="258"/>
      <c r="I37" s="64"/>
      <c r="J37" s="71">
        <f>'Ocorrências Mensais - FAT'!G52</f>
        <v>3</v>
      </c>
      <c r="K37" s="254">
        <f t="shared" si="0"/>
        <v>65.760000000000005</v>
      </c>
      <c r="M37" s="255"/>
      <c r="N37" s="36"/>
      <c r="O37" s="36"/>
      <c r="P37" s="36"/>
      <c r="Q37" s="36"/>
      <c r="R37" s="256"/>
    </row>
    <row r="38" spans="1:18" s="65" customFormat="1" ht="27.6" x14ac:dyDescent="0.3">
      <c r="A38" s="79">
        <v>30</v>
      </c>
      <c r="B38" s="251" t="s">
        <v>373</v>
      </c>
      <c r="C38" s="71" t="s">
        <v>55</v>
      </c>
      <c r="D38" s="71"/>
      <c r="E38" s="71">
        <v>9</v>
      </c>
      <c r="F38" s="71" t="s">
        <v>339</v>
      </c>
      <c r="G38" s="252">
        <v>6.24</v>
      </c>
      <c r="H38" s="258"/>
      <c r="I38" s="64"/>
      <c r="J38" s="71">
        <f>'Ocorrências Mensais - FAT'!G53</f>
        <v>9</v>
      </c>
      <c r="K38" s="254">
        <f t="shared" si="0"/>
        <v>56.160000000000004</v>
      </c>
      <c r="M38" s="255">
        <v>8.99</v>
      </c>
      <c r="N38" s="36">
        <f>ROUND(IF(Dados!$J$55="SIM",M38*Dados!$N$55,M38),2)</f>
        <v>8.99</v>
      </c>
      <c r="O38" s="36" t="e">
        <f>ROUND(IF(Dados!#REF!="SIM",N38*Dados!#REF!,N38),2)</f>
        <v>#REF!</v>
      </c>
      <c r="P38" s="36" t="e">
        <f>ROUND(IF(Dados!#REF!="SIM",O38*Dados!#REF!,O38),2)</f>
        <v>#REF!</v>
      </c>
      <c r="Q38" s="36" t="e">
        <f>ROUND(IF(Dados!#REF!="SIM",P38*Dados!#REF!,P38),2)</f>
        <v>#REF!</v>
      </c>
      <c r="R38" s="256" t="e">
        <f>ROUND(IF(Dados!#REF!="SIM",Q38*Dados!#REF!,Q38),2)</f>
        <v>#REF!</v>
      </c>
    </row>
    <row r="39" spans="1:18" s="65" customFormat="1" ht="37.5" customHeight="1" x14ac:dyDescent="0.3">
      <c r="A39" s="79">
        <v>31</v>
      </c>
      <c r="B39" s="251" t="s">
        <v>374</v>
      </c>
      <c r="C39" s="71" t="s">
        <v>375</v>
      </c>
      <c r="D39" s="71"/>
      <c r="E39" s="71">
        <v>2</v>
      </c>
      <c r="F39" s="71" t="s">
        <v>339</v>
      </c>
      <c r="G39" s="252">
        <v>36.200000000000003</v>
      </c>
      <c r="H39" s="257"/>
      <c r="I39" s="64"/>
      <c r="J39" s="71">
        <f>'Ocorrências Mensais - FAT'!G54</f>
        <v>2</v>
      </c>
      <c r="K39" s="254">
        <f t="shared" si="0"/>
        <v>72.400000000000006</v>
      </c>
      <c r="M39" s="255">
        <v>5</v>
      </c>
      <c r="N39" s="36">
        <f>ROUND(IF(Dados!$J$55="SIM",M39*Dados!$N$55,M39),2)</f>
        <v>5</v>
      </c>
      <c r="O39" s="36" t="e">
        <f>ROUND(IF(Dados!#REF!="SIM",N39*Dados!#REF!,N39),2)</f>
        <v>#REF!</v>
      </c>
      <c r="P39" s="36" t="e">
        <f>ROUND(IF(Dados!#REF!="SIM",O39*Dados!#REF!,O39),2)</f>
        <v>#REF!</v>
      </c>
      <c r="Q39" s="36" t="e">
        <f>ROUND(IF(Dados!#REF!="SIM",P39*Dados!#REF!,P39),2)</f>
        <v>#REF!</v>
      </c>
      <c r="R39" s="256" t="e">
        <f>ROUND(IF(Dados!#REF!="SIM",Q39*Dados!#REF!,Q39),2)</f>
        <v>#REF!</v>
      </c>
    </row>
    <row r="40" spans="1:18" s="65" customFormat="1" ht="39.75" customHeight="1" x14ac:dyDescent="0.3">
      <c r="A40" s="79">
        <v>32</v>
      </c>
      <c r="B40" s="251" t="s">
        <v>376</v>
      </c>
      <c r="C40" s="71" t="s">
        <v>375</v>
      </c>
      <c r="D40" s="71"/>
      <c r="E40" s="71">
        <v>4</v>
      </c>
      <c r="F40" s="71" t="s">
        <v>339</v>
      </c>
      <c r="G40" s="252">
        <v>9.0299999999999994</v>
      </c>
      <c r="H40" s="257"/>
      <c r="I40" s="64"/>
      <c r="J40" s="71">
        <f>'Ocorrências Mensais - FAT'!G55</f>
        <v>4</v>
      </c>
      <c r="K40" s="254">
        <f t="shared" si="0"/>
        <v>36.119999999999997</v>
      </c>
      <c r="M40" s="255">
        <v>1.5</v>
      </c>
      <c r="N40" s="36">
        <f>ROUND(IF(Dados!$J$55="SIM",M40*Dados!$N$55,M40),2)</f>
        <v>1.5</v>
      </c>
      <c r="O40" s="36" t="e">
        <f>ROUND(IF(Dados!#REF!="SIM",N40*Dados!#REF!,N40),2)</f>
        <v>#REF!</v>
      </c>
      <c r="P40" s="36" t="e">
        <f>ROUND(IF(Dados!#REF!="SIM",O40*Dados!#REF!,O40),2)</f>
        <v>#REF!</v>
      </c>
      <c r="Q40" s="36" t="e">
        <f>ROUND(IF(Dados!#REF!="SIM",P40*Dados!#REF!,P40),2)</f>
        <v>#REF!</v>
      </c>
      <c r="R40" s="256" t="e">
        <f>ROUND(IF(Dados!#REF!="SIM",Q40*Dados!#REF!,Q40),2)</f>
        <v>#REF!</v>
      </c>
    </row>
    <row r="41" spans="1:18" s="65" customFormat="1" ht="27.6" x14ac:dyDescent="0.3">
      <c r="A41" s="79">
        <v>33</v>
      </c>
      <c r="B41" s="251" t="s">
        <v>377</v>
      </c>
      <c r="C41" s="71" t="s">
        <v>55</v>
      </c>
      <c r="D41" s="71" t="s">
        <v>378</v>
      </c>
      <c r="E41" s="71">
        <v>1</v>
      </c>
      <c r="F41" s="71" t="s">
        <v>339</v>
      </c>
      <c r="G41" s="252">
        <v>4.71</v>
      </c>
      <c r="H41" s="257"/>
      <c r="I41" s="64"/>
      <c r="J41" s="71">
        <f>'Ocorrências Mensais - FAT'!G56</f>
        <v>1</v>
      </c>
      <c r="K41" s="254">
        <f t="shared" si="0"/>
        <v>4.71</v>
      </c>
      <c r="M41" s="255">
        <v>3.2</v>
      </c>
      <c r="N41" s="36">
        <f>ROUND(IF(Dados!$J$55="SIM",M41*Dados!$N$55,M41),2)</f>
        <v>3.2</v>
      </c>
      <c r="O41" s="36" t="e">
        <f>ROUND(IF(Dados!#REF!="SIM",N41*Dados!#REF!,N41),2)</f>
        <v>#REF!</v>
      </c>
      <c r="P41" s="36" t="e">
        <f>ROUND(IF(Dados!#REF!="SIM",O41*Dados!#REF!,O41),2)</f>
        <v>#REF!</v>
      </c>
      <c r="Q41" s="36" t="e">
        <f>ROUND(IF(Dados!#REF!="SIM",P41*Dados!#REF!,P41),2)</f>
        <v>#REF!</v>
      </c>
      <c r="R41" s="256" t="e">
        <f>ROUND(IF(Dados!#REF!="SIM",Q41*Dados!#REF!,Q41),2)</f>
        <v>#REF!</v>
      </c>
    </row>
    <row r="42" spans="1:18" s="65" customFormat="1" ht="27.6" x14ac:dyDescent="0.3">
      <c r="A42" s="79">
        <v>34</v>
      </c>
      <c r="B42" s="251" t="s">
        <v>379</v>
      </c>
      <c r="C42" s="71" t="s">
        <v>55</v>
      </c>
      <c r="D42" s="71"/>
      <c r="E42" s="71">
        <v>1</v>
      </c>
      <c r="F42" s="71" t="s">
        <v>380</v>
      </c>
      <c r="G42" s="252">
        <v>27.88</v>
      </c>
      <c r="H42" s="258"/>
      <c r="I42" s="64"/>
      <c r="J42" s="71">
        <f>'Ocorrências Mensais - FAT'!G57</f>
        <v>0.16666666666666666</v>
      </c>
      <c r="K42" s="254">
        <f t="shared" si="0"/>
        <v>4.6466666666666665</v>
      </c>
      <c r="M42" s="255">
        <v>3.99</v>
      </c>
      <c r="N42" s="36">
        <f>ROUND(IF(Dados!$J$55="SIM",M42*Dados!$N$55,M42),2)</f>
        <v>3.99</v>
      </c>
      <c r="O42" s="36" t="e">
        <f>ROUND(IF(Dados!#REF!="SIM",N42*Dados!#REF!,N42),2)</f>
        <v>#REF!</v>
      </c>
      <c r="P42" s="36" t="e">
        <f>ROUND(IF(Dados!#REF!="SIM",O42*Dados!#REF!,O42),2)</f>
        <v>#REF!</v>
      </c>
      <c r="Q42" s="36" t="e">
        <f>ROUND(IF(Dados!#REF!="SIM",P42*Dados!#REF!,P42),2)</f>
        <v>#REF!</v>
      </c>
      <c r="R42" s="256" t="e">
        <f>ROUND(IF(Dados!#REF!="SIM",Q42*Dados!#REF!,Q42),2)</f>
        <v>#REF!</v>
      </c>
    </row>
    <row r="43" spans="1:18" s="65" customFormat="1" ht="27.6" x14ac:dyDescent="0.3">
      <c r="A43" s="79">
        <v>35</v>
      </c>
      <c r="B43" s="251" t="s">
        <v>381</v>
      </c>
      <c r="C43" s="71" t="s">
        <v>55</v>
      </c>
      <c r="D43" s="71"/>
      <c r="E43" s="71">
        <v>1</v>
      </c>
      <c r="F43" s="71" t="s">
        <v>334</v>
      </c>
      <c r="G43" s="252">
        <v>16.63</v>
      </c>
      <c r="H43" s="258"/>
      <c r="I43" s="64"/>
      <c r="J43" s="71">
        <f>'Ocorrências Mensais - FAT'!G58</f>
        <v>0.33333333333333331</v>
      </c>
      <c r="K43" s="254">
        <f t="shared" si="0"/>
        <v>5.543333333333333</v>
      </c>
      <c r="M43" s="255">
        <v>1.4</v>
      </c>
      <c r="N43" s="36">
        <f>ROUND(IF(Dados!$J$55="SIM",M43*Dados!$N$55,M43),2)</f>
        <v>1.4</v>
      </c>
      <c r="O43" s="36" t="e">
        <f>ROUND(IF(Dados!#REF!="SIM",N43*Dados!#REF!,N43),2)</f>
        <v>#REF!</v>
      </c>
      <c r="P43" s="36" t="e">
        <f>ROUND(IF(Dados!#REF!="SIM",O43*Dados!#REF!,O43),2)</f>
        <v>#REF!</v>
      </c>
      <c r="Q43" s="36" t="e">
        <f>ROUND(IF(Dados!#REF!="SIM",P43*Dados!#REF!,P43),2)</f>
        <v>#REF!</v>
      </c>
      <c r="R43" s="256" t="e">
        <f>ROUND(IF(Dados!#REF!="SIM",Q43*Dados!#REF!,Q43),2)</f>
        <v>#REF!</v>
      </c>
    </row>
    <row r="44" spans="1:18" s="65" customFormat="1" ht="41.25" customHeight="1" x14ac:dyDescent="0.3">
      <c r="A44" s="79">
        <v>36</v>
      </c>
      <c r="B44" s="251" t="s">
        <v>382</v>
      </c>
      <c r="C44" s="71" t="s">
        <v>55</v>
      </c>
      <c r="D44" s="71"/>
      <c r="E44" s="71">
        <v>2</v>
      </c>
      <c r="F44" s="71" t="s">
        <v>334</v>
      </c>
      <c r="G44" s="252">
        <v>13.47</v>
      </c>
      <c r="H44" s="258"/>
      <c r="I44" s="64"/>
      <c r="J44" s="71">
        <f>'Ocorrências Mensais - FAT'!G59</f>
        <v>0.66666666666666663</v>
      </c>
      <c r="K44" s="254">
        <f t="shared" si="0"/>
        <v>8.98</v>
      </c>
      <c r="M44" s="255">
        <v>2.04</v>
      </c>
      <c r="N44" s="36">
        <f>ROUND(IF(Dados!$J$55="SIM",M44*Dados!$N$55,M44),2)</f>
        <v>2.04</v>
      </c>
      <c r="O44" s="36" t="e">
        <f>ROUND(IF(Dados!#REF!="SIM",N44*Dados!#REF!,N44),2)</f>
        <v>#REF!</v>
      </c>
      <c r="P44" s="36" t="e">
        <f>ROUND(IF(Dados!#REF!="SIM",O44*Dados!#REF!,O44),2)</f>
        <v>#REF!</v>
      </c>
      <c r="Q44" s="36" t="e">
        <f>ROUND(IF(Dados!#REF!="SIM",P44*Dados!#REF!,P44),2)</f>
        <v>#REF!</v>
      </c>
      <c r="R44" s="256" t="e">
        <f>ROUND(IF(Dados!#REF!="SIM",Q44*Dados!#REF!,Q44),2)</f>
        <v>#REF!</v>
      </c>
    </row>
    <row r="45" spans="1:18" s="65" customFormat="1" ht="27.6" x14ac:dyDescent="0.3">
      <c r="A45" s="79">
        <v>37</v>
      </c>
      <c r="B45" s="251" t="s">
        <v>383</v>
      </c>
      <c r="C45" s="71" t="s">
        <v>55</v>
      </c>
      <c r="D45" s="71"/>
      <c r="E45" s="71">
        <v>2</v>
      </c>
      <c r="F45" s="71" t="s">
        <v>334</v>
      </c>
      <c r="G45" s="252">
        <v>10.29</v>
      </c>
      <c r="H45" s="258"/>
      <c r="I45" s="64"/>
      <c r="J45" s="259">
        <f>'Ocorrências Mensais - FAT'!G60</f>
        <v>0.66666666666666663</v>
      </c>
      <c r="K45" s="260">
        <f t="shared" si="0"/>
        <v>6.8599999999999994</v>
      </c>
      <c r="M45" s="255">
        <v>6.55</v>
      </c>
      <c r="N45" s="36">
        <f>ROUND(IF(Dados!$J$55="SIM",M45*Dados!$N$55,M45),2)</f>
        <v>6.55</v>
      </c>
      <c r="O45" s="36" t="e">
        <f>ROUND(IF(Dados!#REF!="SIM",N45*Dados!#REF!,N45),2)</f>
        <v>#REF!</v>
      </c>
      <c r="P45" s="36" t="e">
        <f>ROUND(IF(Dados!#REF!="SIM",O45*Dados!#REF!,O45),2)</f>
        <v>#REF!</v>
      </c>
      <c r="Q45" s="36" t="e">
        <f>ROUND(IF(Dados!#REF!="SIM",P45*Dados!#REF!,P45),2)</f>
        <v>#REF!</v>
      </c>
      <c r="R45" s="256" t="e">
        <f>ROUND(IF(Dados!#REF!="SIM",Q45*Dados!#REF!,Q45),2)</f>
        <v>#REF!</v>
      </c>
    </row>
    <row r="46" spans="1:18" ht="15.6" x14ac:dyDescent="0.3">
      <c r="A46" s="654" t="s">
        <v>63</v>
      </c>
      <c r="B46" s="654"/>
      <c r="C46" s="654"/>
      <c r="D46" s="654"/>
      <c r="E46" s="654"/>
      <c r="F46" s="654"/>
      <c r="G46" s="654"/>
      <c r="H46" s="261"/>
      <c r="I46" s="82"/>
      <c r="J46" s="246" t="s">
        <v>168</v>
      </c>
      <c r="K46" s="262">
        <f>SUM(K9:K45)</f>
        <v>2386.8033333333333</v>
      </c>
      <c r="M46" s="263"/>
      <c r="N46" s="264"/>
      <c r="O46" s="264"/>
      <c r="P46" s="264"/>
      <c r="Q46" s="264"/>
      <c r="R46" s="264"/>
    </row>
    <row r="47" spans="1:18" ht="26.4" customHeight="1" x14ac:dyDescent="0.3">
      <c r="A47" s="265"/>
      <c r="H47" s="266"/>
      <c r="J47" s="537" t="s">
        <v>599</v>
      </c>
      <c r="K47" s="538">
        <f>Dados!B7+Dados!B8</f>
        <v>2</v>
      </c>
      <c r="M47" s="263"/>
      <c r="N47" s="264"/>
      <c r="O47" s="264"/>
      <c r="P47" s="264"/>
      <c r="Q47" s="264"/>
      <c r="R47" s="264"/>
    </row>
    <row r="48" spans="1:18" ht="18.75" customHeight="1" x14ac:dyDescent="0.3">
      <c r="A48" s="655" t="s">
        <v>573</v>
      </c>
      <c r="B48" s="656"/>
      <c r="C48" s="656"/>
      <c r="D48" s="656"/>
      <c r="E48" s="656"/>
      <c r="F48" s="656"/>
      <c r="G48" s="656"/>
      <c r="H48" s="657"/>
      <c r="I48" s="65"/>
      <c r="J48" s="537" t="s">
        <v>600</v>
      </c>
      <c r="K48" s="538">
        <f>K46/K47</f>
        <v>1193.4016666666666</v>
      </c>
      <c r="M48" s="601" t="s">
        <v>326</v>
      </c>
      <c r="N48" s="601"/>
      <c r="O48" s="601"/>
      <c r="P48" s="601"/>
      <c r="Q48" s="601"/>
      <c r="R48" s="601"/>
    </row>
    <row r="49" spans="1:18" ht="15" customHeight="1" x14ac:dyDescent="0.3">
      <c r="A49" s="658"/>
      <c r="B49" s="659"/>
      <c r="C49" s="659"/>
      <c r="D49" s="659"/>
      <c r="E49" s="659"/>
      <c r="F49" s="659"/>
      <c r="G49" s="659"/>
      <c r="H49" s="660"/>
      <c r="I49" s="65"/>
      <c r="J49" s="233"/>
      <c r="M49" s="601"/>
      <c r="N49" s="601"/>
      <c r="O49" s="601"/>
      <c r="P49" s="601"/>
      <c r="Q49" s="601"/>
      <c r="R49" s="601"/>
    </row>
    <row r="50" spans="1:18" ht="15" customHeight="1" x14ac:dyDescent="0.3">
      <c r="A50" s="649" t="s">
        <v>52</v>
      </c>
      <c r="B50" s="650" t="s">
        <v>574</v>
      </c>
      <c r="C50" s="650"/>
      <c r="D50" s="650"/>
      <c r="E50" s="245"/>
      <c r="F50" s="245"/>
      <c r="G50" s="245"/>
      <c r="H50" s="652" t="s">
        <v>327</v>
      </c>
      <c r="I50" s="65"/>
      <c r="J50" s="653" t="s">
        <v>328</v>
      </c>
      <c r="K50" s="653"/>
      <c r="M50" s="601"/>
      <c r="N50" s="601"/>
      <c r="O50" s="601"/>
      <c r="P50" s="601"/>
      <c r="Q50" s="601"/>
      <c r="R50" s="601"/>
    </row>
    <row r="51" spans="1:18" ht="41.4" x14ac:dyDescent="0.3">
      <c r="A51" s="649"/>
      <c r="B51" s="245" t="s">
        <v>575</v>
      </c>
      <c r="C51" s="247" t="s">
        <v>55</v>
      </c>
      <c r="D51" s="247" t="s">
        <v>384</v>
      </c>
      <c r="E51" s="247" t="s">
        <v>329</v>
      </c>
      <c r="F51" s="247" t="s">
        <v>61</v>
      </c>
      <c r="G51" s="247" t="s">
        <v>385</v>
      </c>
      <c r="H51" s="652"/>
      <c r="I51" s="65"/>
      <c r="J51" s="267" t="s">
        <v>59</v>
      </c>
      <c r="K51" s="267" t="s">
        <v>58</v>
      </c>
      <c r="M51" s="250" t="s">
        <v>331</v>
      </c>
      <c r="N51" s="20" t="s">
        <v>226</v>
      </c>
      <c r="O51" s="20" t="s">
        <v>227</v>
      </c>
      <c r="P51" s="20" t="s">
        <v>228</v>
      </c>
      <c r="Q51" s="20" t="s">
        <v>229</v>
      </c>
      <c r="R51" s="22" t="s">
        <v>230</v>
      </c>
    </row>
    <row r="52" spans="1:18" ht="42" customHeight="1" x14ac:dyDescent="0.3">
      <c r="A52" s="88">
        <v>1</v>
      </c>
      <c r="B52" s="268" t="s">
        <v>337</v>
      </c>
      <c r="C52" s="89" t="s">
        <v>386</v>
      </c>
      <c r="D52" s="71"/>
      <c r="E52" s="269">
        <v>1</v>
      </c>
      <c r="F52" s="89" t="s">
        <v>334</v>
      </c>
      <c r="G52" s="252">
        <v>18.77</v>
      </c>
      <c r="H52" s="253"/>
      <c r="I52" s="65"/>
      <c r="J52" s="270">
        <f>'Ocorrências Mensais - FAT'!G69</f>
        <v>0.33333333333333331</v>
      </c>
      <c r="K52" s="271">
        <f t="shared" ref="K52:K72" si="1">J52*G52</f>
        <v>6.2566666666666659</v>
      </c>
      <c r="M52" s="272">
        <v>3.1</v>
      </c>
      <c r="N52" s="36">
        <f>ROUND(IF(Dados!$J$55="SIM",M52*Dados!$N$55,M52),2)</f>
        <v>3.1</v>
      </c>
      <c r="O52" s="36" t="e">
        <f>ROUND(IF(Dados!#REF!="SIM",N52*Dados!#REF!,N52),2)</f>
        <v>#REF!</v>
      </c>
      <c r="P52" s="36" t="e">
        <f>ROUND(IF(Dados!#REF!="SIM",O52*Dados!#REF!,O52),2)</f>
        <v>#REF!</v>
      </c>
      <c r="Q52" s="36" t="e">
        <f>ROUND(IF(Dados!#REF!="SIM",P52*Dados!#REF!,P52),2)</f>
        <v>#REF!</v>
      </c>
      <c r="R52" s="256" t="e">
        <f>ROUND(IF(Dados!#REF!="SIM",Q52*Dados!#REF!,Q52),2)</f>
        <v>#REF!</v>
      </c>
    </row>
    <row r="53" spans="1:18" ht="90" customHeight="1" x14ac:dyDescent="0.3">
      <c r="A53" s="88">
        <v>2</v>
      </c>
      <c r="B53" s="268" t="s">
        <v>387</v>
      </c>
      <c r="C53" s="89" t="s">
        <v>388</v>
      </c>
      <c r="D53" s="71"/>
      <c r="E53" s="269">
        <v>1</v>
      </c>
      <c r="F53" s="89" t="s">
        <v>334</v>
      </c>
      <c r="G53" s="252">
        <v>4.26</v>
      </c>
      <c r="H53" s="253"/>
      <c r="I53" s="65"/>
      <c r="J53" s="270">
        <f>'Ocorrências Mensais - FAT'!G70</f>
        <v>0.33333333333333331</v>
      </c>
      <c r="K53" s="271">
        <f t="shared" si="1"/>
        <v>1.42</v>
      </c>
      <c r="M53" s="272">
        <v>4.04</v>
      </c>
      <c r="N53" s="36">
        <f>ROUND(IF(Dados!$J$55="SIM",M53*Dados!$N$55,M53),2)</f>
        <v>4.04</v>
      </c>
      <c r="O53" s="36" t="e">
        <f>ROUND(IF(Dados!#REF!="SIM",N53*Dados!#REF!,N53),2)</f>
        <v>#REF!</v>
      </c>
      <c r="P53" s="36" t="e">
        <f>ROUND(IF(Dados!#REF!="SIM",O53*Dados!#REF!,O53),2)</f>
        <v>#REF!</v>
      </c>
      <c r="Q53" s="36" t="e">
        <f>ROUND(IF(Dados!#REF!="SIM",P53*Dados!#REF!,P53),2)</f>
        <v>#REF!</v>
      </c>
      <c r="R53" s="256" t="e">
        <f>ROUND(IF(Dados!#REF!="SIM",Q53*Dados!#REF!,Q53),2)</f>
        <v>#REF!</v>
      </c>
    </row>
    <row r="54" spans="1:18" ht="27.6" x14ac:dyDescent="0.3">
      <c r="A54" s="88">
        <v>3</v>
      </c>
      <c r="B54" s="268" t="s">
        <v>340</v>
      </c>
      <c r="C54" s="89" t="s">
        <v>389</v>
      </c>
      <c r="D54" s="71"/>
      <c r="E54" s="269">
        <v>1</v>
      </c>
      <c r="F54" s="89" t="s">
        <v>339</v>
      </c>
      <c r="G54" s="252">
        <v>31.71</v>
      </c>
      <c r="H54" s="253"/>
      <c r="I54" s="65"/>
      <c r="J54" s="270">
        <f>'Ocorrências Mensais - FAT'!G71</f>
        <v>1</v>
      </c>
      <c r="K54" s="271">
        <f t="shared" si="1"/>
        <v>31.71</v>
      </c>
      <c r="M54" s="272">
        <v>1.5</v>
      </c>
      <c r="N54" s="36">
        <f>ROUND(IF(Dados!$J$55="SIM",M54*Dados!$N$55,M54),2)</f>
        <v>1.5</v>
      </c>
      <c r="O54" s="36" t="e">
        <f>ROUND(IF(Dados!#REF!="SIM",N54*Dados!#REF!,N54),2)</f>
        <v>#REF!</v>
      </c>
      <c r="P54" s="36" t="e">
        <f>ROUND(IF(Dados!#REF!="SIM",O54*Dados!#REF!,O54),2)</f>
        <v>#REF!</v>
      </c>
      <c r="Q54" s="36" t="e">
        <f>ROUND(IF(Dados!#REF!="SIM",P54*Dados!#REF!,P54),2)</f>
        <v>#REF!</v>
      </c>
      <c r="R54" s="256" t="e">
        <f>ROUND(IF(Dados!#REF!="SIM",Q54*Dados!#REF!,Q54),2)</f>
        <v>#REF!</v>
      </c>
    </row>
    <row r="55" spans="1:18" ht="42" customHeight="1" x14ac:dyDescent="0.3">
      <c r="A55" s="88">
        <v>4</v>
      </c>
      <c r="B55" s="268" t="s">
        <v>390</v>
      </c>
      <c r="C55" s="89" t="s">
        <v>388</v>
      </c>
      <c r="D55" s="71"/>
      <c r="E55" s="269">
        <v>3</v>
      </c>
      <c r="F55" s="89" t="s">
        <v>339</v>
      </c>
      <c r="G55" s="252">
        <v>9.0299999999999994</v>
      </c>
      <c r="H55" s="253"/>
      <c r="I55" s="65"/>
      <c r="J55" s="270">
        <f>'Ocorrências Mensais - FAT'!G72</f>
        <v>3</v>
      </c>
      <c r="K55" s="271">
        <f t="shared" si="1"/>
        <v>27.089999999999996</v>
      </c>
      <c r="M55" s="272">
        <v>1.2</v>
      </c>
      <c r="N55" s="36">
        <f>ROUND(IF(Dados!$J$55="SIM",M55*Dados!$N$55,M55),2)</f>
        <v>1.2</v>
      </c>
      <c r="O55" s="36" t="e">
        <f>ROUND(IF(Dados!#REF!="SIM",N55*Dados!#REF!,N55),2)</f>
        <v>#REF!</v>
      </c>
      <c r="P55" s="36" t="e">
        <f>ROUND(IF(Dados!#REF!="SIM",O55*Dados!#REF!,O55),2)</f>
        <v>#REF!</v>
      </c>
      <c r="Q55" s="36" t="e">
        <f>ROUND(IF(Dados!#REF!="SIM",P55*Dados!#REF!,P55),2)</f>
        <v>#REF!</v>
      </c>
      <c r="R55" s="256" t="e">
        <f>ROUND(IF(Dados!#REF!="SIM",Q55*Dados!#REF!,Q55),2)</f>
        <v>#REF!</v>
      </c>
    </row>
    <row r="56" spans="1:18" ht="55.2" x14ac:dyDescent="0.3">
      <c r="A56" s="88">
        <v>5</v>
      </c>
      <c r="B56" s="268" t="s">
        <v>343</v>
      </c>
      <c r="C56" s="89" t="s">
        <v>386</v>
      </c>
      <c r="D56" s="71"/>
      <c r="E56" s="269">
        <v>8</v>
      </c>
      <c r="F56" s="89" t="s">
        <v>339</v>
      </c>
      <c r="G56" s="252">
        <v>2.21</v>
      </c>
      <c r="H56" s="253"/>
      <c r="I56" s="65"/>
      <c r="J56" s="270">
        <f>'Ocorrências Mensais - FAT'!G73</f>
        <v>8</v>
      </c>
      <c r="K56" s="271">
        <f t="shared" si="1"/>
        <v>17.68</v>
      </c>
      <c r="M56" s="272">
        <v>1.5</v>
      </c>
      <c r="N56" s="36">
        <f>ROUND(IF(Dados!$J$55="SIM",M56*Dados!$N$55,M56),2)</f>
        <v>1.5</v>
      </c>
      <c r="O56" s="36" t="e">
        <f>ROUND(IF(Dados!#REF!="SIM",N56*Dados!#REF!,N56),2)</f>
        <v>#REF!</v>
      </c>
      <c r="P56" s="36" t="e">
        <f>ROUND(IF(Dados!#REF!="SIM",O56*Dados!#REF!,O56),2)</f>
        <v>#REF!</v>
      </c>
      <c r="Q56" s="36" t="e">
        <f>ROUND(IF(Dados!#REF!="SIM",P56*Dados!#REF!,P56),2)</f>
        <v>#REF!</v>
      </c>
      <c r="R56" s="256" t="e">
        <f>ROUND(IF(Dados!#REF!="SIM",Q56*Dados!#REF!,Q56),2)</f>
        <v>#REF!</v>
      </c>
    </row>
    <row r="57" spans="1:18" ht="14.4" x14ac:dyDescent="0.3">
      <c r="A57" s="88">
        <v>6</v>
      </c>
      <c r="B57" s="268" t="s">
        <v>344</v>
      </c>
      <c r="C57" s="89" t="s">
        <v>388</v>
      </c>
      <c r="D57" s="71"/>
      <c r="E57" s="269">
        <v>1</v>
      </c>
      <c r="F57" s="89" t="s">
        <v>334</v>
      </c>
      <c r="G57" s="252">
        <v>3.39</v>
      </c>
      <c r="H57" s="253"/>
      <c r="I57" s="65"/>
      <c r="J57" s="270">
        <f>'Ocorrências Mensais - FAT'!G74</f>
        <v>0.33333333333333331</v>
      </c>
      <c r="K57" s="271">
        <f t="shared" si="1"/>
        <v>1.1299999999999999</v>
      </c>
      <c r="M57" s="272"/>
      <c r="N57" s="36"/>
      <c r="O57" s="36"/>
      <c r="P57" s="36"/>
      <c r="Q57" s="36"/>
      <c r="R57" s="256"/>
    </row>
    <row r="58" spans="1:18" ht="51.75" customHeight="1" x14ac:dyDescent="0.3">
      <c r="A58" s="88">
        <v>7</v>
      </c>
      <c r="B58" s="268" t="s">
        <v>345</v>
      </c>
      <c r="C58" s="89" t="s">
        <v>370</v>
      </c>
      <c r="D58" s="71" t="s">
        <v>391</v>
      </c>
      <c r="E58" s="269">
        <v>4</v>
      </c>
      <c r="F58" s="89" t="s">
        <v>339</v>
      </c>
      <c r="G58" s="252">
        <v>3.88</v>
      </c>
      <c r="H58" s="253"/>
      <c r="I58" s="65"/>
      <c r="J58" s="270">
        <f>'Ocorrências Mensais - FAT'!G75</f>
        <v>4</v>
      </c>
      <c r="K58" s="271">
        <f t="shared" si="1"/>
        <v>15.52</v>
      </c>
      <c r="M58" s="272"/>
      <c r="N58" s="36"/>
      <c r="O58" s="36"/>
      <c r="P58" s="36"/>
      <c r="Q58" s="36"/>
      <c r="R58" s="256"/>
    </row>
    <row r="59" spans="1:18" ht="105.75" customHeight="1" x14ac:dyDescent="0.3">
      <c r="A59" s="88">
        <v>8</v>
      </c>
      <c r="B59" s="268" t="s">
        <v>348</v>
      </c>
      <c r="C59" s="89" t="s">
        <v>386</v>
      </c>
      <c r="D59" s="71"/>
      <c r="E59" s="269">
        <v>4</v>
      </c>
      <c r="F59" s="89" t="s">
        <v>339</v>
      </c>
      <c r="G59" s="252">
        <v>4.17</v>
      </c>
      <c r="H59" s="253"/>
      <c r="I59" s="65"/>
      <c r="J59" s="270">
        <f>'Ocorrências Mensais - FAT'!G76</f>
        <v>4</v>
      </c>
      <c r="K59" s="271">
        <f t="shared" si="1"/>
        <v>16.68</v>
      </c>
      <c r="M59" s="272"/>
      <c r="N59" s="36"/>
      <c r="O59" s="36"/>
      <c r="P59" s="36"/>
      <c r="Q59" s="36"/>
      <c r="R59" s="256"/>
    </row>
    <row r="60" spans="1:18" ht="66" customHeight="1" x14ac:dyDescent="0.3">
      <c r="A60" s="88">
        <v>9</v>
      </c>
      <c r="B60" s="268" t="s">
        <v>392</v>
      </c>
      <c r="C60" s="89" t="s">
        <v>370</v>
      </c>
      <c r="D60" s="71"/>
      <c r="E60" s="269">
        <v>10</v>
      </c>
      <c r="F60" s="89" t="s">
        <v>339</v>
      </c>
      <c r="G60" s="252">
        <v>5.18</v>
      </c>
      <c r="H60" s="253"/>
      <c r="I60" s="65"/>
      <c r="J60" s="270">
        <f>'Ocorrências Mensais - FAT'!G77</f>
        <v>10</v>
      </c>
      <c r="K60" s="271">
        <f t="shared" si="1"/>
        <v>51.8</v>
      </c>
      <c r="M60" s="272"/>
      <c r="N60" s="36"/>
      <c r="O60" s="36"/>
      <c r="P60" s="36"/>
      <c r="Q60" s="36"/>
      <c r="R60" s="256"/>
    </row>
    <row r="61" spans="1:18" ht="41.4" x14ac:dyDescent="0.3">
      <c r="A61" s="88">
        <v>10</v>
      </c>
      <c r="B61" s="268" t="s">
        <v>350</v>
      </c>
      <c r="C61" s="89" t="s">
        <v>370</v>
      </c>
      <c r="D61" s="71"/>
      <c r="E61" s="269">
        <v>1</v>
      </c>
      <c r="F61" s="89" t="s">
        <v>339</v>
      </c>
      <c r="G61" s="252">
        <v>2.38</v>
      </c>
      <c r="H61" s="253"/>
      <c r="I61" s="65"/>
      <c r="J61" s="270">
        <f>'Ocorrências Mensais - FAT'!G78</f>
        <v>1</v>
      </c>
      <c r="K61" s="271">
        <f t="shared" si="1"/>
        <v>2.38</v>
      </c>
      <c r="M61" s="272"/>
      <c r="N61" s="36"/>
      <c r="O61" s="36"/>
      <c r="P61" s="36"/>
      <c r="Q61" s="36"/>
      <c r="R61" s="256"/>
    </row>
    <row r="62" spans="1:18" ht="55.2" x14ac:dyDescent="0.3">
      <c r="A62" s="88">
        <v>11</v>
      </c>
      <c r="B62" s="268" t="s">
        <v>357</v>
      </c>
      <c r="C62" s="89" t="s">
        <v>393</v>
      </c>
      <c r="D62" s="71"/>
      <c r="E62" s="269">
        <v>1</v>
      </c>
      <c r="F62" s="89" t="s">
        <v>339</v>
      </c>
      <c r="G62" s="252">
        <v>15.71</v>
      </c>
      <c r="H62" s="253"/>
      <c r="I62" s="65"/>
      <c r="J62" s="270">
        <f>'Ocorrências Mensais - FAT'!G79</f>
        <v>1</v>
      </c>
      <c r="K62" s="271">
        <f t="shared" si="1"/>
        <v>15.71</v>
      </c>
      <c r="M62" s="272"/>
      <c r="N62" s="36"/>
      <c r="O62" s="36"/>
      <c r="P62" s="36"/>
      <c r="Q62" s="36"/>
      <c r="R62" s="256"/>
    </row>
    <row r="63" spans="1:18" ht="27.75" customHeight="1" x14ac:dyDescent="0.3">
      <c r="A63" s="88">
        <v>12</v>
      </c>
      <c r="B63" s="268" t="s">
        <v>394</v>
      </c>
      <c r="C63" s="89" t="s">
        <v>386</v>
      </c>
      <c r="D63" s="71" t="s">
        <v>354</v>
      </c>
      <c r="E63" s="269">
        <v>1</v>
      </c>
      <c r="F63" s="89" t="s">
        <v>339</v>
      </c>
      <c r="G63" s="252">
        <v>2.0699999999999998</v>
      </c>
      <c r="H63" s="253"/>
      <c r="I63" s="65"/>
      <c r="J63" s="270">
        <f>'Ocorrências Mensais - FAT'!G80</f>
        <v>1</v>
      </c>
      <c r="K63" s="271">
        <f t="shared" si="1"/>
        <v>2.0699999999999998</v>
      </c>
      <c r="M63" s="272"/>
      <c r="N63" s="36"/>
      <c r="O63" s="36"/>
      <c r="P63" s="36"/>
      <c r="Q63" s="36"/>
      <c r="R63" s="256"/>
    </row>
    <row r="64" spans="1:18" ht="27.6" x14ac:dyDescent="0.3">
      <c r="A64" s="88">
        <v>13</v>
      </c>
      <c r="B64" s="268" t="s">
        <v>395</v>
      </c>
      <c r="C64" s="89" t="s">
        <v>386</v>
      </c>
      <c r="D64" s="71"/>
      <c r="E64" s="269">
        <v>1</v>
      </c>
      <c r="F64" s="89" t="s">
        <v>380</v>
      </c>
      <c r="G64" s="252">
        <v>6.52</v>
      </c>
      <c r="H64" s="253"/>
      <c r="I64" s="65"/>
      <c r="J64" s="270">
        <f>'Ocorrências Mensais - FAT'!G81</f>
        <v>0.16666666666666666</v>
      </c>
      <c r="K64" s="271">
        <f t="shared" si="1"/>
        <v>1.0866666666666664</v>
      </c>
      <c r="M64" s="272"/>
      <c r="N64" s="36"/>
      <c r="O64" s="36"/>
      <c r="P64" s="36"/>
      <c r="Q64" s="36"/>
      <c r="R64" s="256"/>
    </row>
    <row r="65" spans="1:18" ht="14.4" x14ac:dyDescent="0.3">
      <c r="A65" s="88">
        <v>14</v>
      </c>
      <c r="B65" s="268" t="s">
        <v>396</v>
      </c>
      <c r="C65" s="89" t="s">
        <v>388</v>
      </c>
      <c r="D65" s="71"/>
      <c r="E65" s="269">
        <v>4</v>
      </c>
      <c r="F65" s="89" t="s">
        <v>339</v>
      </c>
      <c r="G65" s="252">
        <v>11.11</v>
      </c>
      <c r="H65" s="253"/>
      <c r="I65" s="65"/>
      <c r="J65" s="270">
        <f>'Ocorrências Mensais - FAT'!G82</f>
        <v>4</v>
      </c>
      <c r="K65" s="271">
        <f t="shared" si="1"/>
        <v>44.44</v>
      </c>
      <c r="M65" s="272"/>
      <c r="N65" s="36"/>
      <c r="O65" s="36"/>
      <c r="P65" s="36"/>
      <c r="Q65" s="36"/>
      <c r="R65" s="256"/>
    </row>
    <row r="66" spans="1:18" ht="41.4" x14ac:dyDescent="0.3">
      <c r="A66" s="88">
        <v>15</v>
      </c>
      <c r="B66" s="268" t="s">
        <v>367</v>
      </c>
      <c r="C66" s="89" t="s">
        <v>386</v>
      </c>
      <c r="D66" s="71"/>
      <c r="E66" s="269">
        <v>1</v>
      </c>
      <c r="F66" s="89" t="s">
        <v>336</v>
      </c>
      <c r="G66" s="252">
        <v>11.36</v>
      </c>
      <c r="H66" s="253"/>
      <c r="I66" s="65"/>
      <c r="J66" s="270">
        <f>'Ocorrências Mensais - FAT'!G83</f>
        <v>0.5</v>
      </c>
      <c r="K66" s="271">
        <f t="shared" si="1"/>
        <v>5.68</v>
      </c>
      <c r="M66" s="272"/>
      <c r="N66" s="36"/>
      <c r="O66" s="36"/>
      <c r="P66" s="36"/>
      <c r="Q66" s="36"/>
      <c r="R66" s="256"/>
    </row>
    <row r="67" spans="1:18" ht="14.4" x14ac:dyDescent="0.3">
      <c r="A67" s="88">
        <v>16</v>
      </c>
      <c r="B67" s="268" t="s">
        <v>369</v>
      </c>
      <c r="C67" s="89" t="s">
        <v>370</v>
      </c>
      <c r="D67" s="71"/>
      <c r="E67" s="269">
        <v>1</v>
      </c>
      <c r="F67" s="89" t="s">
        <v>339</v>
      </c>
      <c r="G67" s="252">
        <v>8.7100000000000009</v>
      </c>
      <c r="H67" s="253"/>
      <c r="I67" s="65"/>
      <c r="J67" s="270">
        <f>'Ocorrências Mensais - FAT'!G84</f>
        <v>1</v>
      </c>
      <c r="K67" s="271">
        <f t="shared" si="1"/>
        <v>8.7100000000000009</v>
      </c>
      <c r="M67" s="272"/>
      <c r="N67" s="36"/>
      <c r="O67" s="36"/>
      <c r="P67" s="36"/>
      <c r="Q67" s="36"/>
      <c r="R67" s="256"/>
    </row>
    <row r="68" spans="1:18" ht="27.6" x14ac:dyDescent="0.3">
      <c r="A68" s="88">
        <v>17</v>
      </c>
      <c r="B68" s="268" t="s">
        <v>371</v>
      </c>
      <c r="C68" s="89" t="s">
        <v>386</v>
      </c>
      <c r="D68" s="71" t="s">
        <v>397</v>
      </c>
      <c r="E68" s="269">
        <v>2</v>
      </c>
      <c r="F68" s="89" t="s">
        <v>334</v>
      </c>
      <c r="G68" s="252">
        <v>22.57</v>
      </c>
      <c r="H68" s="253"/>
      <c r="I68" s="65"/>
      <c r="J68" s="270">
        <f>'Ocorrências Mensais - FAT'!G85</f>
        <v>0.66666666666666663</v>
      </c>
      <c r="K68" s="271">
        <f t="shared" si="1"/>
        <v>15.046666666666667</v>
      </c>
      <c r="M68" s="272"/>
      <c r="N68" s="36"/>
      <c r="O68" s="36"/>
      <c r="P68" s="36"/>
      <c r="Q68" s="36"/>
      <c r="R68" s="256"/>
    </row>
    <row r="69" spans="1:18" ht="27.6" x14ac:dyDescent="0.3">
      <c r="A69" s="88">
        <v>18</v>
      </c>
      <c r="B69" s="268" t="s">
        <v>373</v>
      </c>
      <c r="C69" s="89" t="s">
        <v>386</v>
      </c>
      <c r="D69" s="71"/>
      <c r="E69" s="269">
        <v>1</v>
      </c>
      <c r="F69" s="89" t="s">
        <v>339</v>
      </c>
      <c r="G69" s="252">
        <v>6.24</v>
      </c>
      <c r="H69" s="253"/>
      <c r="I69" s="65"/>
      <c r="J69" s="270">
        <f>'Ocorrências Mensais - FAT'!G86</f>
        <v>1</v>
      </c>
      <c r="K69" s="271">
        <f t="shared" si="1"/>
        <v>6.24</v>
      </c>
      <c r="M69" s="272"/>
      <c r="N69" s="36"/>
      <c r="O69" s="36"/>
      <c r="P69" s="36"/>
      <c r="Q69" s="36"/>
      <c r="R69" s="256"/>
    </row>
    <row r="70" spans="1:18" ht="41.4" x14ac:dyDescent="0.3">
      <c r="A70" s="88">
        <v>19</v>
      </c>
      <c r="B70" s="268" t="s">
        <v>374</v>
      </c>
      <c r="C70" s="89" t="s">
        <v>398</v>
      </c>
      <c r="D70" s="71"/>
      <c r="E70" s="269">
        <v>1</v>
      </c>
      <c r="F70" s="89" t="s">
        <v>334</v>
      </c>
      <c r="G70" s="252">
        <v>36.200000000000003</v>
      </c>
      <c r="H70" s="253"/>
      <c r="I70" s="65"/>
      <c r="J70" s="270">
        <f>'Ocorrências Mensais - FAT'!G87</f>
        <v>0.33333333333333331</v>
      </c>
      <c r="K70" s="271">
        <f t="shared" si="1"/>
        <v>12.066666666666666</v>
      </c>
      <c r="M70" s="272"/>
      <c r="N70" s="36"/>
      <c r="O70" s="36"/>
      <c r="P70" s="36"/>
      <c r="Q70" s="36"/>
      <c r="R70" s="256"/>
    </row>
    <row r="71" spans="1:18" ht="27.6" x14ac:dyDescent="0.3">
      <c r="A71" s="88">
        <v>20</v>
      </c>
      <c r="B71" s="268" t="s">
        <v>399</v>
      </c>
      <c r="C71" s="89" t="s">
        <v>386</v>
      </c>
      <c r="D71" s="71" t="s">
        <v>378</v>
      </c>
      <c r="E71" s="269">
        <v>1</v>
      </c>
      <c r="F71" s="89" t="s">
        <v>336</v>
      </c>
      <c r="G71" s="252">
        <v>4.71</v>
      </c>
      <c r="H71" s="253"/>
      <c r="I71" s="65"/>
      <c r="J71" s="270">
        <f>'Ocorrências Mensais - FAT'!G88</f>
        <v>0.5</v>
      </c>
      <c r="K71" s="271">
        <f t="shared" si="1"/>
        <v>2.355</v>
      </c>
      <c r="M71" s="272"/>
      <c r="N71" s="36"/>
      <c r="O71" s="36"/>
      <c r="P71" s="36"/>
      <c r="Q71" s="36"/>
      <c r="R71" s="256"/>
    </row>
    <row r="72" spans="1:18" ht="27.6" x14ac:dyDescent="0.3">
      <c r="A72" s="88">
        <v>21</v>
      </c>
      <c r="B72" s="268" t="s">
        <v>381</v>
      </c>
      <c r="C72" s="89" t="s">
        <v>386</v>
      </c>
      <c r="D72" s="71"/>
      <c r="E72" s="269">
        <v>1</v>
      </c>
      <c r="F72" s="273" t="s">
        <v>334</v>
      </c>
      <c r="G72" s="252">
        <v>16.63</v>
      </c>
      <c r="H72" s="253"/>
      <c r="I72" s="65"/>
      <c r="J72" s="274">
        <f>'Ocorrências Mensais - FAT'!G89</f>
        <v>0.33333333333333331</v>
      </c>
      <c r="K72" s="275">
        <f t="shared" si="1"/>
        <v>5.543333333333333</v>
      </c>
      <c r="M72" s="272">
        <v>1.6</v>
      </c>
      <c r="N72" s="36">
        <f>ROUND(IF(Dados!$J$55="SIM",M72*Dados!$N$55,M72),2)</f>
        <v>1.6</v>
      </c>
      <c r="O72" s="36" t="e">
        <f>ROUND(IF(Dados!#REF!="SIM",N72*Dados!#REF!,N72),2)</f>
        <v>#REF!</v>
      </c>
      <c r="P72" s="36" t="e">
        <f>ROUND(IF(Dados!#REF!="SIM",O72*Dados!#REF!,O72),2)</f>
        <v>#REF!</v>
      </c>
      <c r="Q72" s="36" t="e">
        <f>ROUND(IF(Dados!#REF!="SIM",P72*Dados!#REF!,P72),2)</f>
        <v>#REF!</v>
      </c>
      <c r="R72" s="256" t="e">
        <f>ROUND(IF(Dados!#REF!="SIM",Q72*Dados!#REF!,Q72),2)</f>
        <v>#REF!</v>
      </c>
    </row>
    <row r="73" spans="1:18" ht="15.6" x14ac:dyDescent="0.3">
      <c r="A73" s="654" t="s">
        <v>63</v>
      </c>
      <c r="B73" s="654"/>
      <c r="C73" s="654"/>
      <c r="D73" s="654"/>
      <c r="E73" s="654"/>
      <c r="F73" s="654"/>
      <c r="G73" s="654"/>
      <c r="H73" s="261"/>
      <c r="I73" s="65"/>
      <c r="J73" s="276" t="s">
        <v>168</v>
      </c>
      <c r="K73" s="277">
        <f>SUM(K52:K72)</f>
        <v>290.61500000000001</v>
      </c>
      <c r="M73" s="3"/>
      <c r="N73" s="3"/>
      <c r="O73" s="3"/>
      <c r="P73" s="3"/>
      <c r="Q73" s="3"/>
      <c r="R73" s="3"/>
    </row>
    <row r="74" spans="1:18" ht="27.6" x14ac:dyDescent="0.3">
      <c r="J74" s="537" t="s">
        <v>599</v>
      </c>
      <c r="K74" s="538">
        <f>Dados!B8</f>
        <v>1</v>
      </c>
    </row>
    <row r="75" spans="1:18" ht="14.25" customHeight="1" x14ac:dyDescent="0.3">
      <c r="J75" s="537" t="s">
        <v>600</v>
      </c>
      <c r="K75" s="538">
        <f>K73/K74</f>
        <v>290.61500000000001</v>
      </c>
    </row>
    <row r="77" spans="1:18" ht="14.4" x14ac:dyDescent="0.3">
      <c r="G77" s="278"/>
    </row>
  </sheetData>
  <sheetProtection algorithmName="SHA-512" hashValue="DTb9XbXxV6Gox86iPywNNeZyX8K4/JP8RWM0ZCYP4CWbcEERhSnV2Sn9GSuwM0GpYOvB0BBpjZz2qSrgqSsPZQ==" saltValue="2kG+aHGwLh+/3q7WXON/WQ==" spinCount="100000" sheet="1" objects="1" scenarios="1"/>
  <mergeCells count="16">
    <mergeCell ref="A73:G73"/>
    <mergeCell ref="A46:G46"/>
    <mergeCell ref="M48:R50"/>
    <mergeCell ref="A50:A51"/>
    <mergeCell ref="B50:D50"/>
    <mergeCell ref="H50:H51"/>
    <mergeCell ref="J50:K50"/>
    <mergeCell ref="A48:H49"/>
    <mergeCell ref="A4:H4"/>
    <mergeCell ref="A5:H5"/>
    <mergeCell ref="M5:R7"/>
    <mergeCell ref="A6:A8"/>
    <mergeCell ref="B6:D7"/>
    <mergeCell ref="G6:G7"/>
    <mergeCell ref="H6:H8"/>
    <mergeCell ref="J7:K7"/>
  </mergeCells>
  <dataValidations count="1">
    <dataValidation type="list" allowBlank="1" showInputMessage="1" showErrorMessage="1" sqref="F9:F45 F52:F72" xr:uid="{00000000-0002-0000-0500-000000000000}">
      <formula1>"Mensal,Bimestral,Trimestral,Quadrimestral,Semestral,Anual,Bienal"</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29"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G20"/>
  <sheetViews>
    <sheetView showGridLines="0" view="pageBreakPreview" zoomScale="115" zoomScaleNormal="100" zoomScaleSheetLayoutView="115" zoomScalePageLayoutView="140" workbookViewId="0">
      <selection activeCell="A16" sqref="A16:G16"/>
    </sheetView>
  </sheetViews>
  <sheetFormatPr defaultColWidth="9" defaultRowHeight="14.25" customHeight="1" x14ac:dyDescent="0.3"/>
  <cols>
    <col min="1" max="1" width="5.5546875" style="65" customWidth="1"/>
    <col min="2" max="2" width="45.109375" style="65" customWidth="1"/>
    <col min="3" max="3" width="7.88671875" style="65" customWidth="1"/>
    <col min="4" max="7" width="13.6640625" style="65" customWidth="1"/>
    <col min="257" max="257" width="5.5546875" customWidth="1"/>
    <col min="258" max="258" width="45.109375" customWidth="1"/>
    <col min="259" max="259" width="6.33203125" customWidth="1"/>
    <col min="260" max="263" width="13.6640625" customWidth="1"/>
    <col min="513" max="513" width="5.5546875" customWidth="1"/>
    <col min="514" max="514" width="45.109375" customWidth="1"/>
    <col min="515" max="515" width="6.33203125" customWidth="1"/>
    <col min="516" max="519" width="13.6640625" customWidth="1"/>
    <col min="769" max="769" width="5.5546875" customWidth="1"/>
    <col min="770" max="770" width="45.109375" customWidth="1"/>
    <col min="771" max="771" width="6.33203125" customWidth="1"/>
    <col min="772" max="775" width="13.6640625" customWidth="1"/>
    <col min="1025" max="1025" width="5.5546875" customWidth="1"/>
    <col min="1026" max="1026" width="45.109375" customWidth="1"/>
    <col min="1027" max="1027" width="6.33203125" customWidth="1"/>
    <col min="1028" max="1031" width="13.6640625" customWidth="1"/>
    <col min="1281" max="1281" width="5.5546875" customWidth="1"/>
    <col min="1282" max="1282" width="45.109375" customWidth="1"/>
    <col min="1283" max="1283" width="6.33203125" customWidth="1"/>
    <col min="1284" max="1287" width="13.6640625" customWidth="1"/>
    <col min="1537" max="1537" width="5.5546875" customWidth="1"/>
    <col min="1538" max="1538" width="45.109375" customWidth="1"/>
    <col min="1539" max="1539" width="6.33203125" customWidth="1"/>
    <col min="1540" max="1543" width="13.6640625" customWidth="1"/>
    <col min="1793" max="1793" width="5.5546875" customWidth="1"/>
    <col min="1794" max="1794" width="45.109375" customWidth="1"/>
    <col min="1795" max="1795" width="6.33203125" customWidth="1"/>
    <col min="1796" max="1799" width="13.6640625" customWidth="1"/>
    <col min="2049" max="2049" width="5.5546875" customWidth="1"/>
    <col min="2050" max="2050" width="45.109375" customWidth="1"/>
    <col min="2051" max="2051" width="6.33203125" customWidth="1"/>
    <col min="2052" max="2055" width="13.6640625" customWidth="1"/>
    <col min="2305" max="2305" width="5.5546875" customWidth="1"/>
    <col min="2306" max="2306" width="45.109375" customWidth="1"/>
    <col min="2307" max="2307" width="6.33203125" customWidth="1"/>
    <col min="2308" max="2311" width="13.6640625" customWidth="1"/>
    <col min="2561" max="2561" width="5.5546875" customWidth="1"/>
    <col min="2562" max="2562" width="45.109375" customWidth="1"/>
    <col min="2563" max="2563" width="6.33203125" customWidth="1"/>
    <col min="2564" max="2567" width="13.6640625" customWidth="1"/>
    <col min="2817" max="2817" width="5.5546875" customWidth="1"/>
    <col min="2818" max="2818" width="45.109375" customWidth="1"/>
    <col min="2819" max="2819" width="6.33203125" customWidth="1"/>
    <col min="2820" max="2823" width="13.6640625" customWidth="1"/>
    <col min="3073" max="3073" width="5.5546875" customWidth="1"/>
    <col min="3074" max="3074" width="45.109375" customWidth="1"/>
    <col min="3075" max="3075" width="6.33203125" customWidth="1"/>
    <col min="3076" max="3079" width="13.6640625" customWidth="1"/>
    <col min="3329" max="3329" width="5.5546875" customWidth="1"/>
    <col min="3330" max="3330" width="45.109375" customWidth="1"/>
    <col min="3331" max="3331" width="6.33203125" customWidth="1"/>
    <col min="3332" max="3335" width="13.6640625" customWidth="1"/>
    <col min="3585" max="3585" width="5.5546875" customWidth="1"/>
    <col min="3586" max="3586" width="45.109375" customWidth="1"/>
    <col min="3587" max="3587" width="6.33203125" customWidth="1"/>
    <col min="3588" max="3591" width="13.6640625" customWidth="1"/>
    <col min="3841" max="3841" width="5.5546875" customWidth="1"/>
    <col min="3842" max="3842" width="45.109375" customWidth="1"/>
    <col min="3843" max="3843" width="6.33203125" customWidth="1"/>
    <col min="3844" max="3847" width="13.6640625" customWidth="1"/>
    <col min="4097" max="4097" width="5.5546875" customWidth="1"/>
    <col min="4098" max="4098" width="45.109375" customWidth="1"/>
    <col min="4099" max="4099" width="6.33203125" customWidth="1"/>
    <col min="4100" max="4103" width="13.6640625" customWidth="1"/>
    <col min="4353" max="4353" width="5.5546875" customWidth="1"/>
    <col min="4354" max="4354" width="45.109375" customWidth="1"/>
    <col min="4355" max="4355" width="6.33203125" customWidth="1"/>
    <col min="4356" max="4359" width="13.6640625" customWidth="1"/>
    <col min="4609" max="4609" width="5.5546875" customWidth="1"/>
    <col min="4610" max="4610" width="45.109375" customWidth="1"/>
    <col min="4611" max="4611" width="6.33203125" customWidth="1"/>
    <col min="4612" max="4615" width="13.6640625" customWidth="1"/>
    <col min="4865" max="4865" width="5.5546875" customWidth="1"/>
    <col min="4866" max="4866" width="45.109375" customWidth="1"/>
    <col min="4867" max="4867" width="6.33203125" customWidth="1"/>
    <col min="4868" max="4871" width="13.6640625" customWidth="1"/>
    <col min="5121" max="5121" width="5.5546875" customWidth="1"/>
    <col min="5122" max="5122" width="45.109375" customWidth="1"/>
    <col min="5123" max="5123" width="6.33203125" customWidth="1"/>
    <col min="5124" max="5127" width="13.6640625" customWidth="1"/>
    <col min="5377" max="5377" width="5.5546875" customWidth="1"/>
    <col min="5378" max="5378" width="45.109375" customWidth="1"/>
    <col min="5379" max="5379" width="6.33203125" customWidth="1"/>
    <col min="5380" max="5383" width="13.6640625" customWidth="1"/>
    <col min="5633" max="5633" width="5.5546875" customWidth="1"/>
    <col min="5634" max="5634" width="45.109375" customWidth="1"/>
    <col min="5635" max="5635" width="6.33203125" customWidth="1"/>
    <col min="5636" max="5639" width="13.6640625" customWidth="1"/>
    <col min="5889" max="5889" width="5.5546875" customWidth="1"/>
    <col min="5890" max="5890" width="45.109375" customWidth="1"/>
    <col min="5891" max="5891" width="6.33203125" customWidth="1"/>
    <col min="5892" max="5895" width="13.6640625" customWidth="1"/>
    <col min="6145" max="6145" width="5.5546875" customWidth="1"/>
    <col min="6146" max="6146" width="45.109375" customWidth="1"/>
    <col min="6147" max="6147" width="6.33203125" customWidth="1"/>
    <col min="6148" max="6151" width="13.6640625" customWidth="1"/>
    <col min="6401" max="6401" width="5.5546875" customWidth="1"/>
    <col min="6402" max="6402" width="45.109375" customWidth="1"/>
    <col min="6403" max="6403" width="6.33203125" customWidth="1"/>
    <col min="6404" max="6407" width="13.6640625" customWidth="1"/>
    <col min="6657" max="6657" width="5.5546875" customWidth="1"/>
    <col min="6658" max="6658" width="45.109375" customWidth="1"/>
    <col min="6659" max="6659" width="6.33203125" customWidth="1"/>
    <col min="6660" max="6663" width="13.6640625" customWidth="1"/>
    <col min="6913" max="6913" width="5.5546875" customWidth="1"/>
    <col min="6914" max="6914" width="45.109375" customWidth="1"/>
    <col min="6915" max="6915" width="6.33203125" customWidth="1"/>
    <col min="6916" max="6919" width="13.6640625" customWidth="1"/>
    <col min="7169" max="7169" width="5.5546875" customWidth="1"/>
    <col min="7170" max="7170" width="45.109375" customWidth="1"/>
    <col min="7171" max="7171" width="6.33203125" customWidth="1"/>
    <col min="7172" max="7175" width="13.6640625" customWidth="1"/>
    <col min="7425" max="7425" width="5.5546875" customWidth="1"/>
    <col min="7426" max="7426" width="45.109375" customWidth="1"/>
    <col min="7427" max="7427" width="6.33203125" customWidth="1"/>
    <col min="7428" max="7431" width="13.6640625" customWidth="1"/>
    <col min="7681" max="7681" width="5.5546875" customWidth="1"/>
    <col min="7682" max="7682" width="45.109375" customWidth="1"/>
    <col min="7683" max="7683" width="6.33203125" customWidth="1"/>
    <col min="7684" max="7687" width="13.6640625" customWidth="1"/>
    <col min="7937" max="7937" width="5.5546875" customWidth="1"/>
    <col min="7938" max="7938" width="45.109375" customWidth="1"/>
    <col min="7939" max="7939" width="6.33203125" customWidth="1"/>
    <col min="7940" max="7943" width="13.6640625" customWidth="1"/>
    <col min="8193" max="8193" width="5.5546875" customWidth="1"/>
    <col min="8194" max="8194" width="45.109375" customWidth="1"/>
    <col min="8195" max="8195" width="6.33203125" customWidth="1"/>
    <col min="8196" max="8199" width="13.6640625" customWidth="1"/>
    <col min="8449" max="8449" width="5.5546875" customWidth="1"/>
    <col min="8450" max="8450" width="45.109375" customWidth="1"/>
    <col min="8451" max="8451" width="6.33203125" customWidth="1"/>
    <col min="8452" max="8455" width="13.6640625" customWidth="1"/>
    <col min="8705" max="8705" width="5.5546875" customWidth="1"/>
    <col min="8706" max="8706" width="45.109375" customWidth="1"/>
    <col min="8707" max="8707" width="6.33203125" customWidth="1"/>
    <col min="8708" max="8711" width="13.6640625" customWidth="1"/>
    <col min="8961" max="8961" width="5.5546875" customWidth="1"/>
    <col min="8962" max="8962" width="45.109375" customWidth="1"/>
    <col min="8963" max="8963" width="6.33203125" customWidth="1"/>
    <col min="8964" max="8967" width="13.6640625" customWidth="1"/>
    <col min="9217" max="9217" width="5.5546875" customWidth="1"/>
    <col min="9218" max="9218" width="45.109375" customWidth="1"/>
    <col min="9219" max="9219" width="6.33203125" customWidth="1"/>
    <col min="9220" max="9223" width="13.6640625" customWidth="1"/>
    <col min="9473" max="9473" width="5.5546875" customWidth="1"/>
    <col min="9474" max="9474" width="45.109375" customWidth="1"/>
    <col min="9475" max="9475" width="6.33203125" customWidth="1"/>
    <col min="9476" max="9479" width="13.6640625" customWidth="1"/>
    <col min="9729" max="9729" width="5.5546875" customWidth="1"/>
    <col min="9730" max="9730" width="45.109375" customWidth="1"/>
    <col min="9731" max="9731" width="6.33203125" customWidth="1"/>
    <col min="9732" max="9735" width="13.6640625" customWidth="1"/>
    <col min="9985" max="9985" width="5.5546875" customWidth="1"/>
    <col min="9986" max="9986" width="45.109375" customWidth="1"/>
    <col min="9987" max="9987" width="6.33203125" customWidth="1"/>
    <col min="9988" max="9991" width="13.6640625" customWidth="1"/>
    <col min="10241" max="10241" width="5.5546875" customWidth="1"/>
    <col min="10242" max="10242" width="45.109375" customWidth="1"/>
    <col min="10243" max="10243" width="6.33203125" customWidth="1"/>
    <col min="10244" max="10247" width="13.6640625" customWidth="1"/>
    <col min="10497" max="10497" width="5.5546875" customWidth="1"/>
    <col min="10498" max="10498" width="45.109375" customWidth="1"/>
    <col min="10499" max="10499" width="6.33203125" customWidth="1"/>
    <col min="10500" max="10503" width="13.6640625" customWidth="1"/>
    <col min="10753" max="10753" width="5.5546875" customWidth="1"/>
    <col min="10754" max="10754" width="45.109375" customWidth="1"/>
    <col min="10755" max="10755" width="6.33203125" customWidth="1"/>
    <col min="10756" max="10759" width="13.6640625" customWidth="1"/>
    <col min="11009" max="11009" width="5.5546875" customWidth="1"/>
    <col min="11010" max="11010" width="45.109375" customWidth="1"/>
    <col min="11011" max="11011" width="6.33203125" customWidth="1"/>
    <col min="11012" max="11015" width="13.6640625" customWidth="1"/>
    <col min="11265" max="11265" width="5.5546875" customWidth="1"/>
    <col min="11266" max="11266" width="45.109375" customWidth="1"/>
    <col min="11267" max="11267" width="6.33203125" customWidth="1"/>
    <col min="11268" max="11271" width="13.6640625" customWidth="1"/>
    <col min="11521" max="11521" width="5.5546875" customWidth="1"/>
    <col min="11522" max="11522" width="45.109375" customWidth="1"/>
    <col min="11523" max="11523" width="6.33203125" customWidth="1"/>
    <col min="11524" max="11527" width="13.6640625" customWidth="1"/>
    <col min="11777" max="11777" width="5.5546875" customWidth="1"/>
    <col min="11778" max="11778" width="45.109375" customWidth="1"/>
    <col min="11779" max="11779" width="6.33203125" customWidth="1"/>
    <col min="11780" max="11783" width="13.6640625" customWidth="1"/>
    <col min="12033" max="12033" width="5.5546875" customWidth="1"/>
    <col min="12034" max="12034" width="45.109375" customWidth="1"/>
    <col min="12035" max="12035" width="6.33203125" customWidth="1"/>
    <col min="12036" max="12039" width="13.6640625" customWidth="1"/>
    <col min="12289" max="12289" width="5.5546875" customWidth="1"/>
    <col min="12290" max="12290" width="45.109375" customWidth="1"/>
    <col min="12291" max="12291" width="6.33203125" customWidth="1"/>
    <col min="12292" max="12295" width="13.6640625" customWidth="1"/>
    <col min="12545" max="12545" width="5.5546875" customWidth="1"/>
    <col min="12546" max="12546" width="45.109375" customWidth="1"/>
    <col min="12547" max="12547" width="6.33203125" customWidth="1"/>
    <col min="12548" max="12551" width="13.6640625" customWidth="1"/>
    <col min="12801" max="12801" width="5.5546875" customWidth="1"/>
    <col min="12802" max="12802" width="45.109375" customWidth="1"/>
    <col min="12803" max="12803" width="6.33203125" customWidth="1"/>
    <col min="12804" max="12807" width="13.6640625" customWidth="1"/>
    <col min="13057" max="13057" width="5.5546875" customWidth="1"/>
    <col min="13058" max="13058" width="45.109375" customWidth="1"/>
    <col min="13059" max="13059" width="6.33203125" customWidth="1"/>
    <col min="13060" max="13063" width="13.6640625" customWidth="1"/>
    <col min="13313" max="13313" width="5.5546875" customWidth="1"/>
    <col min="13314" max="13314" width="45.109375" customWidth="1"/>
    <col min="13315" max="13315" width="6.33203125" customWidth="1"/>
    <col min="13316" max="13319" width="13.6640625" customWidth="1"/>
    <col min="13569" max="13569" width="5.5546875" customWidth="1"/>
    <col min="13570" max="13570" width="45.109375" customWidth="1"/>
    <col min="13571" max="13571" width="6.33203125" customWidth="1"/>
    <col min="13572" max="13575" width="13.6640625" customWidth="1"/>
    <col min="13825" max="13825" width="5.5546875" customWidth="1"/>
    <col min="13826" max="13826" width="45.109375" customWidth="1"/>
    <col min="13827" max="13827" width="6.33203125" customWidth="1"/>
    <col min="13828" max="13831" width="13.6640625" customWidth="1"/>
    <col min="14081" max="14081" width="5.5546875" customWidth="1"/>
    <col min="14082" max="14082" width="45.109375" customWidth="1"/>
    <col min="14083" max="14083" width="6.33203125" customWidth="1"/>
    <col min="14084" max="14087" width="13.6640625" customWidth="1"/>
    <col min="14337" max="14337" width="5.5546875" customWidth="1"/>
    <col min="14338" max="14338" width="45.109375" customWidth="1"/>
    <col min="14339" max="14339" width="6.33203125" customWidth="1"/>
    <col min="14340" max="14343" width="13.6640625" customWidth="1"/>
    <col min="14593" max="14593" width="5.5546875" customWidth="1"/>
    <col min="14594" max="14594" width="45.109375" customWidth="1"/>
    <col min="14595" max="14595" width="6.33203125" customWidth="1"/>
    <col min="14596" max="14599" width="13.6640625" customWidth="1"/>
    <col min="14849" max="14849" width="5.5546875" customWidth="1"/>
    <col min="14850" max="14850" width="45.109375" customWidth="1"/>
    <col min="14851" max="14851" width="6.33203125" customWidth="1"/>
    <col min="14852" max="14855" width="13.6640625" customWidth="1"/>
    <col min="15105" max="15105" width="5.5546875" customWidth="1"/>
    <col min="15106" max="15106" width="45.109375" customWidth="1"/>
    <col min="15107" max="15107" width="6.33203125" customWidth="1"/>
    <col min="15108" max="15111" width="13.6640625" customWidth="1"/>
    <col min="15361" max="15361" width="5.5546875" customWidth="1"/>
    <col min="15362" max="15362" width="45.109375" customWidth="1"/>
    <col min="15363" max="15363" width="6.33203125" customWidth="1"/>
    <col min="15364" max="15367" width="13.6640625" customWidth="1"/>
    <col min="15617" max="15617" width="5.5546875" customWidth="1"/>
    <col min="15618" max="15618" width="45.109375" customWidth="1"/>
    <col min="15619" max="15619" width="6.33203125" customWidth="1"/>
    <col min="15620" max="15623" width="13.6640625" customWidth="1"/>
    <col min="15873" max="15873" width="5.5546875" customWidth="1"/>
    <col min="15874" max="15874" width="45.109375" customWidth="1"/>
    <col min="15875" max="15875" width="6.33203125" customWidth="1"/>
    <col min="15876" max="15879" width="13.6640625" customWidth="1"/>
    <col min="16129" max="16129" width="5.5546875" customWidth="1"/>
    <col min="16130" max="16130" width="45.109375" customWidth="1"/>
    <col min="16131" max="16131" width="6.33203125" customWidth="1"/>
    <col min="16132" max="16135" width="13.6640625" customWidth="1"/>
  </cols>
  <sheetData>
    <row r="1" spans="1:7" s="65" customFormat="1" ht="13.5" customHeight="1" x14ac:dyDescent="0.3">
      <c r="A1" s="164"/>
      <c r="B1" s="165" t="str">
        <f>INSTRUÇÕES!B1</f>
        <v>Tribunal Regional Federal da 6ª Região</v>
      </c>
      <c r="C1" s="208"/>
      <c r="D1" s="209"/>
      <c r="E1" s="209"/>
      <c r="F1" s="209"/>
      <c r="G1" s="210"/>
    </row>
    <row r="2" spans="1:7" s="65" customFormat="1" ht="15" customHeight="1" x14ac:dyDescent="0.3">
      <c r="A2" s="167"/>
      <c r="B2" s="119" t="str">
        <f>INSTRUÇÕES!B2</f>
        <v>Seção Judiciária de Minas Gerais</v>
      </c>
      <c r="C2" s="211"/>
      <c r="D2" s="212"/>
      <c r="E2" s="212"/>
      <c r="F2" s="212"/>
      <c r="G2" s="213"/>
    </row>
    <row r="3" spans="1:7" s="65" customFormat="1" ht="16.5" customHeight="1" x14ac:dyDescent="0.3">
      <c r="A3" s="169"/>
      <c r="B3" s="214" t="str">
        <f>INSTRUÇÕES!B3</f>
        <v>Subseção Judiciária de Manhuaçu</v>
      </c>
      <c r="C3" s="211"/>
      <c r="D3" s="212"/>
      <c r="E3" s="212"/>
      <c r="F3" s="212"/>
      <c r="G3" s="213"/>
    </row>
    <row r="4" spans="1:7" s="65" customFormat="1" ht="21.75" customHeight="1" x14ac:dyDescent="0.3">
      <c r="A4" s="662" t="s">
        <v>307</v>
      </c>
      <c r="B4" s="662"/>
      <c r="C4" s="662"/>
      <c r="D4" s="662"/>
      <c r="E4" s="662"/>
      <c r="F4" s="662"/>
      <c r="G4" s="662"/>
    </row>
    <row r="5" spans="1:7" s="65" customFormat="1" ht="26.25" customHeight="1" x14ac:dyDescent="0.3">
      <c r="A5" s="663" t="s">
        <v>308</v>
      </c>
      <c r="B5" s="663"/>
      <c r="C5" s="663"/>
      <c r="D5" s="663"/>
      <c r="E5" s="663"/>
      <c r="F5" s="663"/>
      <c r="G5" s="663"/>
    </row>
    <row r="6" spans="1:7" s="65" customFormat="1" ht="15.6" x14ac:dyDescent="0.3">
      <c r="A6" s="215"/>
      <c r="B6" s="216"/>
      <c r="C6" s="216"/>
      <c r="D6" s="216" t="s">
        <v>309</v>
      </c>
      <c r="E6" s="216"/>
      <c r="G6" s="217">
        <v>0.1</v>
      </c>
    </row>
    <row r="7" spans="1:7" s="65" customFormat="1" ht="27.6" x14ac:dyDescent="0.3">
      <c r="A7" s="218" t="s">
        <v>310</v>
      </c>
      <c r="B7" s="219" t="s">
        <v>311</v>
      </c>
      <c r="C7" s="219" t="s">
        <v>312</v>
      </c>
      <c r="D7" s="220" t="s">
        <v>313</v>
      </c>
      <c r="E7" s="220" t="s">
        <v>314</v>
      </c>
      <c r="F7" s="220" t="s">
        <v>315</v>
      </c>
      <c r="G7" s="221" t="s">
        <v>316</v>
      </c>
    </row>
    <row r="8" spans="1:7" s="65" customFormat="1" ht="24.75" customHeight="1" x14ac:dyDescent="0.3">
      <c r="A8" s="664" t="s">
        <v>317</v>
      </c>
      <c r="B8" s="664"/>
      <c r="C8" s="664"/>
      <c r="D8" s="664"/>
      <c r="E8" s="664"/>
      <c r="F8" s="664"/>
      <c r="G8" s="664"/>
    </row>
    <row r="9" spans="1:7" s="65" customFormat="1" ht="13.8" x14ac:dyDescent="0.3">
      <c r="A9" s="222">
        <v>1</v>
      </c>
      <c r="B9" s="223" t="s">
        <v>318</v>
      </c>
      <c r="C9" s="224">
        <v>1</v>
      </c>
      <c r="D9" s="225">
        <v>350</v>
      </c>
      <c r="E9" s="226">
        <f>ROUND((D9*C9),2)</f>
        <v>350</v>
      </c>
      <c r="F9" s="226">
        <f>ROUND(E9*$G$6,2)</f>
        <v>35</v>
      </c>
      <c r="G9" s="227">
        <f>ROUND(F9/12,2)</f>
        <v>2.92</v>
      </c>
    </row>
    <row r="10" spans="1:7" s="65" customFormat="1" ht="27.6" x14ac:dyDescent="0.3">
      <c r="A10" s="222">
        <v>2</v>
      </c>
      <c r="B10" s="228" t="s">
        <v>319</v>
      </c>
      <c r="C10" s="224">
        <v>1</v>
      </c>
      <c r="D10" s="225">
        <v>550</v>
      </c>
      <c r="E10" s="226">
        <f>ROUND((D10*C10),2)</f>
        <v>550</v>
      </c>
      <c r="F10" s="226">
        <f>ROUND(E10*$G$6,2)</f>
        <v>55</v>
      </c>
      <c r="G10" s="227">
        <f>ROUND(F10/12,2)</f>
        <v>4.58</v>
      </c>
    </row>
    <row r="11" spans="1:7" s="65" customFormat="1" ht="27.6" x14ac:dyDescent="0.3">
      <c r="A11" s="222">
        <v>3</v>
      </c>
      <c r="B11" s="223" t="s">
        <v>320</v>
      </c>
      <c r="C11" s="224">
        <v>1</v>
      </c>
      <c r="D11" s="229">
        <v>450</v>
      </c>
      <c r="E11" s="226">
        <f>ROUND((D11*C11),2)</f>
        <v>450</v>
      </c>
      <c r="F11" s="226">
        <f>ROUND(E11*$G$6,2)</f>
        <v>45</v>
      </c>
      <c r="G11" s="227">
        <f>ROUND(F11/12,2)</f>
        <v>3.75</v>
      </c>
    </row>
    <row r="12" spans="1:7" s="65" customFormat="1" ht="13.8" x14ac:dyDescent="0.3">
      <c r="A12" s="222">
        <v>4</v>
      </c>
      <c r="B12" s="230" t="s">
        <v>321</v>
      </c>
      <c r="C12" s="224">
        <v>1</v>
      </c>
      <c r="D12" s="231">
        <v>1090</v>
      </c>
      <c r="E12" s="226">
        <f>ROUND((D12*C12),2)</f>
        <v>1090</v>
      </c>
      <c r="F12" s="226">
        <f>ROUND(E12*$G$6,2)</f>
        <v>109</v>
      </c>
      <c r="G12" s="227">
        <f>ROUND(F12/12,2)</f>
        <v>9.08</v>
      </c>
    </row>
    <row r="13" spans="1:7" s="65" customFormat="1" ht="15.75" customHeight="1" x14ac:dyDescent="0.3">
      <c r="A13" s="661" t="s">
        <v>322</v>
      </c>
      <c r="B13" s="661"/>
      <c r="C13" s="661"/>
      <c r="D13" s="661"/>
      <c r="E13" s="661"/>
      <c r="F13" s="661"/>
      <c r="G13" s="232">
        <f>SUM(G9:G12)</f>
        <v>20.329999999999998</v>
      </c>
    </row>
    <row r="14" spans="1:7" s="65" customFormat="1" ht="27.6" customHeight="1" x14ac:dyDescent="0.3">
      <c r="F14" s="537" t="s">
        <v>599</v>
      </c>
      <c r="G14" s="538">
        <f>Dados!B7+Dados!B8</f>
        <v>2</v>
      </c>
    </row>
    <row r="15" spans="1:7" s="65" customFormat="1" ht="15.75" customHeight="1" x14ac:dyDescent="0.3">
      <c r="F15" s="537" t="s">
        <v>600</v>
      </c>
      <c r="G15" s="538">
        <f>G13/G14</f>
        <v>10.164999999999999</v>
      </c>
    </row>
    <row r="16" spans="1:7" ht="27" customHeight="1" x14ac:dyDescent="0.3">
      <c r="A16" s="664" t="s">
        <v>323</v>
      </c>
      <c r="B16" s="664"/>
      <c r="C16" s="664"/>
      <c r="D16" s="664"/>
      <c r="E16" s="664"/>
      <c r="F16" s="664"/>
      <c r="G16" s="664"/>
    </row>
    <row r="17" spans="1:7" ht="14.4" x14ac:dyDescent="0.3">
      <c r="A17" s="222">
        <v>1</v>
      </c>
      <c r="B17" s="223" t="s">
        <v>324</v>
      </c>
      <c r="C17" s="224">
        <v>1</v>
      </c>
      <c r="D17" s="225">
        <v>199</v>
      </c>
      <c r="E17" s="226">
        <f>ROUND((D17*C17),2)</f>
        <v>199</v>
      </c>
      <c r="F17" s="226">
        <f>ROUND(E17*$G$6,2)</f>
        <v>19.899999999999999</v>
      </c>
      <c r="G17" s="227">
        <f>ROUND(F17/12,2)</f>
        <v>1.66</v>
      </c>
    </row>
    <row r="18" spans="1:7" ht="14.25" customHeight="1" x14ac:dyDescent="0.3">
      <c r="A18" s="661" t="s">
        <v>325</v>
      </c>
      <c r="B18" s="661"/>
      <c r="C18" s="661"/>
      <c r="D18" s="661"/>
      <c r="E18" s="661"/>
      <c r="F18" s="661"/>
      <c r="G18" s="232">
        <f>SUM(G17)</f>
        <v>1.66</v>
      </c>
    </row>
    <row r="19" spans="1:7" ht="28.95" customHeight="1" x14ac:dyDescent="0.3">
      <c r="F19" s="537" t="s">
        <v>599</v>
      </c>
      <c r="G19" s="538">
        <f>Dados!B9</f>
        <v>1</v>
      </c>
    </row>
    <row r="20" spans="1:7" ht="14.25" customHeight="1" x14ac:dyDescent="0.3">
      <c r="F20" s="537" t="s">
        <v>600</v>
      </c>
      <c r="G20" s="538">
        <f>G18/G19</f>
        <v>1.66</v>
      </c>
    </row>
  </sheetData>
  <sheetProtection algorithmName="SHA-512" hashValue="7k4vtrbNu3vxrMhLuAK+a2EoOVZm8MoeDJtSYccUeeyUSw8QemYkd90qnAlyaxAVEL4OhVZJZoG+6At/TNeDgg==" saltValue="ROo4itEkfEReaa6Jrr6jiw==" spinCount="100000" sheet="1" objects="1" scenarios="1"/>
  <mergeCells count="6">
    <mergeCell ref="A18:F18"/>
    <mergeCell ref="A4:G4"/>
    <mergeCell ref="A5:G5"/>
    <mergeCell ref="A8:G8"/>
    <mergeCell ref="A13:F13"/>
    <mergeCell ref="A16:G16"/>
  </mergeCells>
  <printOptions horizontalCentered="1" verticalCentered="1"/>
  <pageMargins left="0.51180555555555596" right="0.51180555555555596" top="0.78749999999999998" bottom="0.78749999999999998" header="0.511811023622047" footer="0.511811023622047"/>
  <pageSetup paperSize="9" scale="81" fitToHeight="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sheetPr>
  <dimension ref="A1:P28"/>
  <sheetViews>
    <sheetView showGridLines="0" view="pageBreakPreview" topLeftCell="A12" zoomScaleNormal="100" zoomScaleSheetLayoutView="100" workbookViewId="0">
      <selection activeCell="A19" sqref="A19:G19"/>
    </sheetView>
  </sheetViews>
  <sheetFormatPr defaultColWidth="9" defaultRowHeight="14.25" customHeight="1" x14ac:dyDescent="0.3"/>
  <cols>
    <col min="1" max="1" width="13.33203125" style="279" customWidth="1"/>
    <col min="2" max="2" width="11" style="280" customWidth="1"/>
    <col min="3" max="3" width="6.109375" style="281" customWidth="1"/>
    <col min="4" max="4" width="56.109375" style="282" customWidth="1"/>
    <col min="5" max="5" width="14.44140625" style="280" customWidth="1"/>
    <col min="6" max="6" width="14.88671875" style="281" customWidth="1"/>
    <col min="7" max="7" width="12.44140625" style="283" customWidth="1"/>
    <col min="8" max="8" width="10.88671875" style="284" customWidth="1"/>
    <col min="10" max="10" width="16.44140625" style="234" hidden="1" customWidth="1"/>
    <col min="11" max="15" width="11.33203125" style="234" hidden="1" customWidth="1"/>
    <col min="255" max="255" width="13.33203125" customWidth="1"/>
    <col min="256" max="256" width="7.6640625" customWidth="1"/>
    <col min="257" max="257" width="6.109375" customWidth="1"/>
    <col min="258" max="258" width="56.109375" customWidth="1"/>
    <col min="259" max="259" width="9.33203125" customWidth="1"/>
    <col min="260" max="261" width="12.44140625" customWidth="1"/>
    <col min="262" max="262" width="10.88671875" customWidth="1"/>
    <col min="266" max="266" width="11.44140625" customWidth="1"/>
    <col min="267" max="271" width="11.33203125" customWidth="1"/>
    <col min="511" max="511" width="13.33203125" customWidth="1"/>
    <col min="512" max="512" width="7.6640625" customWidth="1"/>
    <col min="513" max="513" width="6.109375" customWidth="1"/>
    <col min="514" max="514" width="56.109375" customWidth="1"/>
    <col min="515" max="515" width="9.33203125" customWidth="1"/>
    <col min="516" max="517" width="12.44140625" customWidth="1"/>
    <col min="518" max="518" width="10.88671875" customWidth="1"/>
    <col min="522" max="522" width="11.44140625" customWidth="1"/>
    <col min="523" max="527" width="11.33203125" customWidth="1"/>
    <col min="767" max="767" width="13.33203125" customWidth="1"/>
    <col min="768" max="768" width="7.6640625" customWidth="1"/>
    <col min="769" max="769" width="6.109375" customWidth="1"/>
    <col min="770" max="770" width="56.109375" customWidth="1"/>
    <col min="771" max="771" width="9.33203125" customWidth="1"/>
    <col min="772" max="773" width="12.44140625" customWidth="1"/>
    <col min="774" max="774" width="10.88671875" customWidth="1"/>
    <col min="778" max="778" width="11.44140625" customWidth="1"/>
    <col min="779" max="783" width="11.33203125" customWidth="1"/>
    <col min="1023" max="1023" width="13.33203125" customWidth="1"/>
    <col min="1024" max="1024" width="7.6640625" customWidth="1"/>
    <col min="1025" max="1025" width="6.109375" customWidth="1"/>
    <col min="1026" max="1026" width="56.109375" customWidth="1"/>
    <col min="1027" max="1027" width="9.33203125" customWidth="1"/>
    <col min="1028" max="1029" width="12.44140625" customWidth="1"/>
    <col min="1030" max="1030" width="10.88671875" customWidth="1"/>
    <col min="1034" max="1034" width="11.44140625" customWidth="1"/>
    <col min="1035" max="1039" width="11.33203125" customWidth="1"/>
    <col min="1279" max="1279" width="13.33203125" customWidth="1"/>
    <col min="1280" max="1280" width="7.6640625" customWidth="1"/>
    <col min="1281" max="1281" width="6.109375" customWidth="1"/>
    <col min="1282" max="1282" width="56.109375" customWidth="1"/>
    <col min="1283" max="1283" width="9.33203125" customWidth="1"/>
    <col min="1284" max="1285" width="12.44140625" customWidth="1"/>
    <col min="1286" max="1286" width="10.88671875" customWidth="1"/>
    <col min="1290" max="1290" width="11.44140625" customWidth="1"/>
    <col min="1291" max="1295" width="11.33203125" customWidth="1"/>
    <col min="1535" max="1535" width="13.33203125" customWidth="1"/>
    <col min="1536" max="1536" width="7.6640625" customWidth="1"/>
    <col min="1537" max="1537" width="6.109375" customWidth="1"/>
    <col min="1538" max="1538" width="56.109375" customWidth="1"/>
    <col min="1539" max="1539" width="9.33203125" customWidth="1"/>
    <col min="1540" max="1541" width="12.44140625" customWidth="1"/>
    <col min="1542" max="1542" width="10.88671875" customWidth="1"/>
    <col min="1546" max="1546" width="11.44140625" customWidth="1"/>
    <col min="1547" max="1551" width="11.33203125" customWidth="1"/>
    <col min="1791" max="1791" width="13.33203125" customWidth="1"/>
    <col min="1792" max="1792" width="7.6640625" customWidth="1"/>
    <col min="1793" max="1793" width="6.109375" customWidth="1"/>
    <col min="1794" max="1794" width="56.109375" customWidth="1"/>
    <col min="1795" max="1795" width="9.33203125" customWidth="1"/>
    <col min="1796" max="1797" width="12.44140625" customWidth="1"/>
    <col min="1798" max="1798" width="10.88671875" customWidth="1"/>
    <col min="1802" max="1802" width="11.44140625" customWidth="1"/>
    <col min="1803" max="1807" width="11.33203125" customWidth="1"/>
    <col min="2047" max="2047" width="13.33203125" customWidth="1"/>
    <col min="2048" max="2048" width="7.6640625" customWidth="1"/>
    <col min="2049" max="2049" width="6.109375" customWidth="1"/>
    <col min="2050" max="2050" width="56.109375" customWidth="1"/>
    <col min="2051" max="2051" width="9.33203125" customWidth="1"/>
    <col min="2052" max="2053" width="12.44140625" customWidth="1"/>
    <col min="2054" max="2054" width="10.88671875" customWidth="1"/>
    <col min="2058" max="2058" width="11.44140625" customWidth="1"/>
    <col min="2059" max="2063" width="11.33203125" customWidth="1"/>
    <col min="2303" max="2303" width="13.33203125" customWidth="1"/>
    <col min="2304" max="2304" width="7.6640625" customWidth="1"/>
    <col min="2305" max="2305" width="6.109375" customWidth="1"/>
    <col min="2306" max="2306" width="56.109375" customWidth="1"/>
    <col min="2307" max="2307" width="9.33203125" customWidth="1"/>
    <col min="2308" max="2309" width="12.44140625" customWidth="1"/>
    <col min="2310" max="2310" width="10.88671875" customWidth="1"/>
    <col min="2314" max="2314" width="11.44140625" customWidth="1"/>
    <col min="2315" max="2319" width="11.33203125" customWidth="1"/>
    <col min="2559" max="2559" width="13.33203125" customWidth="1"/>
    <col min="2560" max="2560" width="7.6640625" customWidth="1"/>
    <col min="2561" max="2561" width="6.109375" customWidth="1"/>
    <col min="2562" max="2562" width="56.109375" customWidth="1"/>
    <col min="2563" max="2563" width="9.33203125" customWidth="1"/>
    <col min="2564" max="2565" width="12.44140625" customWidth="1"/>
    <col min="2566" max="2566" width="10.88671875" customWidth="1"/>
    <col min="2570" max="2570" width="11.44140625" customWidth="1"/>
    <col min="2571" max="2575" width="11.33203125" customWidth="1"/>
    <col min="2815" max="2815" width="13.33203125" customWidth="1"/>
    <col min="2816" max="2816" width="7.6640625" customWidth="1"/>
    <col min="2817" max="2817" width="6.109375" customWidth="1"/>
    <col min="2818" max="2818" width="56.109375" customWidth="1"/>
    <col min="2819" max="2819" width="9.33203125" customWidth="1"/>
    <col min="2820" max="2821" width="12.44140625" customWidth="1"/>
    <col min="2822" max="2822" width="10.88671875" customWidth="1"/>
    <col min="2826" max="2826" width="11.44140625" customWidth="1"/>
    <col min="2827" max="2831" width="11.33203125" customWidth="1"/>
    <col min="3071" max="3071" width="13.33203125" customWidth="1"/>
    <col min="3072" max="3072" width="7.6640625" customWidth="1"/>
    <col min="3073" max="3073" width="6.109375" customWidth="1"/>
    <col min="3074" max="3074" width="56.109375" customWidth="1"/>
    <col min="3075" max="3075" width="9.33203125" customWidth="1"/>
    <col min="3076" max="3077" width="12.44140625" customWidth="1"/>
    <col min="3078" max="3078" width="10.88671875" customWidth="1"/>
    <col min="3082" max="3082" width="11.44140625" customWidth="1"/>
    <col min="3083" max="3087" width="11.33203125" customWidth="1"/>
    <col min="3327" max="3327" width="13.33203125" customWidth="1"/>
    <col min="3328" max="3328" width="7.6640625" customWidth="1"/>
    <col min="3329" max="3329" width="6.109375" customWidth="1"/>
    <col min="3330" max="3330" width="56.109375" customWidth="1"/>
    <col min="3331" max="3331" width="9.33203125" customWidth="1"/>
    <col min="3332" max="3333" width="12.44140625" customWidth="1"/>
    <col min="3334" max="3334" width="10.88671875" customWidth="1"/>
    <col min="3338" max="3338" width="11.44140625" customWidth="1"/>
    <col min="3339" max="3343" width="11.33203125" customWidth="1"/>
    <col min="3583" max="3583" width="13.33203125" customWidth="1"/>
    <col min="3584" max="3584" width="7.6640625" customWidth="1"/>
    <col min="3585" max="3585" width="6.109375" customWidth="1"/>
    <col min="3586" max="3586" width="56.109375" customWidth="1"/>
    <col min="3587" max="3587" width="9.33203125" customWidth="1"/>
    <col min="3588" max="3589" width="12.44140625" customWidth="1"/>
    <col min="3590" max="3590" width="10.88671875" customWidth="1"/>
    <col min="3594" max="3594" width="11.44140625" customWidth="1"/>
    <col min="3595" max="3599" width="11.33203125" customWidth="1"/>
    <col min="3839" max="3839" width="13.33203125" customWidth="1"/>
    <col min="3840" max="3840" width="7.6640625" customWidth="1"/>
    <col min="3841" max="3841" width="6.109375" customWidth="1"/>
    <col min="3842" max="3842" width="56.109375" customWidth="1"/>
    <col min="3843" max="3843" width="9.33203125" customWidth="1"/>
    <col min="3844" max="3845" width="12.44140625" customWidth="1"/>
    <col min="3846" max="3846" width="10.88671875" customWidth="1"/>
    <col min="3850" max="3850" width="11.44140625" customWidth="1"/>
    <col min="3851" max="3855" width="11.33203125" customWidth="1"/>
    <col min="4095" max="4095" width="13.33203125" customWidth="1"/>
    <col min="4096" max="4096" width="7.6640625" customWidth="1"/>
    <col min="4097" max="4097" width="6.109375" customWidth="1"/>
    <col min="4098" max="4098" width="56.109375" customWidth="1"/>
    <col min="4099" max="4099" width="9.33203125" customWidth="1"/>
    <col min="4100" max="4101" width="12.44140625" customWidth="1"/>
    <col min="4102" max="4102" width="10.88671875" customWidth="1"/>
    <col min="4106" max="4106" width="11.44140625" customWidth="1"/>
    <col min="4107" max="4111" width="11.33203125" customWidth="1"/>
    <col min="4351" max="4351" width="13.33203125" customWidth="1"/>
    <col min="4352" max="4352" width="7.6640625" customWidth="1"/>
    <col min="4353" max="4353" width="6.109375" customWidth="1"/>
    <col min="4354" max="4354" width="56.109375" customWidth="1"/>
    <col min="4355" max="4355" width="9.33203125" customWidth="1"/>
    <col min="4356" max="4357" width="12.44140625" customWidth="1"/>
    <col min="4358" max="4358" width="10.88671875" customWidth="1"/>
    <col min="4362" max="4362" width="11.44140625" customWidth="1"/>
    <col min="4363" max="4367" width="11.33203125" customWidth="1"/>
    <col min="4607" max="4607" width="13.33203125" customWidth="1"/>
    <col min="4608" max="4608" width="7.6640625" customWidth="1"/>
    <col min="4609" max="4609" width="6.109375" customWidth="1"/>
    <col min="4610" max="4610" width="56.109375" customWidth="1"/>
    <col min="4611" max="4611" width="9.33203125" customWidth="1"/>
    <col min="4612" max="4613" width="12.44140625" customWidth="1"/>
    <col min="4614" max="4614" width="10.88671875" customWidth="1"/>
    <col min="4618" max="4618" width="11.44140625" customWidth="1"/>
    <col min="4619" max="4623" width="11.33203125" customWidth="1"/>
    <col min="4863" max="4863" width="13.33203125" customWidth="1"/>
    <col min="4864" max="4864" width="7.6640625" customWidth="1"/>
    <col min="4865" max="4865" width="6.109375" customWidth="1"/>
    <col min="4866" max="4866" width="56.109375" customWidth="1"/>
    <col min="4867" max="4867" width="9.33203125" customWidth="1"/>
    <col min="4868" max="4869" width="12.44140625" customWidth="1"/>
    <col min="4870" max="4870" width="10.88671875" customWidth="1"/>
    <col min="4874" max="4874" width="11.44140625" customWidth="1"/>
    <col min="4875" max="4879" width="11.33203125" customWidth="1"/>
    <col min="5119" max="5119" width="13.33203125" customWidth="1"/>
    <col min="5120" max="5120" width="7.6640625" customWidth="1"/>
    <col min="5121" max="5121" width="6.109375" customWidth="1"/>
    <col min="5122" max="5122" width="56.109375" customWidth="1"/>
    <col min="5123" max="5123" width="9.33203125" customWidth="1"/>
    <col min="5124" max="5125" width="12.44140625" customWidth="1"/>
    <col min="5126" max="5126" width="10.88671875" customWidth="1"/>
    <col min="5130" max="5130" width="11.44140625" customWidth="1"/>
    <col min="5131" max="5135" width="11.33203125" customWidth="1"/>
    <col min="5375" max="5375" width="13.33203125" customWidth="1"/>
    <col min="5376" max="5376" width="7.6640625" customWidth="1"/>
    <col min="5377" max="5377" width="6.109375" customWidth="1"/>
    <col min="5378" max="5378" width="56.109375" customWidth="1"/>
    <col min="5379" max="5379" width="9.33203125" customWidth="1"/>
    <col min="5380" max="5381" width="12.44140625" customWidth="1"/>
    <col min="5382" max="5382" width="10.88671875" customWidth="1"/>
    <col min="5386" max="5386" width="11.44140625" customWidth="1"/>
    <col min="5387" max="5391" width="11.33203125" customWidth="1"/>
    <col min="5631" max="5631" width="13.33203125" customWidth="1"/>
    <col min="5632" max="5632" width="7.6640625" customWidth="1"/>
    <col min="5633" max="5633" width="6.109375" customWidth="1"/>
    <col min="5634" max="5634" width="56.109375" customWidth="1"/>
    <col min="5635" max="5635" width="9.33203125" customWidth="1"/>
    <col min="5636" max="5637" width="12.44140625" customWidth="1"/>
    <col min="5638" max="5638" width="10.88671875" customWidth="1"/>
    <col min="5642" max="5642" width="11.44140625" customWidth="1"/>
    <col min="5643" max="5647" width="11.33203125" customWidth="1"/>
    <col min="5887" max="5887" width="13.33203125" customWidth="1"/>
    <col min="5888" max="5888" width="7.6640625" customWidth="1"/>
    <col min="5889" max="5889" width="6.109375" customWidth="1"/>
    <col min="5890" max="5890" width="56.109375" customWidth="1"/>
    <col min="5891" max="5891" width="9.33203125" customWidth="1"/>
    <col min="5892" max="5893" width="12.44140625" customWidth="1"/>
    <col min="5894" max="5894" width="10.88671875" customWidth="1"/>
    <col min="5898" max="5898" width="11.44140625" customWidth="1"/>
    <col min="5899" max="5903" width="11.33203125" customWidth="1"/>
    <col min="6143" max="6143" width="13.33203125" customWidth="1"/>
    <col min="6144" max="6144" width="7.6640625" customWidth="1"/>
    <col min="6145" max="6145" width="6.109375" customWidth="1"/>
    <col min="6146" max="6146" width="56.109375" customWidth="1"/>
    <col min="6147" max="6147" width="9.33203125" customWidth="1"/>
    <col min="6148" max="6149" width="12.44140625" customWidth="1"/>
    <col min="6150" max="6150" width="10.88671875" customWidth="1"/>
    <col min="6154" max="6154" width="11.44140625" customWidth="1"/>
    <col min="6155" max="6159" width="11.33203125" customWidth="1"/>
    <col min="6399" max="6399" width="13.33203125" customWidth="1"/>
    <col min="6400" max="6400" width="7.6640625" customWidth="1"/>
    <col min="6401" max="6401" width="6.109375" customWidth="1"/>
    <col min="6402" max="6402" width="56.109375" customWidth="1"/>
    <col min="6403" max="6403" width="9.33203125" customWidth="1"/>
    <col min="6404" max="6405" width="12.44140625" customWidth="1"/>
    <col min="6406" max="6406" width="10.88671875" customWidth="1"/>
    <col min="6410" max="6410" width="11.44140625" customWidth="1"/>
    <col min="6411" max="6415" width="11.33203125" customWidth="1"/>
    <col min="6655" max="6655" width="13.33203125" customWidth="1"/>
    <col min="6656" max="6656" width="7.6640625" customWidth="1"/>
    <col min="6657" max="6657" width="6.109375" customWidth="1"/>
    <col min="6658" max="6658" width="56.109375" customWidth="1"/>
    <col min="6659" max="6659" width="9.33203125" customWidth="1"/>
    <col min="6660" max="6661" width="12.44140625" customWidth="1"/>
    <col min="6662" max="6662" width="10.88671875" customWidth="1"/>
    <col min="6666" max="6666" width="11.44140625" customWidth="1"/>
    <col min="6667" max="6671" width="11.33203125" customWidth="1"/>
    <col min="6911" max="6911" width="13.33203125" customWidth="1"/>
    <col min="6912" max="6912" width="7.6640625" customWidth="1"/>
    <col min="6913" max="6913" width="6.109375" customWidth="1"/>
    <col min="6914" max="6914" width="56.109375" customWidth="1"/>
    <col min="6915" max="6915" width="9.33203125" customWidth="1"/>
    <col min="6916" max="6917" width="12.44140625" customWidth="1"/>
    <col min="6918" max="6918" width="10.88671875" customWidth="1"/>
    <col min="6922" max="6922" width="11.44140625" customWidth="1"/>
    <col min="6923" max="6927" width="11.33203125" customWidth="1"/>
    <col min="7167" max="7167" width="13.33203125" customWidth="1"/>
    <col min="7168" max="7168" width="7.6640625" customWidth="1"/>
    <col min="7169" max="7169" width="6.109375" customWidth="1"/>
    <col min="7170" max="7170" width="56.109375" customWidth="1"/>
    <col min="7171" max="7171" width="9.33203125" customWidth="1"/>
    <col min="7172" max="7173" width="12.44140625" customWidth="1"/>
    <col min="7174" max="7174" width="10.88671875" customWidth="1"/>
    <col min="7178" max="7178" width="11.44140625" customWidth="1"/>
    <col min="7179" max="7183" width="11.33203125" customWidth="1"/>
    <col min="7423" max="7423" width="13.33203125" customWidth="1"/>
    <col min="7424" max="7424" width="7.6640625" customWidth="1"/>
    <col min="7425" max="7425" width="6.109375" customWidth="1"/>
    <col min="7426" max="7426" width="56.109375" customWidth="1"/>
    <col min="7427" max="7427" width="9.33203125" customWidth="1"/>
    <col min="7428" max="7429" width="12.44140625" customWidth="1"/>
    <col min="7430" max="7430" width="10.88671875" customWidth="1"/>
    <col min="7434" max="7434" width="11.44140625" customWidth="1"/>
    <col min="7435" max="7439" width="11.33203125" customWidth="1"/>
    <col min="7679" max="7679" width="13.33203125" customWidth="1"/>
    <col min="7680" max="7680" width="7.6640625" customWidth="1"/>
    <col min="7681" max="7681" width="6.109375" customWidth="1"/>
    <col min="7682" max="7682" width="56.109375" customWidth="1"/>
    <col min="7683" max="7683" width="9.33203125" customWidth="1"/>
    <col min="7684" max="7685" width="12.44140625" customWidth="1"/>
    <col min="7686" max="7686" width="10.88671875" customWidth="1"/>
    <col min="7690" max="7690" width="11.44140625" customWidth="1"/>
    <col min="7691" max="7695" width="11.33203125" customWidth="1"/>
    <col min="7935" max="7935" width="13.33203125" customWidth="1"/>
    <col min="7936" max="7936" width="7.6640625" customWidth="1"/>
    <col min="7937" max="7937" width="6.109375" customWidth="1"/>
    <col min="7938" max="7938" width="56.109375" customWidth="1"/>
    <col min="7939" max="7939" width="9.33203125" customWidth="1"/>
    <col min="7940" max="7941" width="12.44140625" customWidth="1"/>
    <col min="7942" max="7942" width="10.88671875" customWidth="1"/>
    <col min="7946" max="7946" width="11.44140625" customWidth="1"/>
    <col min="7947" max="7951" width="11.33203125" customWidth="1"/>
    <col min="8191" max="8191" width="13.33203125" customWidth="1"/>
    <col min="8192" max="8192" width="7.6640625" customWidth="1"/>
    <col min="8193" max="8193" width="6.109375" customWidth="1"/>
    <col min="8194" max="8194" width="56.109375" customWidth="1"/>
    <col min="8195" max="8195" width="9.33203125" customWidth="1"/>
    <col min="8196" max="8197" width="12.44140625" customWidth="1"/>
    <col min="8198" max="8198" width="10.88671875" customWidth="1"/>
    <col min="8202" max="8202" width="11.44140625" customWidth="1"/>
    <col min="8203" max="8207" width="11.33203125" customWidth="1"/>
    <col min="8447" max="8447" width="13.33203125" customWidth="1"/>
    <col min="8448" max="8448" width="7.6640625" customWidth="1"/>
    <col min="8449" max="8449" width="6.109375" customWidth="1"/>
    <col min="8450" max="8450" width="56.109375" customWidth="1"/>
    <col min="8451" max="8451" width="9.33203125" customWidth="1"/>
    <col min="8452" max="8453" width="12.44140625" customWidth="1"/>
    <col min="8454" max="8454" width="10.88671875" customWidth="1"/>
    <col min="8458" max="8458" width="11.44140625" customWidth="1"/>
    <col min="8459" max="8463" width="11.33203125" customWidth="1"/>
    <col min="8703" max="8703" width="13.33203125" customWidth="1"/>
    <col min="8704" max="8704" width="7.6640625" customWidth="1"/>
    <col min="8705" max="8705" width="6.109375" customWidth="1"/>
    <col min="8706" max="8706" width="56.109375" customWidth="1"/>
    <col min="8707" max="8707" width="9.33203125" customWidth="1"/>
    <col min="8708" max="8709" width="12.44140625" customWidth="1"/>
    <col min="8710" max="8710" width="10.88671875" customWidth="1"/>
    <col min="8714" max="8714" width="11.44140625" customWidth="1"/>
    <col min="8715" max="8719" width="11.33203125" customWidth="1"/>
    <col min="8959" max="8959" width="13.33203125" customWidth="1"/>
    <col min="8960" max="8960" width="7.6640625" customWidth="1"/>
    <col min="8961" max="8961" width="6.109375" customWidth="1"/>
    <col min="8962" max="8962" width="56.109375" customWidth="1"/>
    <col min="8963" max="8963" width="9.33203125" customWidth="1"/>
    <col min="8964" max="8965" width="12.44140625" customWidth="1"/>
    <col min="8966" max="8966" width="10.88671875" customWidth="1"/>
    <col min="8970" max="8970" width="11.44140625" customWidth="1"/>
    <col min="8971" max="8975" width="11.33203125" customWidth="1"/>
    <col min="9215" max="9215" width="13.33203125" customWidth="1"/>
    <col min="9216" max="9216" width="7.6640625" customWidth="1"/>
    <col min="9217" max="9217" width="6.109375" customWidth="1"/>
    <col min="9218" max="9218" width="56.109375" customWidth="1"/>
    <col min="9219" max="9219" width="9.33203125" customWidth="1"/>
    <col min="9220" max="9221" width="12.44140625" customWidth="1"/>
    <col min="9222" max="9222" width="10.88671875" customWidth="1"/>
    <col min="9226" max="9226" width="11.44140625" customWidth="1"/>
    <col min="9227" max="9231" width="11.33203125" customWidth="1"/>
    <col min="9471" max="9471" width="13.33203125" customWidth="1"/>
    <col min="9472" max="9472" width="7.6640625" customWidth="1"/>
    <col min="9473" max="9473" width="6.109375" customWidth="1"/>
    <col min="9474" max="9474" width="56.109375" customWidth="1"/>
    <col min="9475" max="9475" width="9.33203125" customWidth="1"/>
    <col min="9476" max="9477" width="12.44140625" customWidth="1"/>
    <col min="9478" max="9478" width="10.88671875" customWidth="1"/>
    <col min="9482" max="9482" width="11.44140625" customWidth="1"/>
    <col min="9483" max="9487" width="11.33203125" customWidth="1"/>
    <col min="9727" max="9727" width="13.33203125" customWidth="1"/>
    <col min="9728" max="9728" width="7.6640625" customWidth="1"/>
    <col min="9729" max="9729" width="6.109375" customWidth="1"/>
    <col min="9730" max="9730" width="56.109375" customWidth="1"/>
    <col min="9731" max="9731" width="9.33203125" customWidth="1"/>
    <col min="9732" max="9733" width="12.44140625" customWidth="1"/>
    <col min="9734" max="9734" width="10.88671875" customWidth="1"/>
    <col min="9738" max="9738" width="11.44140625" customWidth="1"/>
    <col min="9739" max="9743" width="11.33203125" customWidth="1"/>
    <col min="9983" max="9983" width="13.33203125" customWidth="1"/>
    <col min="9984" max="9984" width="7.6640625" customWidth="1"/>
    <col min="9985" max="9985" width="6.109375" customWidth="1"/>
    <col min="9986" max="9986" width="56.109375" customWidth="1"/>
    <col min="9987" max="9987" width="9.33203125" customWidth="1"/>
    <col min="9988" max="9989" width="12.44140625" customWidth="1"/>
    <col min="9990" max="9990" width="10.88671875" customWidth="1"/>
    <col min="9994" max="9994" width="11.44140625" customWidth="1"/>
    <col min="9995" max="9999" width="11.33203125" customWidth="1"/>
    <col min="10239" max="10239" width="13.33203125" customWidth="1"/>
    <col min="10240" max="10240" width="7.6640625" customWidth="1"/>
    <col min="10241" max="10241" width="6.109375" customWidth="1"/>
    <col min="10242" max="10242" width="56.109375" customWidth="1"/>
    <col min="10243" max="10243" width="9.33203125" customWidth="1"/>
    <col min="10244" max="10245" width="12.44140625" customWidth="1"/>
    <col min="10246" max="10246" width="10.88671875" customWidth="1"/>
    <col min="10250" max="10250" width="11.44140625" customWidth="1"/>
    <col min="10251" max="10255" width="11.33203125" customWidth="1"/>
    <col min="10495" max="10495" width="13.33203125" customWidth="1"/>
    <col min="10496" max="10496" width="7.6640625" customWidth="1"/>
    <col min="10497" max="10497" width="6.109375" customWidth="1"/>
    <col min="10498" max="10498" width="56.109375" customWidth="1"/>
    <col min="10499" max="10499" width="9.33203125" customWidth="1"/>
    <col min="10500" max="10501" width="12.44140625" customWidth="1"/>
    <col min="10502" max="10502" width="10.88671875" customWidth="1"/>
    <col min="10506" max="10506" width="11.44140625" customWidth="1"/>
    <col min="10507" max="10511" width="11.33203125" customWidth="1"/>
    <col min="10751" max="10751" width="13.33203125" customWidth="1"/>
    <col min="10752" max="10752" width="7.6640625" customWidth="1"/>
    <col min="10753" max="10753" width="6.109375" customWidth="1"/>
    <col min="10754" max="10754" width="56.109375" customWidth="1"/>
    <col min="10755" max="10755" width="9.33203125" customWidth="1"/>
    <col min="10756" max="10757" width="12.44140625" customWidth="1"/>
    <col min="10758" max="10758" width="10.88671875" customWidth="1"/>
    <col min="10762" max="10762" width="11.44140625" customWidth="1"/>
    <col min="10763" max="10767" width="11.33203125" customWidth="1"/>
    <col min="11007" max="11007" width="13.33203125" customWidth="1"/>
    <col min="11008" max="11008" width="7.6640625" customWidth="1"/>
    <col min="11009" max="11009" width="6.109375" customWidth="1"/>
    <col min="11010" max="11010" width="56.109375" customWidth="1"/>
    <col min="11011" max="11011" width="9.33203125" customWidth="1"/>
    <col min="11012" max="11013" width="12.44140625" customWidth="1"/>
    <col min="11014" max="11014" width="10.88671875" customWidth="1"/>
    <col min="11018" max="11018" width="11.44140625" customWidth="1"/>
    <col min="11019" max="11023" width="11.33203125" customWidth="1"/>
    <col min="11263" max="11263" width="13.33203125" customWidth="1"/>
    <col min="11264" max="11264" width="7.6640625" customWidth="1"/>
    <col min="11265" max="11265" width="6.109375" customWidth="1"/>
    <col min="11266" max="11266" width="56.109375" customWidth="1"/>
    <col min="11267" max="11267" width="9.33203125" customWidth="1"/>
    <col min="11268" max="11269" width="12.44140625" customWidth="1"/>
    <col min="11270" max="11270" width="10.88671875" customWidth="1"/>
    <col min="11274" max="11274" width="11.44140625" customWidth="1"/>
    <col min="11275" max="11279" width="11.33203125" customWidth="1"/>
    <col min="11519" max="11519" width="13.33203125" customWidth="1"/>
    <col min="11520" max="11520" width="7.6640625" customWidth="1"/>
    <col min="11521" max="11521" width="6.109375" customWidth="1"/>
    <col min="11522" max="11522" width="56.109375" customWidth="1"/>
    <col min="11523" max="11523" width="9.33203125" customWidth="1"/>
    <col min="11524" max="11525" width="12.44140625" customWidth="1"/>
    <col min="11526" max="11526" width="10.88671875" customWidth="1"/>
    <col min="11530" max="11530" width="11.44140625" customWidth="1"/>
    <col min="11531" max="11535" width="11.33203125" customWidth="1"/>
    <col min="11775" max="11775" width="13.33203125" customWidth="1"/>
    <col min="11776" max="11776" width="7.6640625" customWidth="1"/>
    <col min="11777" max="11777" width="6.109375" customWidth="1"/>
    <col min="11778" max="11778" width="56.109375" customWidth="1"/>
    <col min="11779" max="11779" width="9.33203125" customWidth="1"/>
    <col min="11780" max="11781" width="12.44140625" customWidth="1"/>
    <col min="11782" max="11782" width="10.88671875" customWidth="1"/>
    <col min="11786" max="11786" width="11.44140625" customWidth="1"/>
    <col min="11787" max="11791" width="11.33203125" customWidth="1"/>
    <col min="12031" max="12031" width="13.33203125" customWidth="1"/>
    <col min="12032" max="12032" width="7.6640625" customWidth="1"/>
    <col min="12033" max="12033" width="6.109375" customWidth="1"/>
    <col min="12034" max="12034" width="56.109375" customWidth="1"/>
    <col min="12035" max="12035" width="9.33203125" customWidth="1"/>
    <col min="12036" max="12037" width="12.44140625" customWidth="1"/>
    <col min="12038" max="12038" width="10.88671875" customWidth="1"/>
    <col min="12042" max="12042" width="11.44140625" customWidth="1"/>
    <col min="12043" max="12047" width="11.33203125" customWidth="1"/>
    <col min="12287" max="12287" width="13.33203125" customWidth="1"/>
    <col min="12288" max="12288" width="7.6640625" customWidth="1"/>
    <col min="12289" max="12289" width="6.109375" customWidth="1"/>
    <col min="12290" max="12290" width="56.109375" customWidth="1"/>
    <col min="12291" max="12291" width="9.33203125" customWidth="1"/>
    <col min="12292" max="12293" width="12.44140625" customWidth="1"/>
    <col min="12294" max="12294" width="10.88671875" customWidth="1"/>
    <col min="12298" max="12298" width="11.44140625" customWidth="1"/>
    <col min="12299" max="12303" width="11.33203125" customWidth="1"/>
    <col min="12543" max="12543" width="13.33203125" customWidth="1"/>
    <col min="12544" max="12544" width="7.6640625" customWidth="1"/>
    <col min="12545" max="12545" width="6.109375" customWidth="1"/>
    <col min="12546" max="12546" width="56.109375" customWidth="1"/>
    <col min="12547" max="12547" width="9.33203125" customWidth="1"/>
    <col min="12548" max="12549" width="12.44140625" customWidth="1"/>
    <col min="12550" max="12550" width="10.88671875" customWidth="1"/>
    <col min="12554" max="12554" width="11.44140625" customWidth="1"/>
    <col min="12555" max="12559" width="11.33203125" customWidth="1"/>
    <col min="12799" max="12799" width="13.33203125" customWidth="1"/>
    <col min="12800" max="12800" width="7.6640625" customWidth="1"/>
    <col min="12801" max="12801" width="6.109375" customWidth="1"/>
    <col min="12802" max="12802" width="56.109375" customWidth="1"/>
    <col min="12803" max="12803" width="9.33203125" customWidth="1"/>
    <col min="12804" max="12805" width="12.44140625" customWidth="1"/>
    <col min="12806" max="12806" width="10.88671875" customWidth="1"/>
    <col min="12810" max="12810" width="11.44140625" customWidth="1"/>
    <col min="12811" max="12815" width="11.33203125" customWidth="1"/>
    <col min="13055" max="13055" width="13.33203125" customWidth="1"/>
    <col min="13056" max="13056" width="7.6640625" customWidth="1"/>
    <col min="13057" max="13057" width="6.109375" customWidth="1"/>
    <col min="13058" max="13058" width="56.109375" customWidth="1"/>
    <col min="13059" max="13059" width="9.33203125" customWidth="1"/>
    <col min="13060" max="13061" width="12.44140625" customWidth="1"/>
    <col min="13062" max="13062" width="10.88671875" customWidth="1"/>
    <col min="13066" max="13066" width="11.44140625" customWidth="1"/>
    <col min="13067" max="13071" width="11.33203125" customWidth="1"/>
    <col min="13311" max="13311" width="13.33203125" customWidth="1"/>
    <col min="13312" max="13312" width="7.6640625" customWidth="1"/>
    <col min="13313" max="13313" width="6.109375" customWidth="1"/>
    <col min="13314" max="13314" width="56.109375" customWidth="1"/>
    <col min="13315" max="13315" width="9.33203125" customWidth="1"/>
    <col min="13316" max="13317" width="12.44140625" customWidth="1"/>
    <col min="13318" max="13318" width="10.88671875" customWidth="1"/>
    <col min="13322" max="13322" width="11.44140625" customWidth="1"/>
    <col min="13323" max="13327" width="11.33203125" customWidth="1"/>
    <col min="13567" max="13567" width="13.33203125" customWidth="1"/>
    <col min="13568" max="13568" width="7.6640625" customWidth="1"/>
    <col min="13569" max="13569" width="6.109375" customWidth="1"/>
    <col min="13570" max="13570" width="56.109375" customWidth="1"/>
    <col min="13571" max="13571" width="9.33203125" customWidth="1"/>
    <col min="13572" max="13573" width="12.44140625" customWidth="1"/>
    <col min="13574" max="13574" width="10.88671875" customWidth="1"/>
    <col min="13578" max="13578" width="11.44140625" customWidth="1"/>
    <col min="13579" max="13583" width="11.33203125" customWidth="1"/>
    <col min="13823" max="13823" width="13.33203125" customWidth="1"/>
    <col min="13824" max="13824" width="7.6640625" customWidth="1"/>
    <col min="13825" max="13825" width="6.109375" customWidth="1"/>
    <col min="13826" max="13826" width="56.109375" customWidth="1"/>
    <col min="13827" max="13827" width="9.33203125" customWidth="1"/>
    <col min="13828" max="13829" width="12.44140625" customWidth="1"/>
    <col min="13830" max="13830" width="10.88671875" customWidth="1"/>
    <col min="13834" max="13834" width="11.44140625" customWidth="1"/>
    <col min="13835" max="13839" width="11.33203125" customWidth="1"/>
    <col min="14079" max="14079" width="13.33203125" customWidth="1"/>
    <col min="14080" max="14080" width="7.6640625" customWidth="1"/>
    <col min="14081" max="14081" width="6.109375" customWidth="1"/>
    <col min="14082" max="14082" width="56.109375" customWidth="1"/>
    <col min="14083" max="14083" width="9.33203125" customWidth="1"/>
    <col min="14084" max="14085" width="12.44140625" customWidth="1"/>
    <col min="14086" max="14086" width="10.88671875" customWidth="1"/>
    <col min="14090" max="14090" width="11.44140625" customWidth="1"/>
    <col min="14091" max="14095" width="11.33203125" customWidth="1"/>
    <col min="14335" max="14335" width="13.33203125" customWidth="1"/>
    <col min="14336" max="14336" width="7.6640625" customWidth="1"/>
    <col min="14337" max="14337" width="6.109375" customWidth="1"/>
    <col min="14338" max="14338" width="56.109375" customWidth="1"/>
    <col min="14339" max="14339" width="9.33203125" customWidth="1"/>
    <col min="14340" max="14341" width="12.44140625" customWidth="1"/>
    <col min="14342" max="14342" width="10.88671875" customWidth="1"/>
    <col min="14346" max="14346" width="11.44140625" customWidth="1"/>
    <col min="14347" max="14351" width="11.33203125" customWidth="1"/>
    <col min="14591" max="14591" width="13.33203125" customWidth="1"/>
    <col min="14592" max="14592" width="7.6640625" customWidth="1"/>
    <col min="14593" max="14593" width="6.109375" customWidth="1"/>
    <col min="14594" max="14594" width="56.109375" customWidth="1"/>
    <col min="14595" max="14595" width="9.33203125" customWidth="1"/>
    <col min="14596" max="14597" width="12.44140625" customWidth="1"/>
    <col min="14598" max="14598" width="10.88671875" customWidth="1"/>
    <col min="14602" max="14602" width="11.44140625" customWidth="1"/>
    <col min="14603" max="14607" width="11.33203125" customWidth="1"/>
    <col min="14847" max="14847" width="13.33203125" customWidth="1"/>
    <col min="14848" max="14848" width="7.6640625" customWidth="1"/>
    <col min="14849" max="14849" width="6.109375" customWidth="1"/>
    <col min="14850" max="14850" width="56.109375" customWidth="1"/>
    <col min="14851" max="14851" width="9.33203125" customWidth="1"/>
    <col min="14852" max="14853" width="12.44140625" customWidth="1"/>
    <col min="14854" max="14854" width="10.88671875" customWidth="1"/>
    <col min="14858" max="14858" width="11.44140625" customWidth="1"/>
    <col min="14859" max="14863" width="11.33203125" customWidth="1"/>
    <col min="15103" max="15103" width="13.33203125" customWidth="1"/>
    <col min="15104" max="15104" width="7.6640625" customWidth="1"/>
    <col min="15105" max="15105" width="6.109375" customWidth="1"/>
    <col min="15106" max="15106" width="56.109375" customWidth="1"/>
    <col min="15107" max="15107" width="9.33203125" customWidth="1"/>
    <col min="15108" max="15109" width="12.44140625" customWidth="1"/>
    <col min="15110" max="15110" width="10.88671875" customWidth="1"/>
    <col min="15114" max="15114" width="11.44140625" customWidth="1"/>
    <col min="15115" max="15119" width="11.33203125" customWidth="1"/>
    <col min="15359" max="15359" width="13.33203125" customWidth="1"/>
    <col min="15360" max="15360" width="7.6640625" customWidth="1"/>
    <col min="15361" max="15361" width="6.109375" customWidth="1"/>
    <col min="15362" max="15362" width="56.109375" customWidth="1"/>
    <col min="15363" max="15363" width="9.33203125" customWidth="1"/>
    <col min="15364" max="15365" width="12.44140625" customWidth="1"/>
    <col min="15366" max="15366" width="10.88671875" customWidth="1"/>
    <col min="15370" max="15370" width="11.44140625" customWidth="1"/>
    <col min="15371" max="15375" width="11.33203125" customWidth="1"/>
    <col min="15615" max="15615" width="13.33203125" customWidth="1"/>
    <col min="15616" max="15616" width="7.6640625" customWidth="1"/>
    <col min="15617" max="15617" width="6.109375" customWidth="1"/>
    <col min="15618" max="15618" width="56.109375" customWidth="1"/>
    <col min="15619" max="15619" width="9.33203125" customWidth="1"/>
    <col min="15620" max="15621" width="12.44140625" customWidth="1"/>
    <col min="15622" max="15622" width="10.88671875" customWidth="1"/>
    <col min="15626" max="15626" width="11.44140625" customWidth="1"/>
    <col min="15627" max="15631" width="11.33203125" customWidth="1"/>
    <col min="15871" max="15871" width="13.33203125" customWidth="1"/>
    <col min="15872" max="15872" width="7.6640625" customWidth="1"/>
    <col min="15873" max="15873" width="6.109375" customWidth="1"/>
    <col min="15874" max="15874" width="56.109375" customWidth="1"/>
    <col min="15875" max="15875" width="9.33203125" customWidth="1"/>
    <col min="15876" max="15877" width="12.44140625" customWidth="1"/>
    <col min="15878" max="15878" width="10.88671875" customWidth="1"/>
    <col min="15882" max="15882" width="11.44140625" customWidth="1"/>
    <col min="15883" max="15887" width="11.33203125" customWidth="1"/>
    <col min="16127" max="16127" width="13.33203125" customWidth="1"/>
    <col min="16128" max="16128" width="7.6640625" customWidth="1"/>
    <col min="16129" max="16129" width="6.109375" customWidth="1"/>
    <col min="16130" max="16130" width="56.109375" customWidth="1"/>
    <col min="16131" max="16131" width="9.33203125" customWidth="1"/>
    <col min="16132" max="16133" width="12.44140625" customWidth="1"/>
    <col min="16134" max="16134" width="10.88671875" customWidth="1"/>
    <col min="16138" max="16138" width="11.44140625" customWidth="1"/>
    <col min="16139" max="16143" width="11.33203125" customWidth="1"/>
  </cols>
  <sheetData>
    <row r="1" spans="1:16" s="282" customFormat="1" ht="15" customHeight="1" x14ac:dyDescent="0.3">
      <c r="A1" s="285"/>
      <c r="B1" s="286" t="str">
        <f>INSTRUÇÕES!B1</f>
        <v>Tribunal Regional Federal da 6ª Região</v>
      </c>
      <c r="C1" s="287"/>
      <c r="D1" s="288"/>
      <c r="E1" s="289"/>
      <c r="F1" s="290"/>
      <c r="G1" s="291"/>
      <c r="H1" s="292"/>
      <c r="J1" s="665" t="s">
        <v>326</v>
      </c>
      <c r="K1" s="665"/>
      <c r="L1" s="665"/>
      <c r="M1" s="665"/>
      <c r="N1" s="665"/>
      <c r="O1" s="665"/>
    </row>
    <row r="2" spans="1:16" s="282" customFormat="1" ht="13.5" customHeight="1" x14ac:dyDescent="0.3">
      <c r="A2" s="293"/>
      <c r="B2" s="294" t="str">
        <f>INSTRUÇÕES!B2</f>
        <v>Seção Judiciária de Minas Gerais</v>
      </c>
      <c r="C2" s="295"/>
      <c r="D2" s="296"/>
      <c r="E2" s="280"/>
      <c r="F2" s="281"/>
      <c r="G2" s="283"/>
      <c r="H2" s="297"/>
      <c r="J2" s="665"/>
      <c r="K2" s="665"/>
      <c r="L2" s="665"/>
      <c r="M2" s="665"/>
      <c r="N2" s="665"/>
      <c r="O2" s="665"/>
    </row>
    <row r="3" spans="1:16" s="304" customFormat="1" ht="17.25" customHeight="1" x14ac:dyDescent="0.3">
      <c r="A3" s="293"/>
      <c r="B3" s="298" t="str">
        <f>INSTRUÇÕES!B3</f>
        <v>Subseção Judiciária de Manhuaçu</v>
      </c>
      <c r="C3" s="299"/>
      <c r="D3" s="300"/>
      <c r="E3" s="279"/>
      <c r="F3" s="301"/>
      <c r="G3" s="302"/>
      <c r="H3" s="303"/>
      <c r="J3" s="665"/>
      <c r="K3" s="665"/>
      <c r="L3" s="665"/>
      <c r="M3" s="665"/>
      <c r="N3" s="665"/>
      <c r="O3" s="665"/>
    </row>
    <row r="4" spans="1:16" s="212" customFormat="1" ht="24.75" customHeight="1" x14ac:dyDescent="0.3">
      <c r="A4" s="662" t="s">
        <v>400</v>
      </c>
      <c r="B4" s="662"/>
      <c r="C4" s="662"/>
      <c r="D4" s="662"/>
      <c r="E4" s="662"/>
      <c r="F4" s="662"/>
      <c r="G4" s="662"/>
      <c r="H4" s="662"/>
      <c r="J4" s="665"/>
      <c r="K4" s="665"/>
      <c r="L4" s="665"/>
      <c r="M4" s="665"/>
      <c r="N4" s="665"/>
      <c r="O4" s="665"/>
    </row>
    <row r="5" spans="1:16" s="282" customFormat="1" ht="27" customHeight="1" x14ac:dyDescent="0.3">
      <c r="A5" s="663" t="s">
        <v>308</v>
      </c>
      <c r="B5" s="663"/>
      <c r="C5" s="663"/>
      <c r="D5" s="663"/>
      <c r="E5" s="663"/>
      <c r="F5" s="663"/>
      <c r="G5" s="663"/>
      <c r="H5" s="663"/>
      <c r="J5" s="666" t="s">
        <v>331</v>
      </c>
      <c r="K5" s="601" t="s">
        <v>226</v>
      </c>
      <c r="L5" s="601" t="s">
        <v>227</v>
      </c>
      <c r="M5" s="601" t="s">
        <v>228</v>
      </c>
      <c r="N5" s="601" t="s">
        <v>229</v>
      </c>
      <c r="O5" s="601" t="s">
        <v>230</v>
      </c>
    </row>
    <row r="6" spans="1:16" s="282" customFormat="1" ht="15.75" customHeight="1" x14ac:dyDescent="0.3">
      <c r="A6" s="667" t="s">
        <v>401</v>
      </c>
      <c r="B6" s="667"/>
      <c r="C6" s="667"/>
      <c r="D6" s="667"/>
      <c r="E6" s="667"/>
      <c r="F6" s="667"/>
      <c r="G6" s="667"/>
      <c r="H6" s="667"/>
      <c r="J6" s="666"/>
      <c r="K6" s="601"/>
      <c r="L6" s="601"/>
      <c r="M6" s="601"/>
      <c r="N6" s="601"/>
      <c r="O6" s="601"/>
    </row>
    <row r="7" spans="1:16" s="282" customFormat="1" ht="15.75" customHeight="1" x14ac:dyDescent="0.3">
      <c r="A7" s="305"/>
      <c r="B7" s="306"/>
      <c r="C7" s="307"/>
      <c r="D7" s="306"/>
      <c r="E7" s="308"/>
      <c r="F7" s="307"/>
      <c r="G7" s="309"/>
      <c r="H7" s="310"/>
      <c r="J7" s="666"/>
      <c r="K7" s="601"/>
      <c r="L7" s="601"/>
      <c r="M7" s="601"/>
      <c r="N7" s="601"/>
      <c r="O7" s="601"/>
    </row>
    <row r="8" spans="1:16" s="103" customFormat="1" ht="27.6" x14ac:dyDescent="0.3">
      <c r="A8" s="311" t="s">
        <v>402</v>
      </c>
      <c r="B8" s="312" t="s">
        <v>220</v>
      </c>
      <c r="C8" s="313" t="s">
        <v>403</v>
      </c>
      <c r="D8" s="312" t="s">
        <v>404</v>
      </c>
      <c r="E8" s="312" t="s">
        <v>405</v>
      </c>
      <c r="F8" s="314" t="s">
        <v>406</v>
      </c>
      <c r="G8" s="315" t="s">
        <v>385</v>
      </c>
      <c r="H8" s="316" t="s">
        <v>168</v>
      </c>
      <c r="J8" s="666"/>
      <c r="K8" s="601"/>
      <c r="L8" s="601"/>
      <c r="M8" s="601"/>
      <c r="N8" s="601"/>
      <c r="O8" s="601"/>
      <c r="P8" s="317"/>
    </row>
    <row r="9" spans="1:16" s="304" customFormat="1" ht="38.25" customHeight="1" x14ac:dyDescent="0.3">
      <c r="A9" s="672" t="s">
        <v>407</v>
      </c>
      <c r="B9" s="318" t="s">
        <v>408</v>
      </c>
      <c r="C9" s="319">
        <v>2</v>
      </c>
      <c r="D9" s="320" t="s">
        <v>409</v>
      </c>
      <c r="E9" s="321" t="s">
        <v>410</v>
      </c>
      <c r="F9" s="322">
        <f>C9*$A$12</f>
        <v>4</v>
      </c>
      <c r="G9" s="535">
        <v>60</v>
      </c>
      <c r="H9" s="323">
        <f>ROUND(F9*G9,2)</f>
        <v>240</v>
      </c>
      <c r="J9" s="324">
        <v>25.8</v>
      </c>
      <c r="K9" s="36" t="e">
        <f>ROUND(IF(Dados!#REF!="SIM",J9*Dados!#REF!,J9),2)</f>
        <v>#REF!</v>
      </c>
      <c r="L9" s="36" t="e">
        <f>ROUND(IF(Dados!#REF!="SIM",K9*Dados!#REF!,K9),2)</f>
        <v>#REF!</v>
      </c>
      <c r="M9" s="36" t="e">
        <f>ROUND(IF(Dados!#REF!="SIM",L9*Dados!#REF!,L9),2)</f>
        <v>#REF!</v>
      </c>
      <c r="N9" s="36" t="e">
        <f>ROUND(IF(Dados!#REF!="SIM",M9*Dados!#REF!,M9),2)</f>
        <v>#REF!</v>
      </c>
      <c r="O9" s="36" t="e">
        <f>ROUND(IF(Dados!#REF!="SIM",N9*Dados!#REF!,N9),2)</f>
        <v>#REF!</v>
      </c>
    </row>
    <row r="10" spans="1:16" s="304" customFormat="1" ht="27.6" x14ac:dyDescent="0.3">
      <c r="A10" s="672"/>
      <c r="B10" s="318" t="s">
        <v>411</v>
      </c>
      <c r="C10" s="319">
        <v>3</v>
      </c>
      <c r="D10" s="320" t="s">
        <v>412</v>
      </c>
      <c r="E10" s="325" t="s">
        <v>413</v>
      </c>
      <c r="F10" s="322">
        <f>C10*$A$12</f>
        <v>6</v>
      </c>
      <c r="G10" s="535">
        <v>35</v>
      </c>
      <c r="H10" s="323">
        <f>ROUND(F10*G10,2)</f>
        <v>210</v>
      </c>
      <c r="J10" s="324">
        <v>19.989999999999998</v>
      </c>
      <c r="K10" s="36" t="e">
        <f>ROUND(IF(Dados!#REF!="SIM",J10*Dados!#REF!,J10),2)</f>
        <v>#REF!</v>
      </c>
      <c r="L10" s="36" t="e">
        <f>ROUND(IF(Dados!#REF!="SIM",K10*Dados!#REF!,K10),2)</f>
        <v>#REF!</v>
      </c>
      <c r="M10" s="36" t="e">
        <f>ROUND(IF(Dados!#REF!="SIM",L10*Dados!#REF!,L10),2)</f>
        <v>#REF!</v>
      </c>
      <c r="N10" s="36" t="e">
        <f>ROUND(IF(Dados!#REF!="SIM",M10*Dados!#REF!,M10),2)</f>
        <v>#REF!</v>
      </c>
      <c r="O10" s="36" t="e">
        <f>ROUND(IF(Dados!#REF!="SIM",N10*Dados!#REF!,N10),2)</f>
        <v>#REF!</v>
      </c>
    </row>
    <row r="11" spans="1:16" s="304" customFormat="1" ht="27.6" x14ac:dyDescent="0.3">
      <c r="A11" s="326" t="s">
        <v>414</v>
      </c>
      <c r="B11" s="327" t="s">
        <v>415</v>
      </c>
      <c r="C11" s="319">
        <v>1</v>
      </c>
      <c r="D11" s="320" t="s">
        <v>416</v>
      </c>
      <c r="E11" s="325" t="s">
        <v>417</v>
      </c>
      <c r="F11" s="322">
        <f>C11*$A$12</f>
        <v>2</v>
      </c>
      <c r="G11" s="535">
        <v>55.56</v>
      </c>
      <c r="H11" s="323">
        <f>ROUND(F11*G11,2)</f>
        <v>111.12</v>
      </c>
      <c r="J11" s="324">
        <v>39.9</v>
      </c>
      <c r="K11" s="36" t="e">
        <f>ROUND(IF(Dados!#REF!="SIM",J11*Dados!#REF!,J11),2)</f>
        <v>#REF!</v>
      </c>
      <c r="L11" s="36" t="e">
        <f>ROUND(IF(Dados!#REF!="SIM",K11*Dados!#REF!,K11),2)</f>
        <v>#REF!</v>
      </c>
      <c r="M11" s="36" t="e">
        <f>ROUND(IF(Dados!#REF!="SIM",L11*Dados!#REF!,L11),2)</f>
        <v>#REF!</v>
      </c>
      <c r="N11" s="36" t="e">
        <f>ROUND(IF(Dados!#REF!="SIM",M11*Dados!#REF!,M11),2)</f>
        <v>#REF!</v>
      </c>
      <c r="O11" s="36" t="e">
        <f>ROUND(IF(Dados!#REF!="SIM",N11*Dados!#REF!,N11),2)</f>
        <v>#REF!</v>
      </c>
    </row>
    <row r="12" spans="1:16" s="304" customFormat="1" ht="23.25" customHeight="1" x14ac:dyDescent="0.3">
      <c r="A12" s="328">
        <f>Dados!B7+Dados!B8</f>
        <v>2</v>
      </c>
      <c r="B12" s="318" t="s">
        <v>418</v>
      </c>
      <c r="C12" s="319">
        <v>1</v>
      </c>
      <c r="D12" s="320" t="s">
        <v>419</v>
      </c>
      <c r="E12" s="325" t="s">
        <v>417</v>
      </c>
      <c r="F12" s="322">
        <f>C12*$A$12</f>
        <v>2</v>
      </c>
      <c r="G12" s="535">
        <v>29.9</v>
      </c>
      <c r="H12" s="323">
        <f>ROUND(F12*G12,2)</f>
        <v>59.8</v>
      </c>
      <c r="J12" s="324">
        <v>45</v>
      </c>
      <c r="K12" s="36" t="e">
        <f>ROUND(IF(Dados!#REF!="SIM",J12*Dados!#REF!,J12),2)</f>
        <v>#REF!</v>
      </c>
      <c r="L12" s="36" t="e">
        <f>ROUND(IF(Dados!#REF!="SIM",K12*Dados!#REF!,K12),2)</f>
        <v>#REF!</v>
      </c>
      <c r="M12" s="36" t="e">
        <f>ROUND(IF(Dados!#REF!="SIM",L12*Dados!#REF!,L12),2)</f>
        <v>#REF!</v>
      </c>
      <c r="N12" s="36" t="e">
        <f>ROUND(IF(Dados!#REF!="SIM",M12*Dados!#REF!,M12),2)</f>
        <v>#REF!</v>
      </c>
      <c r="O12" s="36" t="e">
        <f>ROUND(IF(Dados!#REF!="SIM",N12*Dados!#REF!,N12),2)</f>
        <v>#REF!</v>
      </c>
    </row>
    <row r="13" spans="1:16" s="304" customFormat="1" ht="14.4" x14ac:dyDescent="0.3">
      <c r="A13" s="673" t="s">
        <v>420</v>
      </c>
      <c r="B13" s="673"/>
      <c r="C13" s="673"/>
      <c r="D13" s="673"/>
      <c r="E13" s="673"/>
      <c r="F13" s="673"/>
      <c r="G13" s="673"/>
      <c r="H13" s="329">
        <f>SUM(H9:H12)</f>
        <v>620.91999999999996</v>
      </c>
      <c r="J13" s="279"/>
      <c r="K13" s="279"/>
      <c r="L13" s="279"/>
      <c r="M13" s="279"/>
      <c r="N13" s="279"/>
      <c r="O13" s="279"/>
    </row>
    <row r="14" spans="1:16" s="304" customFormat="1" ht="15.6" x14ac:dyDescent="0.3">
      <c r="A14" s="671" t="s">
        <v>421</v>
      </c>
      <c r="B14" s="671"/>
      <c r="C14" s="671"/>
      <c r="D14" s="671"/>
      <c r="E14" s="671"/>
      <c r="F14" s="671"/>
      <c r="G14" s="330"/>
      <c r="H14" s="331">
        <f>ROUND(H13/$A$12/12,2)</f>
        <v>25.87</v>
      </c>
      <c r="J14" s="279"/>
      <c r="K14" s="279"/>
      <c r="L14" s="279"/>
      <c r="M14" s="279"/>
      <c r="N14" s="279"/>
      <c r="O14" s="279"/>
    </row>
    <row r="15" spans="1:16" s="304" customFormat="1" ht="11.25" customHeight="1" x14ac:dyDescent="0.3">
      <c r="A15" s="332"/>
      <c r="B15" s="333"/>
      <c r="C15" s="334"/>
      <c r="D15" s="335"/>
      <c r="E15" s="336"/>
      <c r="F15" s="334"/>
      <c r="G15" s="337"/>
      <c r="H15" s="338"/>
      <c r="J15" s="279"/>
      <c r="K15" s="279"/>
      <c r="L15" s="279"/>
      <c r="M15" s="279"/>
      <c r="N15" s="279"/>
      <c r="O15" s="279"/>
    </row>
    <row r="16" spans="1:16" s="339" customFormat="1" ht="26.25" customHeight="1" x14ac:dyDescent="0.3">
      <c r="A16" s="311" t="s">
        <v>402</v>
      </c>
      <c r="B16" s="312" t="s">
        <v>220</v>
      </c>
      <c r="C16" s="313" t="s">
        <v>403</v>
      </c>
      <c r="D16" s="312" t="s">
        <v>404</v>
      </c>
      <c r="E16" s="312" t="s">
        <v>405</v>
      </c>
      <c r="F16" s="314" t="s">
        <v>406</v>
      </c>
      <c r="G16" s="315" t="s">
        <v>385</v>
      </c>
      <c r="H16" s="316" t="s">
        <v>168</v>
      </c>
      <c r="J16" s="340" t="s">
        <v>331</v>
      </c>
      <c r="K16" s="341" t="s">
        <v>226</v>
      </c>
      <c r="L16" s="341" t="s">
        <v>227</v>
      </c>
      <c r="M16" s="341" t="s">
        <v>228</v>
      </c>
      <c r="N16" s="341" t="s">
        <v>229</v>
      </c>
      <c r="O16" s="341" t="s">
        <v>230</v>
      </c>
    </row>
    <row r="17" spans="1:16" s="304" customFormat="1" ht="55.2" x14ac:dyDescent="0.3">
      <c r="A17" s="342" t="s">
        <v>422</v>
      </c>
      <c r="B17" s="318" t="s">
        <v>423</v>
      </c>
      <c r="C17" s="319">
        <v>1</v>
      </c>
      <c r="D17" s="320" t="s">
        <v>424</v>
      </c>
      <c r="E17" s="321" t="s">
        <v>425</v>
      </c>
      <c r="F17" s="322">
        <f>C17*$A$18</f>
        <v>1</v>
      </c>
      <c r="G17" s="535">
        <v>11.96</v>
      </c>
      <c r="H17" s="323">
        <f>ROUND(F17*G17,2)</f>
        <v>11.96</v>
      </c>
      <c r="J17" s="324">
        <v>12.4</v>
      </c>
      <c r="K17" s="36" t="e">
        <f>ROUND(IF(Dados!#REF!="SIM",J17*Dados!#REF!,J17),2)</f>
        <v>#REF!</v>
      </c>
      <c r="L17" s="36" t="e">
        <f>ROUND(IF(Dados!#REF!="SIM",K17*Dados!#REF!,K17),2)</f>
        <v>#REF!</v>
      </c>
      <c r="M17" s="36" t="e">
        <f>ROUND(IF(Dados!#REF!="SIM",L17*Dados!#REF!,L17),2)</f>
        <v>#REF!</v>
      </c>
      <c r="N17" s="36" t="e">
        <f>ROUND(IF(Dados!#REF!="SIM",M17*Dados!#REF!,M17),2)</f>
        <v>#REF!</v>
      </c>
      <c r="O17" s="36" t="e">
        <f>ROUND(IF(Dados!#REF!="SIM",N17*Dados!#REF!,N17),2)</f>
        <v>#REF!</v>
      </c>
    </row>
    <row r="18" spans="1:16" s="304" customFormat="1" ht="23.4" x14ac:dyDescent="0.3">
      <c r="A18" s="343">
        <f>Dados!B7</f>
        <v>1</v>
      </c>
      <c r="B18" s="344" t="s">
        <v>426</v>
      </c>
      <c r="C18" s="345">
        <v>2</v>
      </c>
      <c r="D18" s="320" t="s">
        <v>427</v>
      </c>
      <c r="E18" s="321" t="s">
        <v>410</v>
      </c>
      <c r="F18" s="322">
        <f>C18*$A$18</f>
        <v>2</v>
      </c>
      <c r="G18" s="535">
        <v>20.65</v>
      </c>
      <c r="H18" s="323">
        <f>ROUND(F18*G18,2)</f>
        <v>41.3</v>
      </c>
      <c r="J18" s="324">
        <v>5.5</v>
      </c>
      <c r="K18" s="36" t="e">
        <f>ROUND(IF(Dados!#REF!="SIM",J18*Dados!#REF!,J18),2)</f>
        <v>#REF!</v>
      </c>
      <c r="L18" s="36" t="e">
        <f>ROUND(IF(Dados!#REF!="SIM",K18*Dados!#REF!,K18),2)</f>
        <v>#REF!</v>
      </c>
      <c r="M18" s="36" t="e">
        <f>ROUND(IF(Dados!#REF!="SIM",L18*Dados!#REF!,L18),2)</f>
        <v>#REF!</v>
      </c>
      <c r="N18" s="36" t="e">
        <f>ROUND(IF(Dados!#REF!="SIM",M18*Dados!#REF!,M18),2)</f>
        <v>#REF!</v>
      </c>
      <c r="O18" s="36" t="e">
        <f>ROUND(IF(Dados!#REF!="SIM",N18*Dados!#REF!,N18),2)</f>
        <v>#REF!</v>
      </c>
    </row>
    <row r="19" spans="1:16" s="304" customFormat="1" ht="20.25" customHeight="1" x14ac:dyDescent="0.3">
      <c r="A19" s="674" t="s">
        <v>420</v>
      </c>
      <c r="B19" s="674"/>
      <c r="C19" s="674"/>
      <c r="D19" s="674"/>
      <c r="E19" s="674"/>
      <c r="F19" s="674"/>
      <c r="G19" s="674"/>
      <c r="H19" s="346">
        <f>SUM(H17:H18)</f>
        <v>53.26</v>
      </c>
      <c r="J19" s="279"/>
      <c r="K19" s="279"/>
      <c r="L19" s="279"/>
      <c r="M19" s="279"/>
      <c r="N19" s="279"/>
      <c r="O19" s="279"/>
    </row>
    <row r="20" spans="1:16" s="304" customFormat="1" ht="15.6" x14ac:dyDescent="0.3">
      <c r="A20" s="671" t="s">
        <v>428</v>
      </c>
      <c r="B20" s="671"/>
      <c r="C20" s="671"/>
      <c r="D20" s="671"/>
      <c r="E20" s="671"/>
      <c r="F20" s="671"/>
      <c r="G20" s="330"/>
      <c r="H20" s="331">
        <f>ROUND(H19/A18/12,2)</f>
        <v>4.4400000000000004</v>
      </c>
      <c r="J20" s="279"/>
      <c r="K20" s="279"/>
      <c r="L20" s="279"/>
      <c r="M20" s="279"/>
      <c r="N20" s="279"/>
      <c r="O20" s="279"/>
    </row>
    <row r="21" spans="1:16" s="304" customFormat="1" ht="24.75" customHeight="1" x14ac:dyDescent="0.3">
      <c r="A21" s="668"/>
      <c r="B21" s="668"/>
      <c r="C21" s="668"/>
      <c r="D21" s="668"/>
      <c r="E21" s="668"/>
      <c r="F21" s="668"/>
      <c r="G21" s="668"/>
      <c r="H21" s="668"/>
      <c r="J21" s="279"/>
      <c r="K21" s="279"/>
      <c r="L21" s="279"/>
      <c r="M21" s="279"/>
      <c r="N21" s="279"/>
      <c r="O21" s="279"/>
    </row>
    <row r="22" spans="1:16" s="348" customFormat="1" ht="25.5" customHeight="1" x14ac:dyDescent="0.3">
      <c r="A22" s="311" t="s">
        <v>402</v>
      </c>
      <c r="B22" s="312" t="s">
        <v>220</v>
      </c>
      <c r="C22" s="313" t="s">
        <v>403</v>
      </c>
      <c r="D22" s="312" t="s">
        <v>404</v>
      </c>
      <c r="E22" s="312" t="s">
        <v>405</v>
      </c>
      <c r="F22" s="314" t="s">
        <v>406</v>
      </c>
      <c r="G22" s="347" t="s">
        <v>385</v>
      </c>
      <c r="H22" s="316" t="s">
        <v>168</v>
      </c>
      <c r="J22" s="340" t="s">
        <v>331</v>
      </c>
      <c r="K22" s="341" t="s">
        <v>226</v>
      </c>
      <c r="L22" s="341" t="s">
        <v>227</v>
      </c>
      <c r="M22" s="341" t="s">
        <v>228</v>
      </c>
      <c r="N22" s="341" t="s">
        <v>229</v>
      </c>
      <c r="O22" s="341" t="s">
        <v>230</v>
      </c>
    </row>
    <row r="23" spans="1:16" ht="59.7" customHeight="1" x14ac:dyDescent="0.3">
      <c r="A23" s="669" t="s">
        <v>429</v>
      </c>
      <c r="B23" s="318" t="s">
        <v>408</v>
      </c>
      <c r="C23" s="319">
        <v>2</v>
      </c>
      <c r="D23" s="349" t="s">
        <v>430</v>
      </c>
      <c r="E23" s="350" t="s">
        <v>410</v>
      </c>
      <c r="F23" s="322">
        <f>C23*$A$26</f>
        <v>2</v>
      </c>
      <c r="G23" s="535">
        <v>90</v>
      </c>
      <c r="H23" s="323">
        <f>ROUND(F23*G23,2)</f>
        <v>180</v>
      </c>
      <c r="J23" s="324">
        <v>39.9</v>
      </c>
      <c r="K23" s="36" t="e">
        <f>ROUND(IF(Dados!#REF!="SIM",J23*Dados!#REF!,J23),2)</f>
        <v>#REF!</v>
      </c>
      <c r="L23" s="36" t="e">
        <f>ROUND(IF(Dados!#REF!="SIM",K23*Dados!#REF!,K23),2)</f>
        <v>#REF!</v>
      </c>
      <c r="M23" s="36" t="e">
        <f>ROUND(IF(Dados!#REF!="SIM",L23*Dados!#REF!,L23),2)</f>
        <v>#REF!</v>
      </c>
      <c r="N23" s="36" t="e">
        <f>ROUND(IF(Dados!#REF!="SIM",M23*Dados!#REF!,M23),2)</f>
        <v>#REF!</v>
      </c>
      <c r="O23" s="36" t="e">
        <f>ROUND(IF(Dados!#REF!="SIM",N23*Dados!#REF!,N23),2)</f>
        <v>#REF!</v>
      </c>
    </row>
    <row r="24" spans="1:16" ht="151.80000000000001" x14ac:dyDescent="0.3">
      <c r="A24" s="669"/>
      <c r="B24" s="318" t="s">
        <v>411</v>
      </c>
      <c r="C24" s="319">
        <v>3</v>
      </c>
      <c r="D24" s="351" t="s">
        <v>431</v>
      </c>
      <c r="E24" s="325" t="s">
        <v>432</v>
      </c>
      <c r="F24" s="322">
        <f>C24*$A$26</f>
        <v>3</v>
      </c>
      <c r="G24" s="535">
        <v>57</v>
      </c>
      <c r="H24" s="323">
        <f>ROUND(F24*G24,2)</f>
        <v>171</v>
      </c>
      <c r="J24" s="324">
        <v>19.989999999999998</v>
      </c>
      <c r="K24" s="36" t="e">
        <f>ROUND(IF(Dados!#REF!="SIM",J24*Dados!#REF!,J24),2)</f>
        <v>#REF!</v>
      </c>
      <c r="L24" s="36" t="e">
        <f>ROUND(IF(Dados!#REF!="SIM",K24*Dados!#REF!,K24),2)</f>
        <v>#REF!</v>
      </c>
      <c r="M24" s="36" t="e">
        <f>ROUND(IF(Dados!#REF!="SIM",L24*Dados!#REF!,L24),2)</f>
        <v>#REF!</v>
      </c>
      <c r="N24" s="36" t="e">
        <f>ROUND(IF(Dados!#REF!="SIM",M24*Dados!#REF!,M24),2)</f>
        <v>#REF!</v>
      </c>
      <c r="O24" s="36" t="e">
        <f>ROUND(IF(Dados!#REF!="SIM",N24*Dados!#REF!,N24),2)</f>
        <v>#REF!</v>
      </c>
    </row>
    <row r="25" spans="1:16" ht="55.2" x14ac:dyDescent="0.3">
      <c r="A25" s="326" t="s">
        <v>414</v>
      </c>
      <c r="B25" s="318" t="s">
        <v>433</v>
      </c>
      <c r="C25" s="319">
        <v>1</v>
      </c>
      <c r="D25" s="351" t="s">
        <v>434</v>
      </c>
      <c r="E25" s="325" t="s">
        <v>435</v>
      </c>
      <c r="F25" s="322">
        <f>C25*$A$26</f>
        <v>1</v>
      </c>
      <c r="G25" s="535">
        <v>60</v>
      </c>
      <c r="H25" s="323">
        <f>ROUND(F25*G25,2)</f>
        <v>60</v>
      </c>
      <c r="J25" s="324"/>
      <c r="K25" s="36"/>
      <c r="L25" s="36"/>
      <c r="M25" s="36"/>
      <c r="N25" s="36"/>
      <c r="O25" s="36"/>
    </row>
    <row r="26" spans="1:16" ht="23.4" x14ac:dyDescent="0.3">
      <c r="A26" s="352">
        <f>Dados!B9</f>
        <v>1</v>
      </c>
      <c r="B26" s="318" t="s">
        <v>415</v>
      </c>
      <c r="C26" s="319">
        <v>1</v>
      </c>
      <c r="D26" s="351" t="s">
        <v>436</v>
      </c>
      <c r="E26" s="353" t="s">
        <v>417</v>
      </c>
      <c r="F26" s="322">
        <f>C26*$A$26</f>
        <v>1</v>
      </c>
      <c r="G26" s="535">
        <v>99.9</v>
      </c>
      <c r="H26" s="323">
        <f>ROUND(F26*G26,2)</f>
        <v>99.9</v>
      </c>
      <c r="J26" s="324">
        <v>35.5</v>
      </c>
      <c r="K26" s="36" t="e">
        <f>ROUND(IF(Dados!#REF!="SIM",J26*Dados!#REF!,J26),2)</f>
        <v>#REF!</v>
      </c>
      <c r="L26" s="36" t="e">
        <f>ROUND(IF(Dados!#REF!="SIM",K26*Dados!#REF!,K26),2)</f>
        <v>#REF!</v>
      </c>
      <c r="M26" s="36" t="e">
        <f>ROUND(IF(Dados!#REF!="SIM",L26*Dados!#REF!,L26),2)</f>
        <v>#REF!</v>
      </c>
      <c r="N26" s="36" t="e">
        <f>ROUND(IF(Dados!#REF!="SIM",M26*Dados!#REF!,M26),2)</f>
        <v>#REF!</v>
      </c>
      <c r="O26" s="36" t="e">
        <f>ROUND(IF(Dados!#REF!="SIM",N26*Dados!#REF!,N26),2)</f>
        <v>#REF!</v>
      </c>
    </row>
    <row r="27" spans="1:16" ht="14.4" x14ac:dyDescent="0.3">
      <c r="A27" s="670" t="s">
        <v>420</v>
      </c>
      <c r="B27" s="670"/>
      <c r="C27" s="670"/>
      <c r="D27" s="670"/>
      <c r="E27" s="670"/>
      <c r="F27" s="670"/>
      <c r="G27" s="670"/>
      <c r="H27" s="354">
        <f>SUM(H23:H26)</f>
        <v>510.9</v>
      </c>
      <c r="N27" s="279"/>
      <c r="O27" s="279"/>
      <c r="P27" s="304"/>
    </row>
    <row r="28" spans="1:16" ht="15.6" x14ac:dyDescent="0.3">
      <c r="A28" s="671" t="s">
        <v>437</v>
      </c>
      <c r="B28" s="671"/>
      <c r="C28" s="671"/>
      <c r="D28" s="671"/>
      <c r="E28" s="671"/>
      <c r="F28" s="671"/>
      <c r="G28" s="330"/>
      <c r="H28" s="331">
        <f>ROUND(H27/A26/12,2)</f>
        <v>42.58</v>
      </c>
    </row>
  </sheetData>
  <sheetProtection algorithmName="SHA-512" hashValue="4vVctWkC6xNhcEwCBsgbhbkhCpnDK3b3XoPfHGcMUVyHLtXGSW5lhPPJ643ixKpigXJxF3yP5uRoxSa6XZQP4g==" saltValue="EbF2QF7ENs7MFTwkvdG4Hw==" spinCount="100000" sheet="1" objects="1" scenarios="1"/>
  <mergeCells count="19">
    <mergeCell ref="A21:H21"/>
    <mergeCell ref="A23:A24"/>
    <mergeCell ref="A27:G27"/>
    <mergeCell ref="A28:F28"/>
    <mergeCell ref="A9:A10"/>
    <mergeCell ref="A13:G13"/>
    <mergeCell ref="A14:F14"/>
    <mergeCell ref="A19:G19"/>
    <mergeCell ref="A20:F20"/>
    <mergeCell ref="J1:O4"/>
    <mergeCell ref="A4:H4"/>
    <mergeCell ref="A5:H5"/>
    <mergeCell ref="J5:J8"/>
    <mergeCell ref="K5:K8"/>
    <mergeCell ref="L5:L8"/>
    <mergeCell ref="M5:M8"/>
    <mergeCell ref="N5:N8"/>
    <mergeCell ref="O5:O8"/>
    <mergeCell ref="A6:H6"/>
  </mergeCells>
  <printOptions horizontalCentered="1" verticalCentered="1"/>
  <pageMargins left="0.51180555555555596" right="0.51180555555555596" top="0.78749999999999998" bottom="0.78749999999999998" header="0.511811023622047" footer="0.511811023622047"/>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Y22"/>
  <sheetViews>
    <sheetView showGridLines="0" tabSelected="1" view="pageBreakPreview" zoomScale="60" zoomScaleNormal="100" workbookViewId="0">
      <selection activeCell="F15" sqref="F15"/>
    </sheetView>
  </sheetViews>
  <sheetFormatPr defaultColWidth="9.109375" defaultRowHeight="14.25" customHeight="1" x14ac:dyDescent="0.3"/>
  <cols>
    <col min="1" max="1" width="13.109375" style="1" customWidth="1"/>
    <col min="2" max="2" width="44.44140625" style="1" customWidth="1"/>
    <col min="3" max="3" width="7.109375" style="1" customWidth="1"/>
    <col min="4" max="4" width="6.6640625" style="1" customWidth="1"/>
    <col min="5" max="5" width="10.109375" style="1" customWidth="1"/>
    <col min="6" max="6" width="12.5546875" style="1" customWidth="1"/>
    <col min="7" max="7" width="12.33203125" style="1" customWidth="1"/>
    <col min="8" max="8" width="13.44140625" style="1" customWidth="1"/>
    <col min="9" max="9" width="11.88671875" style="1" customWidth="1"/>
    <col min="10" max="10" width="13.6640625" style="1" customWidth="1"/>
    <col min="11" max="11" width="11.33203125" style="1" customWidth="1"/>
    <col min="12" max="12" width="15.5546875" style="1" customWidth="1"/>
    <col min="13" max="13" width="12.33203125" style="1" customWidth="1"/>
    <col min="14" max="14" width="7.44140625" style="1" customWidth="1"/>
    <col min="15" max="15" width="13.33203125" style="1" customWidth="1"/>
    <col min="16" max="16" width="12" style="1" customWidth="1"/>
    <col min="17" max="17" width="9.5546875" style="1" customWidth="1"/>
    <col min="18" max="18" width="11.33203125" style="1" customWidth="1"/>
    <col min="19" max="19" width="16.109375" style="1" customWidth="1"/>
    <col min="20" max="20" width="12.109375" style="1" customWidth="1"/>
    <col min="21" max="22" width="10.109375" style="1" customWidth="1"/>
    <col min="23" max="23" width="16.44140625" style="1" customWidth="1"/>
    <col min="24" max="259" width="9.109375" style="1"/>
    <col min="260" max="260" width="13.109375" style="1" customWidth="1"/>
    <col min="261" max="261" width="38.44140625" style="1" customWidth="1"/>
    <col min="262" max="262" width="7.109375" style="1" customWidth="1"/>
    <col min="263" max="263" width="6.6640625" style="1" customWidth="1"/>
    <col min="264" max="264" width="10.109375" style="1" customWidth="1"/>
    <col min="265" max="265" width="12.5546875" style="1" customWidth="1"/>
    <col min="266" max="266" width="12.33203125" style="1" customWidth="1"/>
    <col min="267" max="267" width="13.44140625" style="1" customWidth="1"/>
    <col min="268" max="268" width="12.109375" style="1" customWidth="1"/>
    <col min="269" max="269" width="13.6640625" style="1" customWidth="1"/>
    <col min="270" max="270" width="11.33203125" style="1" customWidth="1"/>
    <col min="271" max="271" width="15.5546875" style="1" customWidth="1"/>
    <col min="272" max="272" width="12.33203125" style="1" customWidth="1"/>
    <col min="273" max="273" width="7.44140625" style="1" customWidth="1"/>
    <col min="274" max="274" width="13.33203125" style="1" customWidth="1"/>
    <col min="275" max="275" width="14" style="1" customWidth="1"/>
    <col min="276" max="276" width="12.109375" style="1" customWidth="1"/>
    <col min="277" max="278" width="10.109375" style="1" customWidth="1"/>
    <col min="279" max="279" width="16.44140625" style="1" customWidth="1"/>
    <col min="280" max="515" width="9.109375" style="1"/>
    <col min="516" max="516" width="13.109375" style="1" customWidth="1"/>
    <col min="517" max="517" width="38.44140625" style="1" customWidth="1"/>
    <col min="518" max="518" width="7.109375" style="1" customWidth="1"/>
    <col min="519" max="519" width="6.6640625" style="1" customWidth="1"/>
    <col min="520" max="520" width="10.109375" style="1" customWidth="1"/>
    <col min="521" max="521" width="12.5546875" style="1" customWidth="1"/>
    <col min="522" max="522" width="12.33203125" style="1" customWidth="1"/>
    <col min="523" max="523" width="13.44140625" style="1" customWidth="1"/>
    <col min="524" max="524" width="12.109375" style="1" customWidth="1"/>
    <col min="525" max="525" width="13.6640625" style="1" customWidth="1"/>
    <col min="526" max="526" width="11.33203125" style="1" customWidth="1"/>
    <col min="527" max="527" width="15.5546875" style="1" customWidth="1"/>
    <col min="528" max="528" width="12.33203125" style="1" customWidth="1"/>
    <col min="529" max="529" width="7.44140625" style="1" customWidth="1"/>
    <col min="530" max="530" width="13.33203125" style="1" customWidth="1"/>
    <col min="531" max="531" width="14" style="1" customWidth="1"/>
    <col min="532" max="532" width="12.109375" style="1" customWidth="1"/>
    <col min="533" max="534" width="10.109375" style="1" customWidth="1"/>
    <col min="535" max="535" width="16.44140625" style="1" customWidth="1"/>
    <col min="536" max="771" width="9.109375" style="1"/>
    <col min="772" max="772" width="13.109375" style="1" customWidth="1"/>
    <col min="773" max="773" width="38.44140625" style="1" customWidth="1"/>
    <col min="774" max="774" width="7.109375" style="1" customWidth="1"/>
    <col min="775" max="775" width="6.6640625" style="1" customWidth="1"/>
    <col min="776" max="776" width="10.109375" style="1" customWidth="1"/>
    <col min="777" max="777" width="12.5546875" style="1" customWidth="1"/>
    <col min="778" max="778" width="12.33203125" style="1" customWidth="1"/>
    <col min="779" max="779" width="13.44140625" style="1" customWidth="1"/>
    <col min="780" max="780" width="12.109375" style="1" customWidth="1"/>
    <col min="781" max="781" width="13.6640625" style="1" customWidth="1"/>
    <col min="782" max="782" width="11.33203125" style="1" customWidth="1"/>
    <col min="783" max="783" width="15.5546875" style="1" customWidth="1"/>
    <col min="784" max="784" width="12.33203125" style="1" customWidth="1"/>
    <col min="785" max="785" width="7.44140625" style="1" customWidth="1"/>
    <col min="786" max="786" width="13.33203125" style="1" customWidth="1"/>
    <col min="787" max="787" width="14" style="1" customWidth="1"/>
    <col min="788" max="788" width="12.109375" style="1" customWidth="1"/>
    <col min="789" max="790" width="10.109375" style="1" customWidth="1"/>
    <col min="791" max="791" width="16.44140625" style="1" customWidth="1"/>
    <col min="792" max="1027" width="9.109375" style="1"/>
    <col min="1028" max="1028" width="13.109375" style="1" customWidth="1"/>
    <col min="1029" max="1029" width="38.44140625" style="1" customWidth="1"/>
    <col min="1030" max="1030" width="7.109375" style="1" customWidth="1"/>
    <col min="1031" max="1031" width="6.6640625" style="1" customWidth="1"/>
    <col min="1032" max="1032" width="10.109375" style="1" customWidth="1"/>
    <col min="1033" max="1033" width="12.5546875" style="1" customWidth="1"/>
    <col min="1034" max="1034" width="12.33203125" style="1" customWidth="1"/>
    <col min="1035" max="1035" width="13.44140625" style="1" customWidth="1"/>
    <col min="1036" max="1036" width="12.109375" style="1" customWidth="1"/>
    <col min="1037" max="1037" width="13.6640625" style="1" customWidth="1"/>
    <col min="1038" max="1038" width="11.33203125" style="1" customWidth="1"/>
    <col min="1039" max="1039" width="15.5546875" style="1" customWidth="1"/>
    <col min="1040" max="1040" width="12.33203125" style="1" customWidth="1"/>
    <col min="1041" max="1041" width="7.44140625" style="1" customWidth="1"/>
    <col min="1042" max="1042" width="13.33203125" style="1" customWidth="1"/>
    <col min="1043" max="1043" width="14" style="1" customWidth="1"/>
    <col min="1044" max="1044" width="12.109375" style="1" customWidth="1"/>
    <col min="1045" max="1046" width="10.109375" style="1" customWidth="1"/>
    <col min="1047" max="1047" width="16.44140625" style="1" customWidth="1"/>
    <col min="1048" max="1283" width="9.109375" style="1"/>
    <col min="1284" max="1284" width="13.109375" style="1" customWidth="1"/>
    <col min="1285" max="1285" width="38.44140625" style="1" customWidth="1"/>
    <col min="1286" max="1286" width="7.109375" style="1" customWidth="1"/>
    <col min="1287" max="1287" width="6.6640625" style="1" customWidth="1"/>
    <col min="1288" max="1288" width="10.109375" style="1" customWidth="1"/>
    <col min="1289" max="1289" width="12.5546875" style="1" customWidth="1"/>
    <col min="1290" max="1290" width="12.33203125" style="1" customWidth="1"/>
    <col min="1291" max="1291" width="13.44140625" style="1" customWidth="1"/>
    <col min="1292" max="1292" width="12.109375" style="1" customWidth="1"/>
    <col min="1293" max="1293" width="13.6640625" style="1" customWidth="1"/>
    <col min="1294" max="1294" width="11.33203125" style="1" customWidth="1"/>
    <col min="1295" max="1295" width="15.5546875" style="1" customWidth="1"/>
    <col min="1296" max="1296" width="12.33203125" style="1" customWidth="1"/>
    <col min="1297" max="1297" width="7.44140625" style="1" customWidth="1"/>
    <col min="1298" max="1298" width="13.33203125" style="1" customWidth="1"/>
    <col min="1299" max="1299" width="14" style="1" customWidth="1"/>
    <col min="1300" max="1300" width="12.109375" style="1" customWidth="1"/>
    <col min="1301" max="1302" width="10.109375" style="1" customWidth="1"/>
    <col min="1303" max="1303" width="16.44140625" style="1" customWidth="1"/>
    <col min="1304" max="1539" width="9.109375" style="1"/>
    <col min="1540" max="1540" width="13.109375" style="1" customWidth="1"/>
    <col min="1541" max="1541" width="38.44140625" style="1" customWidth="1"/>
    <col min="1542" max="1542" width="7.109375" style="1" customWidth="1"/>
    <col min="1543" max="1543" width="6.6640625" style="1" customWidth="1"/>
    <col min="1544" max="1544" width="10.109375" style="1" customWidth="1"/>
    <col min="1545" max="1545" width="12.5546875" style="1" customWidth="1"/>
    <col min="1546" max="1546" width="12.33203125" style="1" customWidth="1"/>
    <col min="1547" max="1547" width="13.44140625" style="1" customWidth="1"/>
    <col min="1548" max="1548" width="12.109375" style="1" customWidth="1"/>
    <col min="1549" max="1549" width="13.6640625" style="1" customWidth="1"/>
    <col min="1550" max="1550" width="11.33203125" style="1" customWidth="1"/>
    <col min="1551" max="1551" width="15.5546875" style="1" customWidth="1"/>
    <col min="1552" max="1552" width="12.33203125" style="1" customWidth="1"/>
    <col min="1553" max="1553" width="7.44140625" style="1" customWidth="1"/>
    <col min="1554" max="1554" width="13.33203125" style="1" customWidth="1"/>
    <col min="1555" max="1555" width="14" style="1" customWidth="1"/>
    <col min="1556" max="1556" width="12.109375" style="1" customWidth="1"/>
    <col min="1557" max="1558" width="10.109375" style="1" customWidth="1"/>
    <col min="1559" max="1559" width="16.44140625" style="1" customWidth="1"/>
    <col min="1560" max="1795" width="9.109375" style="1"/>
    <col min="1796" max="1796" width="13.109375" style="1" customWidth="1"/>
    <col min="1797" max="1797" width="38.44140625" style="1" customWidth="1"/>
    <col min="1798" max="1798" width="7.109375" style="1" customWidth="1"/>
    <col min="1799" max="1799" width="6.6640625" style="1" customWidth="1"/>
    <col min="1800" max="1800" width="10.109375" style="1" customWidth="1"/>
    <col min="1801" max="1801" width="12.5546875" style="1" customWidth="1"/>
    <col min="1802" max="1802" width="12.33203125" style="1" customWidth="1"/>
    <col min="1803" max="1803" width="13.44140625" style="1" customWidth="1"/>
    <col min="1804" max="1804" width="12.109375" style="1" customWidth="1"/>
    <col min="1805" max="1805" width="13.6640625" style="1" customWidth="1"/>
    <col min="1806" max="1806" width="11.33203125" style="1" customWidth="1"/>
    <col min="1807" max="1807" width="15.5546875" style="1" customWidth="1"/>
    <col min="1808" max="1808" width="12.33203125" style="1" customWidth="1"/>
    <col min="1809" max="1809" width="7.44140625" style="1" customWidth="1"/>
    <col min="1810" max="1810" width="13.33203125" style="1" customWidth="1"/>
    <col min="1811" max="1811" width="14" style="1" customWidth="1"/>
    <col min="1812" max="1812" width="12.109375" style="1" customWidth="1"/>
    <col min="1813" max="1814" width="10.109375" style="1" customWidth="1"/>
    <col min="1815" max="1815" width="16.44140625" style="1" customWidth="1"/>
    <col min="1816" max="2051" width="9.109375" style="1"/>
    <col min="2052" max="2052" width="13.109375" style="1" customWidth="1"/>
    <col min="2053" max="2053" width="38.44140625" style="1" customWidth="1"/>
    <col min="2054" max="2054" width="7.109375" style="1" customWidth="1"/>
    <col min="2055" max="2055" width="6.6640625" style="1" customWidth="1"/>
    <col min="2056" max="2056" width="10.109375" style="1" customWidth="1"/>
    <col min="2057" max="2057" width="12.5546875" style="1" customWidth="1"/>
    <col min="2058" max="2058" width="12.33203125" style="1" customWidth="1"/>
    <col min="2059" max="2059" width="13.44140625" style="1" customWidth="1"/>
    <col min="2060" max="2060" width="12.109375" style="1" customWidth="1"/>
    <col min="2061" max="2061" width="13.6640625" style="1" customWidth="1"/>
    <col min="2062" max="2062" width="11.33203125" style="1" customWidth="1"/>
    <col min="2063" max="2063" width="15.5546875" style="1" customWidth="1"/>
    <col min="2064" max="2064" width="12.33203125" style="1" customWidth="1"/>
    <col min="2065" max="2065" width="7.44140625" style="1" customWidth="1"/>
    <col min="2066" max="2066" width="13.33203125" style="1" customWidth="1"/>
    <col min="2067" max="2067" width="14" style="1" customWidth="1"/>
    <col min="2068" max="2068" width="12.109375" style="1" customWidth="1"/>
    <col min="2069" max="2070" width="10.109375" style="1" customWidth="1"/>
    <col min="2071" max="2071" width="16.44140625" style="1" customWidth="1"/>
    <col min="2072" max="2307" width="9.109375" style="1"/>
    <col min="2308" max="2308" width="13.109375" style="1" customWidth="1"/>
    <col min="2309" max="2309" width="38.44140625" style="1" customWidth="1"/>
    <col min="2310" max="2310" width="7.109375" style="1" customWidth="1"/>
    <col min="2311" max="2311" width="6.6640625" style="1" customWidth="1"/>
    <col min="2312" max="2312" width="10.109375" style="1" customWidth="1"/>
    <col min="2313" max="2313" width="12.5546875" style="1" customWidth="1"/>
    <col min="2314" max="2314" width="12.33203125" style="1" customWidth="1"/>
    <col min="2315" max="2315" width="13.44140625" style="1" customWidth="1"/>
    <col min="2316" max="2316" width="12.109375" style="1" customWidth="1"/>
    <col min="2317" max="2317" width="13.6640625" style="1" customWidth="1"/>
    <col min="2318" max="2318" width="11.33203125" style="1" customWidth="1"/>
    <col min="2319" max="2319" width="15.5546875" style="1" customWidth="1"/>
    <col min="2320" max="2320" width="12.33203125" style="1" customWidth="1"/>
    <col min="2321" max="2321" width="7.44140625" style="1" customWidth="1"/>
    <col min="2322" max="2322" width="13.33203125" style="1" customWidth="1"/>
    <col min="2323" max="2323" width="14" style="1" customWidth="1"/>
    <col min="2324" max="2324" width="12.109375" style="1" customWidth="1"/>
    <col min="2325" max="2326" width="10.109375" style="1" customWidth="1"/>
    <col min="2327" max="2327" width="16.44140625" style="1" customWidth="1"/>
    <col min="2328" max="2563" width="9.109375" style="1"/>
    <col min="2564" max="2564" width="13.109375" style="1" customWidth="1"/>
    <col min="2565" max="2565" width="38.44140625" style="1" customWidth="1"/>
    <col min="2566" max="2566" width="7.109375" style="1" customWidth="1"/>
    <col min="2567" max="2567" width="6.6640625" style="1" customWidth="1"/>
    <col min="2568" max="2568" width="10.109375" style="1" customWidth="1"/>
    <col min="2569" max="2569" width="12.5546875" style="1" customWidth="1"/>
    <col min="2570" max="2570" width="12.33203125" style="1" customWidth="1"/>
    <col min="2571" max="2571" width="13.44140625" style="1" customWidth="1"/>
    <col min="2572" max="2572" width="12.109375" style="1" customWidth="1"/>
    <col min="2573" max="2573" width="13.6640625" style="1" customWidth="1"/>
    <col min="2574" max="2574" width="11.33203125" style="1" customWidth="1"/>
    <col min="2575" max="2575" width="15.5546875" style="1" customWidth="1"/>
    <col min="2576" max="2576" width="12.33203125" style="1" customWidth="1"/>
    <col min="2577" max="2577" width="7.44140625" style="1" customWidth="1"/>
    <col min="2578" max="2578" width="13.33203125" style="1" customWidth="1"/>
    <col min="2579" max="2579" width="14" style="1" customWidth="1"/>
    <col min="2580" max="2580" width="12.109375" style="1" customWidth="1"/>
    <col min="2581" max="2582" width="10.109375" style="1" customWidth="1"/>
    <col min="2583" max="2583" width="16.44140625" style="1" customWidth="1"/>
    <col min="2584" max="2819" width="9.109375" style="1"/>
    <col min="2820" max="2820" width="13.109375" style="1" customWidth="1"/>
    <col min="2821" max="2821" width="38.44140625" style="1" customWidth="1"/>
    <col min="2822" max="2822" width="7.109375" style="1" customWidth="1"/>
    <col min="2823" max="2823" width="6.6640625" style="1" customWidth="1"/>
    <col min="2824" max="2824" width="10.109375" style="1" customWidth="1"/>
    <col min="2825" max="2825" width="12.5546875" style="1" customWidth="1"/>
    <col min="2826" max="2826" width="12.33203125" style="1" customWidth="1"/>
    <col min="2827" max="2827" width="13.44140625" style="1" customWidth="1"/>
    <col min="2828" max="2828" width="12.109375" style="1" customWidth="1"/>
    <col min="2829" max="2829" width="13.6640625" style="1" customWidth="1"/>
    <col min="2830" max="2830" width="11.33203125" style="1" customWidth="1"/>
    <col min="2831" max="2831" width="15.5546875" style="1" customWidth="1"/>
    <col min="2832" max="2832" width="12.33203125" style="1" customWidth="1"/>
    <col min="2833" max="2833" width="7.44140625" style="1" customWidth="1"/>
    <col min="2834" max="2834" width="13.33203125" style="1" customWidth="1"/>
    <col min="2835" max="2835" width="14" style="1" customWidth="1"/>
    <col min="2836" max="2836" width="12.109375" style="1" customWidth="1"/>
    <col min="2837" max="2838" width="10.109375" style="1" customWidth="1"/>
    <col min="2839" max="2839" width="16.44140625" style="1" customWidth="1"/>
    <col min="2840" max="3075" width="9.109375" style="1"/>
    <col min="3076" max="3076" width="13.109375" style="1" customWidth="1"/>
    <col min="3077" max="3077" width="38.44140625" style="1" customWidth="1"/>
    <col min="3078" max="3078" width="7.109375" style="1" customWidth="1"/>
    <col min="3079" max="3079" width="6.6640625" style="1" customWidth="1"/>
    <col min="3080" max="3080" width="10.109375" style="1" customWidth="1"/>
    <col min="3081" max="3081" width="12.5546875" style="1" customWidth="1"/>
    <col min="3082" max="3082" width="12.33203125" style="1" customWidth="1"/>
    <col min="3083" max="3083" width="13.44140625" style="1" customWidth="1"/>
    <col min="3084" max="3084" width="12.109375" style="1" customWidth="1"/>
    <col min="3085" max="3085" width="13.6640625" style="1" customWidth="1"/>
    <col min="3086" max="3086" width="11.33203125" style="1" customWidth="1"/>
    <col min="3087" max="3087" width="15.5546875" style="1" customWidth="1"/>
    <col min="3088" max="3088" width="12.33203125" style="1" customWidth="1"/>
    <col min="3089" max="3089" width="7.44140625" style="1" customWidth="1"/>
    <col min="3090" max="3090" width="13.33203125" style="1" customWidth="1"/>
    <col min="3091" max="3091" width="14" style="1" customWidth="1"/>
    <col min="3092" max="3092" width="12.109375" style="1" customWidth="1"/>
    <col min="3093" max="3094" width="10.109375" style="1" customWidth="1"/>
    <col min="3095" max="3095" width="16.44140625" style="1" customWidth="1"/>
    <col min="3096" max="3331" width="9.109375" style="1"/>
    <col min="3332" max="3332" width="13.109375" style="1" customWidth="1"/>
    <col min="3333" max="3333" width="38.44140625" style="1" customWidth="1"/>
    <col min="3334" max="3334" width="7.109375" style="1" customWidth="1"/>
    <col min="3335" max="3335" width="6.6640625" style="1" customWidth="1"/>
    <col min="3336" max="3336" width="10.109375" style="1" customWidth="1"/>
    <col min="3337" max="3337" width="12.5546875" style="1" customWidth="1"/>
    <col min="3338" max="3338" width="12.33203125" style="1" customWidth="1"/>
    <col min="3339" max="3339" width="13.44140625" style="1" customWidth="1"/>
    <col min="3340" max="3340" width="12.109375" style="1" customWidth="1"/>
    <col min="3341" max="3341" width="13.6640625" style="1" customWidth="1"/>
    <col min="3342" max="3342" width="11.33203125" style="1" customWidth="1"/>
    <col min="3343" max="3343" width="15.5546875" style="1" customWidth="1"/>
    <col min="3344" max="3344" width="12.33203125" style="1" customWidth="1"/>
    <col min="3345" max="3345" width="7.44140625" style="1" customWidth="1"/>
    <col min="3346" max="3346" width="13.33203125" style="1" customWidth="1"/>
    <col min="3347" max="3347" width="14" style="1" customWidth="1"/>
    <col min="3348" max="3348" width="12.109375" style="1" customWidth="1"/>
    <col min="3349" max="3350" width="10.109375" style="1" customWidth="1"/>
    <col min="3351" max="3351" width="16.44140625" style="1" customWidth="1"/>
    <col min="3352" max="3587" width="9.109375" style="1"/>
    <col min="3588" max="3588" width="13.109375" style="1" customWidth="1"/>
    <col min="3589" max="3589" width="38.44140625" style="1" customWidth="1"/>
    <col min="3590" max="3590" width="7.109375" style="1" customWidth="1"/>
    <col min="3591" max="3591" width="6.6640625" style="1" customWidth="1"/>
    <col min="3592" max="3592" width="10.109375" style="1" customWidth="1"/>
    <col min="3593" max="3593" width="12.5546875" style="1" customWidth="1"/>
    <col min="3594" max="3594" width="12.33203125" style="1" customWidth="1"/>
    <col min="3595" max="3595" width="13.44140625" style="1" customWidth="1"/>
    <col min="3596" max="3596" width="12.109375" style="1" customWidth="1"/>
    <col min="3597" max="3597" width="13.6640625" style="1" customWidth="1"/>
    <col min="3598" max="3598" width="11.33203125" style="1" customWidth="1"/>
    <col min="3599" max="3599" width="15.5546875" style="1" customWidth="1"/>
    <col min="3600" max="3600" width="12.33203125" style="1" customWidth="1"/>
    <col min="3601" max="3601" width="7.44140625" style="1" customWidth="1"/>
    <col min="3602" max="3602" width="13.33203125" style="1" customWidth="1"/>
    <col min="3603" max="3603" width="14" style="1" customWidth="1"/>
    <col min="3604" max="3604" width="12.109375" style="1" customWidth="1"/>
    <col min="3605" max="3606" width="10.109375" style="1" customWidth="1"/>
    <col min="3607" max="3607" width="16.44140625" style="1" customWidth="1"/>
    <col min="3608" max="3843" width="9.109375" style="1"/>
    <col min="3844" max="3844" width="13.109375" style="1" customWidth="1"/>
    <col min="3845" max="3845" width="38.44140625" style="1" customWidth="1"/>
    <col min="3846" max="3846" width="7.109375" style="1" customWidth="1"/>
    <col min="3847" max="3847" width="6.6640625" style="1" customWidth="1"/>
    <col min="3848" max="3848" width="10.109375" style="1" customWidth="1"/>
    <col min="3849" max="3849" width="12.5546875" style="1" customWidth="1"/>
    <col min="3850" max="3850" width="12.33203125" style="1" customWidth="1"/>
    <col min="3851" max="3851" width="13.44140625" style="1" customWidth="1"/>
    <col min="3852" max="3852" width="12.109375" style="1" customWidth="1"/>
    <col min="3853" max="3853" width="13.6640625" style="1" customWidth="1"/>
    <col min="3854" max="3854" width="11.33203125" style="1" customWidth="1"/>
    <col min="3855" max="3855" width="15.5546875" style="1" customWidth="1"/>
    <col min="3856" max="3856" width="12.33203125" style="1" customWidth="1"/>
    <col min="3857" max="3857" width="7.44140625" style="1" customWidth="1"/>
    <col min="3858" max="3858" width="13.33203125" style="1" customWidth="1"/>
    <col min="3859" max="3859" width="14" style="1" customWidth="1"/>
    <col min="3860" max="3860" width="12.109375" style="1" customWidth="1"/>
    <col min="3861" max="3862" width="10.109375" style="1" customWidth="1"/>
    <col min="3863" max="3863" width="16.44140625" style="1" customWidth="1"/>
    <col min="3864" max="4099" width="9.109375" style="1"/>
    <col min="4100" max="4100" width="13.109375" style="1" customWidth="1"/>
    <col min="4101" max="4101" width="38.44140625" style="1" customWidth="1"/>
    <col min="4102" max="4102" width="7.109375" style="1" customWidth="1"/>
    <col min="4103" max="4103" width="6.6640625" style="1" customWidth="1"/>
    <col min="4104" max="4104" width="10.109375" style="1" customWidth="1"/>
    <col min="4105" max="4105" width="12.5546875" style="1" customWidth="1"/>
    <col min="4106" max="4106" width="12.33203125" style="1" customWidth="1"/>
    <col min="4107" max="4107" width="13.44140625" style="1" customWidth="1"/>
    <col min="4108" max="4108" width="12.109375" style="1" customWidth="1"/>
    <col min="4109" max="4109" width="13.6640625" style="1" customWidth="1"/>
    <col min="4110" max="4110" width="11.33203125" style="1" customWidth="1"/>
    <col min="4111" max="4111" width="15.5546875" style="1" customWidth="1"/>
    <col min="4112" max="4112" width="12.33203125" style="1" customWidth="1"/>
    <col min="4113" max="4113" width="7.44140625" style="1" customWidth="1"/>
    <col min="4114" max="4114" width="13.33203125" style="1" customWidth="1"/>
    <col min="4115" max="4115" width="14" style="1" customWidth="1"/>
    <col min="4116" max="4116" width="12.109375" style="1" customWidth="1"/>
    <col min="4117" max="4118" width="10.109375" style="1" customWidth="1"/>
    <col min="4119" max="4119" width="16.44140625" style="1" customWidth="1"/>
    <col min="4120" max="4355" width="9.109375" style="1"/>
    <col min="4356" max="4356" width="13.109375" style="1" customWidth="1"/>
    <col min="4357" max="4357" width="38.44140625" style="1" customWidth="1"/>
    <col min="4358" max="4358" width="7.109375" style="1" customWidth="1"/>
    <col min="4359" max="4359" width="6.6640625" style="1" customWidth="1"/>
    <col min="4360" max="4360" width="10.109375" style="1" customWidth="1"/>
    <col min="4361" max="4361" width="12.5546875" style="1" customWidth="1"/>
    <col min="4362" max="4362" width="12.33203125" style="1" customWidth="1"/>
    <col min="4363" max="4363" width="13.44140625" style="1" customWidth="1"/>
    <col min="4364" max="4364" width="12.109375" style="1" customWidth="1"/>
    <col min="4365" max="4365" width="13.6640625" style="1" customWidth="1"/>
    <col min="4366" max="4366" width="11.33203125" style="1" customWidth="1"/>
    <col min="4367" max="4367" width="15.5546875" style="1" customWidth="1"/>
    <col min="4368" max="4368" width="12.33203125" style="1" customWidth="1"/>
    <col min="4369" max="4369" width="7.44140625" style="1" customWidth="1"/>
    <col min="4370" max="4370" width="13.33203125" style="1" customWidth="1"/>
    <col min="4371" max="4371" width="14" style="1" customWidth="1"/>
    <col min="4372" max="4372" width="12.109375" style="1" customWidth="1"/>
    <col min="4373" max="4374" width="10.109375" style="1" customWidth="1"/>
    <col min="4375" max="4375" width="16.44140625" style="1" customWidth="1"/>
    <col min="4376" max="4611" width="9.109375" style="1"/>
    <col min="4612" max="4612" width="13.109375" style="1" customWidth="1"/>
    <col min="4613" max="4613" width="38.44140625" style="1" customWidth="1"/>
    <col min="4614" max="4614" width="7.109375" style="1" customWidth="1"/>
    <col min="4615" max="4615" width="6.6640625" style="1" customWidth="1"/>
    <col min="4616" max="4616" width="10.109375" style="1" customWidth="1"/>
    <col min="4617" max="4617" width="12.5546875" style="1" customWidth="1"/>
    <col min="4618" max="4618" width="12.33203125" style="1" customWidth="1"/>
    <col min="4619" max="4619" width="13.44140625" style="1" customWidth="1"/>
    <col min="4620" max="4620" width="12.109375" style="1" customWidth="1"/>
    <col min="4621" max="4621" width="13.6640625" style="1" customWidth="1"/>
    <col min="4622" max="4622" width="11.33203125" style="1" customWidth="1"/>
    <col min="4623" max="4623" width="15.5546875" style="1" customWidth="1"/>
    <col min="4624" max="4624" width="12.33203125" style="1" customWidth="1"/>
    <col min="4625" max="4625" width="7.44140625" style="1" customWidth="1"/>
    <col min="4626" max="4626" width="13.33203125" style="1" customWidth="1"/>
    <col min="4627" max="4627" width="14" style="1" customWidth="1"/>
    <col min="4628" max="4628" width="12.109375" style="1" customWidth="1"/>
    <col min="4629" max="4630" width="10.109375" style="1" customWidth="1"/>
    <col min="4631" max="4631" width="16.44140625" style="1" customWidth="1"/>
    <col min="4632" max="4867" width="9.109375" style="1"/>
    <col min="4868" max="4868" width="13.109375" style="1" customWidth="1"/>
    <col min="4869" max="4869" width="38.44140625" style="1" customWidth="1"/>
    <col min="4870" max="4870" width="7.109375" style="1" customWidth="1"/>
    <col min="4871" max="4871" width="6.6640625" style="1" customWidth="1"/>
    <col min="4872" max="4872" width="10.109375" style="1" customWidth="1"/>
    <col min="4873" max="4873" width="12.5546875" style="1" customWidth="1"/>
    <col min="4874" max="4874" width="12.33203125" style="1" customWidth="1"/>
    <col min="4875" max="4875" width="13.44140625" style="1" customWidth="1"/>
    <col min="4876" max="4876" width="12.109375" style="1" customWidth="1"/>
    <col min="4877" max="4877" width="13.6640625" style="1" customWidth="1"/>
    <col min="4878" max="4878" width="11.33203125" style="1" customWidth="1"/>
    <col min="4879" max="4879" width="15.5546875" style="1" customWidth="1"/>
    <col min="4880" max="4880" width="12.33203125" style="1" customWidth="1"/>
    <col min="4881" max="4881" width="7.44140625" style="1" customWidth="1"/>
    <col min="4882" max="4882" width="13.33203125" style="1" customWidth="1"/>
    <col min="4883" max="4883" width="14" style="1" customWidth="1"/>
    <col min="4884" max="4884" width="12.109375" style="1" customWidth="1"/>
    <col min="4885" max="4886" width="10.109375" style="1" customWidth="1"/>
    <col min="4887" max="4887" width="16.44140625" style="1" customWidth="1"/>
    <col min="4888" max="5123" width="9.109375" style="1"/>
    <col min="5124" max="5124" width="13.109375" style="1" customWidth="1"/>
    <col min="5125" max="5125" width="38.44140625" style="1" customWidth="1"/>
    <col min="5126" max="5126" width="7.109375" style="1" customWidth="1"/>
    <col min="5127" max="5127" width="6.6640625" style="1" customWidth="1"/>
    <col min="5128" max="5128" width="10.109375" style="1" customWidth="1"/>
    <col min="5129" max="5129" width="12.5546875" style="1" customWidth="1"/>
    <col min="5130" max="5130" width="12.33203125" style="1" customWidth="1"/>
    <col min="5131" max="5131" width="13.44140625" style="1" customWidth="1"/>
    <col min="5132" max="5132" width="12.109375" style="1" customWidth="1"/>
    <col min="5133" max="5133" width="13.6640625" style="1" customWidth="1"/>
    <col min="5134" max="5134" width="11.33203125" style="1" customWidth="1"/>
    <col min="5135" max="5135" width="15.5546875" style="1" customWidth="1"/>
    <col min="5136" max="5136" width="12.33203125" style="1" customWidth="1"/>
    <col min="5137" max="5137" width="7.44140625" style="1" customWidth="1"/>
    <col min="5138" max="5138" width="13.33203125" style="1" customWidth="1"/>
    <col min="5139" max="5139" width="14" style="1" customWidth="1"/>
    <col min="5140" max="5140" width="12.109375" style="1" customWidth="1"/>
    <col min="5141" max="5142" width="10.109375" style="1" customWidth="1"/>
    <col min="5143" max="5143" width="16.44140625" style="1" customWidth="1"/>
    <col min="5144" max="5379" width="9.109375" style="1"/>
    <col min="5380" max="5380" width="13.109375" style="1" customWidth="1"/>
    <col min="5381" max="5381" width="38.44140625" style="1" customWidth="1"/>
    <col min="5382" max="5382" width="7.109375" style="1" customWidth="1"/>
    <col min="5383" max="5383" width="6.6640625" style="1" customWidth="1"/>
    <col min="5384" max="5384" width="10.109375" style="1" customWidth="1"/>
    <col min="5385" max="5385" width="12.5546875" style="1" customWidth="1"/>
    <col min="5386" max="5386" width="12.33203125" style="1" customWidth="1"/>
    <col min="5387" max="5387" width="13.44140625" style="1" customWidth="1"/>
    <col min="5388" max="5388" width="12.109375" style="1" customWidth="1"/>
    <col min="5389" max="5389" width="13.6640625" style="1" customWidth="1"/>
    <col min="5390" max="5390" width="11.33203125" style="1" customWidth="1"/>
    <col min="5391" max="5391" width="15.5546875" style="1" customWidth="1"/>
    <col min="5392" max="5392" width="12.33203125" style="1" customWidth="1"/>
    <col min="5393" max="5393" width="7.44140625" style="1" customWidth="1"/>
    <col min="5394" max="5394" width="13.33203125" style="1" customWidth="1"/>
    <col min="5395" max="5395" width="14" style="1" customWidth="1"/>
    <col min="5396" max="5396" width="12.109375" style="1" customWidth="1"/>
    <col min="5397" max="5398" width="10.109375" style="1" customWidth="1"/>
    <col min="5399" max="5399" width="16.44140625" style="1" customWidth="1"/>
    <col min="5400" max="5635" width="9.109375" style="1"/>
    <col min="5636" max="5636" width="13.109375" style="1" customWidth="1"/>
    <col min="5637" max="5637" width="38.44140625" style="1" customWidth="1"/>
    <col min="5638" max="5638" width="7.109375" style="1" customWidth="1"/>
    <col min="5639" max="5639" width="6.6640625" style="1" customWidth="1"/>
    <col min="5640" max="5640" width="10.109375" style="1" customWidth="1"/>
    <col min="5641" max="5641" width="12.5546875" style="1" customWidth="1"/>
    <col min="5642" max="5642" width="12.33203125" style="1" customWidth="1"/>
    <col min="5643" max="5643" width="13.44140625" style="1" customWidth="1"/>
    <col min="5644" max="5644" width="12.109375" style="1" customWidth="1"/>
    <col min="5645" max="5645" width="13.6640625" style="1" customWidth="1"/>
    <col min="5646" max="5646" width="11.33203125" style="1" customWidth="1"/>
    <col min="5647" max="5647" width="15.5546875" style="1" customWidth="1"/>
    <col min="5648" max="5648" width="12.33203125" style="1" customWidth="1"/>
    <col min="5649" max="5649" width="7.44140625" style="1" customWidth="1"/>
    <col min="5650" max="5650" width="13.33203125" style="1" customWidth="1"/>
    <col min="5651" max="5651" width="14" style="1" customWidth="1"/>
    <col min="5652" max="5652" width="12.109375" style="1" customWidth="1"/>
    <col min="5653" max="5654" width="10.109375" style="1" customWidth="1"/>
    <col min="5655" max="5655" width="16.44140625" style="1" customWidth="1"/>
    <col min="5656" max="5891" width="9.109375" style="1"/>
    <col min="5892" max="5892" width="13.109375" style="1" customWidth="1"/>
    <col min="5893" max="5893" width="38.44140625" style="1" customWidth="1"/>
    <col min="5894" max="5894" width="7.109375" style="1" customWidth="1"/>
    <col min="5895" max="5895" width="6.6640625" style="1" customWidth="1"/>
    <col min="5896" max="5896" width="10.109375" style="1" customWidth="1"/>
    <col min="5897" max="5897" width="12.5546875" style="1" customWidth="1"/>
    <col min="5898" max="5898" width="12.33203125" style="1" customWidth="1"/>
    <col min="5899" max="5899" width="13.44140625" style="1" customWidth="1"/>
    <col min="5900" max="5900" width="12.109375" style="1" customWidth="1"/>
    <col min="5901" max="5901" width="13.6640625" style="1" customWidth="1"/>
    <col min="5902" max="5902" width="11.33203125" style="1" customWidth="1"/>
    <col min="5903" max="5903" width="15.5546875" style="1" customWidth="1"/>
    <col min="5904" max="5904" width="12.33203125" style="1" customWidth="1"/>
    <col min="5905" max="5905" width="7.44140625" style="1" customWidth="1"/>
    <col min="5906" max="5906" width="13.33203125" style="1" customWidth="1"/>
    <col min="5907" max="5907" width="14" style="1" customWidth="1"/>
    <col min="5908" max="5908" width="12.109375" style="1" customWidth="1"/>
    <col min="5909" max="5910" width="10.109375" style="1" customWidth="1"/>
    <col min="5911" max="5911" width="16.44140625" style="1" customWidth="1"/>
    <col min="5912" max="6147" width="9.109375" style="1"/>
    <col min="6148" max="6148" width="13.109375" style="1" customWidth="1"/>
    <col min="6149" max="6149" width="38.44140625" style="1" customWidth="1"/>
    <col min="6150" max="6150" width="7.109375" style="1" customWidth="1"/>
    <col min="6151" max="6151" width="6.6640625" style="1" customWidth="1"/>
    <col min="6152" max="6152" width="10.109375" style="1" customWidth="1"/>
    <col min="6153" max="6153" width="12.5546875" style="1" customWidth="1"/>
    <col min="6154" max="6154" width="12.33203125" style="1" customWidth="1"/>
    <col min="6155" max="6155" width="13.44140625" style="1" customWidth="1"/>
    <col min="6156" max="6156" width="12.109375" style="1" customWidth="1"/>
    <col min="6157" max="6157" width="13.6640625" style="1" customWidth="1"/>
    <col min="6158" max="6158" width="11.33203125" style="1" customWidth="1"/>
    <col min="6159" max="6159" width="15.5546875" style="1" customWidth="1"/>
    <col min="6160" max="6160" width="12.33203125" style="1" customWidth="1"/>
    <col min="6161" max="6161" width="7.44140625" style="1" customWidth="1"/>
    <col min="6162" max="6162" width="13.33203125" style="1" customWidth="1"/>
    <col min="6163" max="6163" width="14" style="1" customWidth="1"/>
    <col min="6164" max="6164" width="12.109375" style="1" customWidth="1"/>
    <col min="6165" max="6166" width="10.109375" style="1" customWidth="1"/>
    <col min="6167" max="6167" width="16.44140625" style="1" customWidth="1"/>
    <col min="6168" max="6403" width="9.109375" style="1"/>
    <col min="6404" max="6404" width="13.109375" style="1" customWidth="1"/>
    <col min="6405" max="6405" width="38.44140625" style="1" customWidth="1"/>
    <col min="6406" max="6406" width="7.109375" style="1" customWidth="1"/>
    <col min="6407" max="6407" width="6.6640625" style="1" customWidth="1"/>
    <col min="6408" max="6408" width="10.109375" style="1" customWidth="1"/>
    <col min="6409" max="6409" width="12.5546875" style="1" customWidth="1"/>
    <col min="6410" max="6410" width="12.33203125" style="1" customWidth="1"/>
    <col min="6411" max="6411" width="13.44140625" style="1" customWidth="1"/>
    <col min="6412" max="6412" width="12.109375" style="1" customWidth="1"/>
    <col min="6413" max="6413" width="13.6640625" style="1" customWidth="1"/>
    <col min="6414" max="6414" width="11.33203125" style="1" customWidth="1"/>
    <col min="6415" max="6415" width="15.5546875" style="1" customWidth="1"/>
    <col min="6416" max="6416" width="12.33203125" style="1" customWidth="1"/>
    <col min="6417" max="6417" width="7.44140625" style="1" customWidth="1"/>
    <col min="6418" max="6418" width="13.33203125" style="1" customWidth="1"/>
    <col min="6419" max="6419" width="14" style="1" customWidth="1"/>
    <col min="6420" max="6420" width="12.109375" style="1" customWidth="1"/>
    <col min="6421" max="6422" width="10.109375" style="1" customWidth="1"/>
    <col min="6423" max="6423" width="16.44140625" style="1" customWidth="1"/>
    <col min="6424" max="6659" width="9.109375" style="1"/>
    <col min="6660" max="6660" width="13.109375" style="1" customWidth="1"/>
    <col min="6661" max="6661" width="38.44140625" style="1" customWidth="1"/>
    <col min="6662" max="6662" width="7.109375" style="1" customWidth="1"/>
    <col min="6663" max="6663" width="6.6640625" style="1" customWidth="1"/>
    <col min="6664" max="6664" width="10.109375" style="1" customWidth="1"/>
    <col min="6665" max="6665" width="12.5546875" style="1" customWidth="1"/>
    <col min="6666" max="6666" width="12.33203125" style="1" customWidth="1"/>
    <col min="6667" max="6667" width="13.44140625" style="1" customWidth="1"/>
    <col min="6668" max="6668" width="12.109375" style="1" customWidth="1"/>
    <col min="6669" max="6669" width="13.6640625" style="1" customWidth="1"/>
    <col min="6670" max="6670" width="11.33203125" style="1" customWidth="1"/>
    <col min="6671" max="6671" width="15.5546875" style="1" customWidth="1"/>
    <col min="6672" max="6672" width="12.33203125" style="1" customWidth="1"/>
    <col min="6673" max="6673" width="7.44140625" style="1" customWidth="1"/>
    <col min="6674" max="6674" width="13.33203125" style="1" customWidth="1"/>
    <col min="6675" max="6675" width="14" style="1" customWidth="1"/>
    <col min="6676" max="6676" width="12.109375" style="1" customWidth="1"/>
    <col min="6677" max="6678" width="10.109375" style="1" customWidth="1"/>
    <col min="6679" max="6679" width="16.44140625" style="1" customWidth="1"/>
    <col min="6680" max="6915" width="9.109375" style="1"/>
    <col min="6916" max="6916" width="13.109375" style="1" customWidth="1"/>
    <col min="6917" max="6917" width="38.44140625" style="1" customWidth="1"/>
    <col min="6918" max="6918" width="7.109375" style="1" customWidth="1"/>
    <col min="6919" max="6919" width="6.6640625" style="1" customWidth="1"/>
    <col min="6920" max="6920" width="10.109375" style="1" customWidth="1"/>
    <col min="6921" max="6921" width="12.5546875" style="1" customWidth="1"/>
    <col min="6922" max="6922" width="12.33203125" style="1" customWidth="1"/>
    <col min="6923" max="6923" width="13.44140625" style="1" customWidth="1"/>
    <col min="6924" max="6924" width="12.109375" style="1" customWidth="1"/>
    <col min="6925" max="6925" width="13.6640625" style="1" customWidth="1"/>
    <col min="6926" max="6926" width="11.33203125" style="1" customWidth="1"/>
    <col min="6927" max="6927" width="15.5546875" style="1" customWidth="1"/>
    <col min="6928" max="6928" width="12.33203125" style="1" customWidth="1"/>
    <col min="6929" max="6929" width="7.44140625" style="1" customWidth="1"/>
    <col min="6930" max="6930" width="13.33203125" style="1" customWidth="1"/>
    <col min="6931" max="6931" width="14" style="1" customWidth="1"/>
    <col min="6932" max="6932" width="12.109375" style="1" customWidth="1"/>
    <col min="6933" max="6934" width="10.109375" style="1" customWidth="1"/>
    <col min="6935" max="6935" width="16.44140625" style="1" customWidth="1"/>
    <col min="6936" max="7171" width="9.109375" style="1"/>
    <col min="7172" max="7172" width="13.109375" style="1" customWidth="1"/>
    <col min="7173" max="7173" width="38.44140625" style="1" customWidth="1"/>
    <col min="7174" max="7174" width="7.109375" style="1" customWidth="1"/>
    <col min="7175" max="7175" width="6.6640625" style="1" customWidth="1"/>
    <col min="7176" max="7176" width="10.109375" style="1" customWidth="1"/>
    <col min="7177" max="7177" width="12.5546875" style="1" customWidth="1"/>
    <col min="7178" max="7178" width="12.33203125" style="1" customWidth="1"/>
    <col min="7179" max="7179" width="13.44140625" style="1" customWidth="1"/>
    <col min="7180" max="7180" width="12.109375" style="1" customWidth="1"/>
    <col min="7181" max="7181" width="13.6640625" style="1" customWidth="1"/>
    <col min="7182" max="7182" width="11.33203125" style="1" customWidth="1"/>
    <col min="7183" max="7183" width="15.5546875" style="1" customWidth="1"/>
    <col min="7184" max="7184" width="12.33203125" style="1" customWidth="1"/>
    <col min="7185" max="7185" width="7.44140625" style="1" customWidth="1"/>
    <col min="7186" max="7186" width="13.33203125" style="1" customWidth="1"/>
    <col min="7187" max="7187" width="14" style="1" customWidth="1"/>
    <col min="7188" max="7188" width="12.109375" style="1" customWidth="1"/>
    <col min="7189" max="7190" width="10.109375" style="1" customWidth="1"/>
    <col min="7191" max="7191" width="16.44140625" style="1" customWidth="1"/>
    <col min="7192" max="7427" width="9.109375" style="1"/>
    <col min="7428" max="7428" width="13.109375" style="1" customWidth="1"/>
    <col min="7429" max="7429" width="38.44140625" style="1" customWidth="1"/>
    <col min="7430" max="7430" width="7.109375" style="1" customWidth="1"/>
    <col min="7431" max="7431" width="6.6640625" style="1" customWidth="1"/>
    <col min="7432" max="7432" width="10.109375" style="1" customWidth="1"/>
    <col min="7433" max="7433" width="12.5546875" style="1" customWidth="1"/>
    <col min="7434" max="7434" width="12.33203125" style="1" customWidth="1"/>
    <col min="7435" max="7435" width="13.44140625" style="1" customWidth="1"/>
    <col min="7436" max="7436" width="12.109375" style="1" customWidth="1"/>
    <col min="7437" max="7437" width="13.6640625" style="1" customWidth="1"/>
    <col min="7438" max="7438" width="11.33203125" style="1" customWidth="1"/>
    <col min="7439" max="7439" width="15.5546875" style="1" customWidth="1"/>
    <col min="7440" max="7440" width="12.33203125" style="1" customWidth="1"/>
    <col min="7441" max="7441" width="7.44140625" style="1" customWidth="1"/>
    <col min="7442" max="7442" width="13.33203125" style="1" customWidth="1"/>
    <col min="7443" max="7443" width="14" style="1" customWidth="1"/>
    <col min="7444" max="7444" width="12.109375" style="1" customWidth="1"/>
    <col min="7445" max="7446" width="10.109375" style="1" customWidth="1"/>
    <col min="7447" max="7447" width="16.44140625" style="1" customWidth="1"/>
    <col min="7448" max="7683" width="9.109375" style="1"/>
    <col min="7684" max="7684" width="13.109375" style="1" customWidth="1"/>
    <col min="7685" max="7685" width="38.44140625" style="1" customWidth="1"/>
    <col min="7686" max="7686" width="7.109375" style="1" customWidth="1"/>
    <col min="7687" max="7687" width="6.6640625" style="1" customWidth="1"/>
    <col min="7688" max="7688" width="10.109375" style="1" customWidth="1"/>
    <col min="7689" max="7689" width="12.5546875" style="1" customWidth="1"/>
    <col min="7690" max="7690" width="12.33203125" style="1" customWidth="1"/>
    <col min="7691" max="7691" width="13.44140625" style="1" customWidth="1"/>
    <col min="7692" max="7692" width="12.109375" style="1" customWidth="1"/>
    <col min="7693" max="7693" width="13.6640625" style="1" customWidth="1"/>
    <col min="7694" max="7694" width="11.33203125" style="1" customWidth="1"/>
    <col min="7695" max="7695" width="15.5546875" style="1" customWidth="1"/>
    <col min="7696" max="7696" width="12.33203125" style="1" customWidth="1"/>
    <col min="7697" max="7697" width="7.44140625" style="1" customWidth="1"/>
    <col min="7698" max="7698" width="13.33203125" style="1" customWidth="1"/>
    <col min="7699" max="7699" width="14" style="1" customWidth="1"/>
    <col min="7700" max="7700" width="12.109375" style="1" customWidth="1"/>
    <col min="7701" max="7702" width="10.109375" style="1" customWidth="1"/>
    <col min="7703" max="7703" width="16.44140625" style="1" customWidth="1"/>
    <col min="7704" max="7939" width="9.109375" style="1"/>
    <col min="7940" max="7940" width="13.109375" style="1" customWidth="1"/>
    <col min="7941" max="7941" width="38.44140625" style="1" customWidth="1"/>
    <col min="7942" max="7942" width="7.109375" style="1" customWidth="1"/>
    <col min="7943" max="7943" width="6.6640625" style="1" customWidth="1"/>
    <col min="7944" max="7944" width="10.109375" style="1" customWidth="1"/>
    <col min="7945" max="7945" width="12.5546875" style="1" customWidth="1"/>
    <col min="7946" max="7946" width="12.33203125" style="1" customWidth="1"/>
    <col min="7947" max="7947" width="13.44140625" style="1" customWidth="1"/>
    <col min="7948" max="7948" width="12.109375" style="1" customWidth="1"/>
    <col min="7949" max="7949" width="13.6640625" style="1" customWidth="1"/>
    <col min="7950" max="7950" width="11.33203125" style="1" customWidth="1"/>
    <col min="7951" max="7951" width="15.5546875" style="1" customWidth="1"/>
    <col min="7952" max="7952" width="12.33203125" style="1" customWidth="1"/>
    <col min="7953" max="7953" width="7.44140625" style="1" customWidth="1"/>
    <col min="7954" max="7954" width="13.33203125" style="1" customWidth="1"/>
    <col min="7955" max="7955" width="14" style="1" customWidth="1"/>
    <col min="7956" max="7956" width="12.109375" style="1" customWidth="1"/>
    <col min="7957" max="7958" width="10.109375" style="1" customWidth="1"/>
    <col min="7959" max="7959" width="16.44140625" style="1" customWidth="1"/>
    <col min="7960" max="8195" width="9.109375" style="1"/>
    <col min="8196" max="8196" width="13.109375" style="1" customWidth="1"/>
    <col min="8197" max="8197" width="38.44140625" style="1" customWidth="1"/>
    <col min="8198" max="8198" width="7.109375" style="1" customWidth="1"/>
    <col min="8199" max="8199" width="6.6640625" style="1" customWidth="1"/>
    <col min="8200" max="8200" width="10.109375" style="1" customWidth="1"/>
    <col min="8201" max="8201" width="12.5546875" style="1" customWidth="1"/>
    <col min="8202" max="8202" width="12.33203125" style="1" customWidth="1"/>
    <col min="8203" max="8203" width="13.44140625" style="1" customWidth="1"/>
    <col min="8204" max="8204" width="12.109375" style="1" customWidth="1"/>
    <col min="8205" max="8205" width="13.6640625" style="1" customWidth="1"/>
    <col min="8206" max="8206" width="11.33203125" style="1" customWidth="1"/>
    <col min="8207" max="8207" width="15.5546875" style="1" customWidth="1"/>
    <col min="8208" max="8208" width="12.33203125" style="1" customWidth="1"/>
    <col min="8209" max="8209" width="7.44140625" style="1" customWidth="1"/>
    <col min="8210" max="8210" width="13.33203125" style="1" customWidth="1"/>
    <col min="8211" max="8211" width="14" style="1" customWidth="1"/>
    <col min="8212" max="8212" width="12.109375" style="1" customWidth="1"/>
    <col min="8213" max="8214" width="10.109375" style="1" customWidth="1"/>
    <col min="8215" max="8215" width="16.44140625" style="1" customWidth="1"/>
    <col min="8216" max="8451" width="9.109375" style="1"/>
    <col min="8452" max="8452" width="13.109375" style="1" customWidth="1"/>
    <col min="8453" max="8453" width="38.44140625" style="1" customWidth="1"/>
    <col min="8454" max="8454" width="7.109375" style="1" customWidth="1"/>
    <col min="8455" max="8455" width="6.6640625" style="1" customWidth="1"/>
    <col min="8456" max="8456" width="10.109375" style="1" customWidth="1"/>
    <col min="8457" max="8457" width="12.5546875" style="1" customWidth="1"/>
    <col min="8458" max="8458" width="12.33203125" style="1" customWidth="1"/>
    <col min="8459" max="8459" width="13.44140625" style="1" customWidth="1"/>
    <col min="8460" max="8460" width="12.109375" style="1" customWidth="1"/>
    <col min="8461" max="8461" width="13.6640625" style="1" customWidth="1"/>
    <col min="8462" max="8462" width="11.33203125" style="1" customWidth="1"/>
    <col min="8463" max="8463" width="15.5546875" style="1" customWidth="1"/>
    <col min="8464" max="8464" width="12.33203125" style="1" customWidth="1"/>
    <col min="8465" max="8465" width="7.44140625" style="1" customWidth="1"/>
    <col min="8466" max="8466" width="13.33203125" style="1" customWidth="1"/>
    <col min="8467" max="8467" width="14" style="1" customWidth="1"/>
    <col min="8468" max="8468" width="12.109375" style="1" customWidth="1"/>
    <col min="8469" max="8470" width="10.109375" style="1" customWidth="1"/>
    <col min="8471" max="8471" width="16.44140625" style="1" customWidth="1"/>
    <col min="8472" max="8707" width="9.109375" style="1"/>
    <col min="8708" max="8708" width="13.109375" style="1" customWidth="1"/>
    <col min="8709" max="8709" width="38.44140625" style="1" customWidth="1"/>
    <col min="8710" max="8710" width="7.109375" style="1" customWidth="1"/>
    <col min="8711" max="8711" width="6.6640625" style="1" customWidth="1"/>
    <col min="8712" max="8712" width="10.109375" style="1" customWidth="1"/>
    <col min="8713" max="8713" width="12.5546875" style="1" customWidth="1"/>
    <col min="8714" max="8714" width="12.33203125" style="1" customWidth="1"/>
    <col min="8715" max="8715" width="13.44140625" style="1" customWidth="1"/>
    <col min="8716" max="8716" width="12.109375" style="1" customWidth="1"/>
    <col min="8717" max="8717" width="13.6640625" style="1" customWidth="1"/>
    <col min="8718" max="8718" width="11.33203125" style="1" customWidth="1"/>
    <col min="8719" max="8719" width="15.5546875" style="1" customWidth="1"/>
    <col min="8720" max="8720" width="12.33203125" style="1" customWidth="1"/>
    <col min="8721" max="8721" width="7.44140625" style="1" customWidth="1"/>
    <col min="8722" max="8722" width="13.33203125" style="1" customWidth="1"/>
    <col min="8723" max="8723" width="14" style="1" customWidth="1"/>
    <col min="8724" max="8724" width="12.109375" style="1" customWidth="1"/>
    <col min="8725" max="8726" width="10.109375" style="1" customWidth="1"/>
    <col min="8727" max="8727" width="16.44140625" style="1" customWidth="1"/>
    <col min="8728" max="8963" width="9.109375" style="1"/>
    <col min="8964" max="8964" width="13.109375" style="1" customWidth="1"/>
    <col min="8965" max="8965" width="38.44140625" style="1" customWidth="1"/>
    <col min="8966" max="8966" width="7.109375" style="1" customWidth="1"/>
    <col min="8967" max="8967" width="6.6640625" style="1" customWidth="1"/>
    <col min="8968" max="8968" width="10.109375" style="1" customWidth="1"/>
    <col min="8969" max="8969" width="12.5546875" style="1" customWidth="1"/>
    <col min="8970" max="8970" width="12.33203125" style="1" customWidth="1"/>
    <col min="8971" max="8971" width="13.44140625" style="1" customWidth="1"/>
    <col min="8972" max="8972" width="12.109375" style="1" customWidth="1"/>
    <col min="8973" max="8973" width="13.6640625" style="1" customWidth="1"/>
    <col min="8974" max="8974" width="11.33203125" style="1" customWidth="1"/>
    <col min="8975" max="8975" width="15.5546875" style="1" customWidth="1"/>
    <col min="8976" max="8976" width="12.33203125" style="1" customWidth="1"/>
    <col min="8977" max="8977" width="7.44140625" style="1" customWidth="1"/>
    <col min="8978" max="8978" width="13.33203125" style="1" customWidth="1"/>
    <col min="8979" max="8979" width="14" style="1" customWidth="1"/>
    <col min="8980" max="8980" width="12.109375" style="1" customWidth="1"/>
    <col min="8981" max="8982" width="10.109375" style="1" customWidth="1"/>
    <col min="8983" max="8983" width="16.44140625" style="1" customWidth="1"/>
    <col min="8984" max="9219" width="9.109375" style="1"/>
    <col min="9220" max="9220" width="13.109375" style="1" customWidth="1"/>
    <col min="9221" max="9221" width="38.44140625" style="1" customWidth="1"/>
    <col min="9222" max="9222" width="7.109375" style="1" customWidth="1"/>
    <col min="9223" max="9223" width="6.6640625" style="1" customWidth="1"/>
    <col min="9224" max="9224" width="10.109375" style="1" customWidth="1"/>
    <col min="9225" max="9225" width="12.5546875" style="1" customWidth="1"/>
    <col min="9226" max="9226" width="12.33203125" style="1" customWidth="1"/>
    <col min="9227" max="9227" width="13.44140625" style="1" customWidth="1"/>
    <col min="9228" max="9228" width="12.109375" style="1" customWidth="1"/>
    <col min="9229" max="9229" width="13.6640625" style="1" customWidth="1"/>
    <col min="9230" max="9230" width="11.33203125" style="1" customWidth="1"/>
    <col min="9231" max="9231" width="15.5546875" style="1" customWidth="1"/>
    <col min="9232" max="9232" width="12.33203125" style="1" customWidth="1"/>
    <col min="9233" max="9233" width="7.44140625" style="1" customWidth="1"/>
    <col min="9234" max="9234" width="13.33203125" style="1" customWidth="1"/>
    <col min="9235" max="9235" width="14" style="1" customWidth="1"/>
    <col min="9236" max="9236" width="12.109375" style="1" customWidth="1"/>
    <col min="9237" max="9238" width="10.109375" style="1" customWidth="1"/>
    <col min="9239" max="9239" width="16.44140625" style="1" customWidth="1"/>
    <col min="9240" max="9475" width="9.109375" style="1"/>
    <col min="9476" max="9476" width="13.109375" style="1" customWidth="1"/>
    <col min="9477" max="9477" width="38.44140625" style="1" customWidth="1"/>
    <col min="9478" max="9478" width="7.109375" style="1" customWidth="1"/>
    <col min="9479" max="9479" width="6.6640625" style="1" customWidth="1"/>
    <col min="9480" max="9480" width="10.109375" style="1" customWidth="1"/>
    <col min="9481" max="9481" width="12.5546875" style="1" customWidth="1"/>
    <col min="9482" max="9482" width="12.33203125" style="1" customWidth="1"/>
    <col min="9483" max="9483" width="13.44140625" style="1" customWidth="1"/>
    <col min="9484" max="9484" width="12.109375" style="1" customWidth="1"/>
    <col min="9485" max="9485" width="13.6640625" style="1" customWidth="1"/>
    <col min="9486" max="9486" width="11.33203125" style="1" customWidth="1"/>
    <col min="9487" max="9487" width="15.5546875" style="1" customWidth="1"/>
    <col min="9488" max="9488" width="12.33203125" style="1" customWidth="1"/>
    <col min="9489" max="9489" width="7.44140625" style="1" customWidth="1"/>
    <col min="9490" max="9490" width="13.33203125" style="1" customWidth="1"/>
    <col min="9491" max="9491" width="14" style="1" customWidth="1"/>
    <col min="9492" max="9492" width="12.109375" style="1" customWidth="1"/>
    <col min="9493" max="9494" width="10.109375" style="1" customWidth="1"/>
    <col min="9495" max="9495" width="16.44140625" style="1" customWidth="1"/>
    <col min="9496" max="9731" width="9.109375" style="1"/>
    <col min="9732" max="9732" width="13.109375" style="1" customWidth="1"/>
    <col min="9733" max="9733" width="38.44140625" style="1" customWidth="1"/>
    <col min="9734" max="9734" width="7.109375" style="1" customWidth="1"/>
    <col min="9735" max="9735" width="6.6640625" style="1" customWidth="1"/>
    <col min="9736" max="9736" width="10.109375" style="1" customWidth="1"/>
    <col min="9737" max="9737" width="12.5546875" style="1" customWidth="1"/>
    <col min="9738" max="9738" width="12.33203125" style="1" customWidth="1"/>
    <col min="9739" max="9739" width="13.44140625" style="1" customWidth="1"/>
    <col min="9740" max="9740" width="12.109375" style="1" customWidth="1"/>
    <col min="9741" max="9741" width="13.6640625" style="1" customWidth="1"/>
    <col min="9742" max="9742" width="11.33203125" style="1" customWidth="1"/>
    <col min="9743" max="9743" width="15.5546875" style="1" customWidth="1"/>
    <col min="9744" max="9744" width="12.33203125" style="1" customWidth="1"/>
    <col min="9745" max="9745" width="7.44140625" style="1" customWidth="1"/>
    <col min="9746" max="9746" width="13.33203125" style="1" customWidth="1"/>
    <col min="9747" max="9747" width="14" style="1" customWidth="1"/>
    <col min="9748" max="9748" width="12.109375" style="1" customWidth="1"/>
    <col min="9749" max="9750" width="10.109375" style="1" customWidth="1"/>
    <col min="9751" max="9751" width="16.44140625" style="1" customWidth="1"/>
    <col min="9752" max="9987" width="9.109375" style="1"/>
    <col min="9988" max="9988" width="13.109375" style="1" customWidth="1"/>
    <col min="9989" max="9989" width="38.44140625" style="1" customWidth="1"/>
    <col min="9990" max="9990" width="7.109375" style="1" customWidth="1"/>
    <col min="9991" max="9991" width="6.6640625" style="1" customWidth="1"/>
    <col min="9992" max="9992" width="10.109375" style="1" customWidth="1"/>
    <col min="9993" max="9993" width="12.5546875" style="1" customWidth="1"/>
    <col min="9994" max="9994" width="12.33203125" style="1" customWidth="1"/>
    <col min="9995" max="9995" width="13.44140625" style="1" customWidth="1"/>
    <col min="9996" max="9996" width="12.109375" style="1" customWidth="1"/>
    <col min="9997" max="9997" width="13.6640625" style="1" customWidth="1"/>
    <col min="9998" max="9998" width="11.33203125" style="1" customWidth="1"/>
    <col min="9999" max="9999" width="15.5546875" style="1" customWidth="1"/>
    <col min="10000" max="10000" width="12.33203125" style="1" customWidth="1"/>
    <col min="10001" max="10001" width="7.44140625" style="1" customWidth="1"/>
    <col min="10002" max="10002" width="13.33203125" style="1" customWidth="1"/>
    <col min="10003" max="10003" width="14" style="1" customWidth="1"/>
    <col min="10004" max="10004" width="12.109375" style="1" customWidth="1"/>
    <col min="10005" max="10006" width="10.109375" style="1" customWidth="1"/>
    <col min="10007" max="10007" width="16.44140625" style="1" customWidth="1"/>
    <col min="10008" max="10243" width="9.109375" style="1"/>
    <col min="10244" max="10244" width="13.109375" style="1" customWidth="1"/>
    <col min="10245" max="10245" width="38.44140625" style="1" customWidth="1"/>
    <col min="10246" max="10246" width="7.109375" style="1" customWidth="1"/>
    <col min="10247" max="10247" width="6.6640625" style="1" customWidth="1"/>
    <col min="10248" max="10248" width="10.109375" style="1" customWidth="1"/>
    <col min="10249" max="10249" width="12.5546875" style="1" customWidth="1"/>
    <col min="10250" max="10250" width="12.33203125" style="1" customWidth="1"/>
    <col min="10251" max="10251" width="13.44140625" style="1" customWidth="1"/>
    <col min="10252" max="10252" width="12.109375" style="1" customWidth="1"/>
    <col min="10253" max="10253" width="13.6640625" style="1" customWidth="1"/>
    <col min="10254" max="10254" width="11.33203125" style="1" customWidth="1"/>
    <col min="10255" max="10255" width="15.5546875" style="1" customWidth="1"/>
    <col min="10256" max="10256" width="12.33203125" style="1" customWidth="1"/>
    <col min="10257" max="10257" width="7.44140625" style="1" customWidth="1"/>
    <col min="10258" max="10258" width="13.33203125" style="1" customWidth="1"/>
    <col min="10259" max="10259" width="14" style="1" customWidth="1"/>
    <col min="10260" max="10260" width="12.109375" style="1" customWidth="1"/>
    <col min="10261" max="10262" width="10.109375" style="1" customWidth="1"/>
    <col min="10263" max="10263" width="16.44140625" style="1" customWidth="1"/>
    <col min="10264" max="10499" width="9.109375" style="1"/>
    <col min="10500" max="10500" width="13.109375" style="1" customWidth="1"/>
    <col min="10501" max="10501" width="38.44140625" style="1" customWidth="1"/>
    <col min="10502" max="10502" width="7.109375" style="1" customWidth="1"/>
    <col min="10503" max="10503" width="6.6640625" style="1" customWidth="1"/>
    <col min="10504" max="10504" width="10.109375" style="1" customWidth="1"/>
    <col min="10505" max="10505" width="12.5546875" style="1" customWidth="1"/>
    <col min="10506" max="10506" width="12.33203125" style="1" customWidth="1"/>
    <col min="10507" max="10507" width="13.44140625" style="1" customWidth="1"/>
    <col min="10508" max="10508" width="12.109375" style="1" customWidth="1"/>
    <col min="10509" max="10509" width="13.6640625" style="1" customWidth="1"/>
    <col min="10510" max="10510" width="11.33203125" style="1" customWidth="1"/>
    <col min="10511" max="10511" width="15.5546875" style="1" customWidth="1"/>
    <col min="10512" max="10512" width="12.33203125" style="1" customWidth="1"/>
    <col min="10513" max="10513" width="7.44140625" style="1" customWidth="1"/>
    <col min="10514" max="10514" width="13.33203125" style="1" customWidth="1"/>
    <col min="10515" max="10515" width="14" style="1" customWidth="1"/>
    <col min="10516" max="10516" width="12.109375" style="1" customWidth="1"/>
    <col min="10517" max="10518" width="10.109375" style="1" customWidth="1"/>
    <col min="10519" max="10519" width="16.44140625" style="1" customWidth="1"/>
    <col min="10520" max="10755" width="9.109375" style="1"/>
    <col min="10756" max="10756" width="13.109375" style="1" customWidth="1"/>
    <col min="10757" max="10757" width="38.44140625" style="1" customWidth="1"/>
    <col min="10758" max="10758" width="7.109375" style="1" customWidth="1"/>
    <col min="10759" max="10759" width="6.6640625" style="1" customWidth="1"/>
    <col min="10760" max="10760" width="10.109375" style="1" customWidth="1"/>
    <col min="10761" max="10761" width="12.5546875" style="1" customWidth="1"/>
    <col min="10762" max="10762" width="12.33203125" style="1" customWidth="1"/>
    <col min="10763" max="10763" width="13.44140625" style="1" customWidth="1"/>
    <col min="10764" max="10764" width="12.109375" style="1" customWidth="1"/>
    <col min="10765" max="10765" width="13.6640625" style="1" customWidth="1"/>
    <col min="10766" max="10766" width="11.33203125" style="1" customWidth="1"/>
    <col min="10767" max="10767" width="15.5546875" style="1" customWidth="1"/>
    <col min="10768" max="10768" width="12.33203125" style="1" customWidth="1"/>
    <col min="10769" max="10769" width="7.44140625" style="1" customWidth="1"/>
    <col min="10770" max="10770" width="13.33203125" style="1" customWidth="1"/>
    <col min="10771" max="10771" width="14" style="1" customWidth="1"/>
    <col min="10772" max="10772" width="12.109375" style="1" customWidth="1"/>
    <col min="10773" max="10774" width="10.109375" style="1" customWidth="1"/>
    <col min="10775" max="10775" width="16.44140625" style="1" customWidth="1"/>
    <col min="10776" max="11011" width="9.109375" style="1"/>
    <col min="11012" max="11012" width="13.109375" style="1" customWidth="1"/>
    <col min="11013" max="11013" width="38.44140625" style="1" customWidth="1"/>
    <col min="11014" max="11014" width="7.109375" style="1" customWidth="1"/>
    <col min="11015" max="11015" width="6.6640625" style="1" customWidth="1"/>
    <col min="11016" max="11016" width="10.109375" style="1" customWidth="1"/>
    <col min="11017" max="11017" width="12.5546875" style="1" customWidth="1"/>
    <col min="11018" max="11018" width="12.33203125" style="1" customWidth="1"/>
    <col min="11019" max="11019" width="13.44140625" style="1" customWidth="1"/>
    <col min="11020" max="11020" width="12.109375" style="1" customWidth="1"/>
    <col min="11021" max="11021" width="13.6640625" style="1" customWidth="1"/>
    <col min="11022" max="11022" width="11.33203125" style="1" customWidth="1"/>
    <col min="11023" max="11023" width="15.5546875" style="1" customWidth="1"/>
    <col min="11024" max="11024" width="12.33203125" style="1" customWidth="1"/>
    <col min="11025" max="11025" width="7.44140625" style="1" customWidth="1"/>
    <col min="11026" max="11026" width="13.33203125" style="1" customWidth="1"/>
    <col min="11027" max="11027" width="14" style="1" customWidth="1"/>
    <col min="11028" max="11028" width="12.109375" style="1" customWidth="1"/>
    <col min="11029" max="11030" width="10.109375" style="1" customWidth="1"/>
    <col min="11031" max="11031" width="16.44140625" style="1" customWidth="1"/>
    <col min="11032" max="11267" width="9.109375" style="1"/>
    <col min="11268" max="11268" width="13.109375" style="1" customWidth="1"/>
    <col min="11269" max="11269" width="38.44140625" style="1" customWidth="1"/>
    <col min="11270" max="11270" width="7.109375" style="1" customWidth="1"/>
    <col min="11271" max="11271" width="6.6640625" style="1" customWidth="1"/>
    <col min="11272" max="11272" width="10.109375" style="1" customWidth="1"/>
    <col min="11273" max="11273" width="12.5546875" style="1" customWidth="1"/>
    <col min="11274" max="11274" width="12.33203125" style="1" customWidth="1"/>
    <col min="11275" max="11275" width="13.44140625" style="1" customWidth="1"/>
    <col min="11276" max="11276" width="12.109375" style="1" customWidth="1"/>
    <col min="11277" max="11277" width="13.6640625" style="1" customWidth="1"/>
    <col min="11278" max="11278" width="11.33203125" style="1" customWidth="1"/>
    <col min="11279" max="11279" width="15.5546875" style="1" customWidth="1"/>
    <col min="11280" max="11280" width="12.33203125" style="1" customWidth="1"/>
    <col min="11281" max="11281" width="7.44140625" style="1" customWidth="1"/>
    <col min="11282" max="11282" width="13.33203125" style="1" customWidth="1"/>
    <col min="11283" max="11283" width="14" style="1" customWidth="1"/>
    <col min="11284" max="11284" width="12.109375" style="1" customWidth="1"/>
    <col min="11285" max="11286" width="10.109375" style="1" customWidth="1"/>
    <col min="11287" max="11287" width="16.44140625" style="1" customWidth="1"/>
    <col min="11288" max="11523" width="9.109375" style="1"/>
    <col min="11524" max="11524" width="13.109375" style="1" customWidth="1"/>
    <col min="11525" max="11525" width="38.44140625" style="1" customWidth="1"/>
    <col min="11526" max="11526" width="7.109375" style="1" customWidth="1"/>
    <col min="11527" max="11527" width="6.6640625" style="1" customWidth="1"/>
    <col min="11528" max="11528" width="10.109375" style="1" customWidth="1"/>
    <col min="11529" max="11529" width="12.5546875" style="1" customWidth="1"/>
    <col min="11530" max="11530" width="12.33203125" style="1" customWidth="1"/>
    <col min="11531" max="11531" width="13.44140625" style="1" customWidth="1"/>
    <col min="11532" max="11532" width="12.109375" style="1" customWidth="1"/>
    <col min="11533" max="11533" width="13.6640625" style="1" customWidth="1"/>
    <col min="11534" max="11534" width="11.33203125" style="1" customWidth="1"/>
    <col min="11535" max="11535" width="15.5546875" style="1" customWidth="1"/>
    <col min="11536" max="11536" width="12.33203125" style="1" customWidth="1"/>
    <col min="11537" max="11537" width="7.44140625" style="1" customWidth="1"/>
    <col min="11538" max="11538" width="13.33203125" style="1" customWidth="1"/>
    <col min="11539" max="11539" width="14" style="1" customWidth="1"/>
    <col min="11540" max="11540" width="12.109375" style="1" customWidth="1"/>
    <col min="11541" max="11542" width="10.109375" style="1" customWidth="1"/>
    <col min="11543" max="11543" width="16.44140625" style="1" customWidth="1"/>
    <col min="11544" max="11779" width="9.109375" style="1"/>
    <col min="11780" max="11780" width="13.109375" style="1" customWidth="1"/>
    <col min="11781" max="11781" width="38.44140625" style="1" customWidth="1"/>
    <col min="11782" max="11782" width="7.109375" style="1" customWidth="1"/>
    <col min="11783" max="11783" width="6.6640625" style="1" customWidth="1"/>
    <col min="11784" max="11784" width="10.109375" style="1" customWidth="1"/>
    <col min="11785" max="11785" width="12.5546875" style="1" customWidth="1"/>
    <col min="11786" max="11786" width="12.33203125" style="1" customWidth="1"/>
    <col min="11787" max="11787" width="13.44140625" style="1" customWidth="1"/>
    <col min="11788" max="11788" width="12.109375" style="1" customWidth="1"/>
    <col min="11789" max="11789" width="13.6640625" style="1" customWidth="1"/>
    <col min="11790" max="11790" width="11.33203125" style="1" customWidth="1"/>
    <col min="11791" max="11791" width="15.5546875" style="1" customWidth="1"/>
    <col min="11792" max="11792" width="12.33203125" style="1" customWidth="1"/>
    <col min="11793" max="11793" width="7.44140625" style="1" customWidth="1"/>
    <col min="11794" max="11794" width="13.33203125" style="1" customWidth="1"/>
    <col min="11795" max="11795" width="14" style="1" customWidth="1"/>
    <col min="11796" max="11796" width="12.109375" style="1" customWidth="1"/>
    <col min="11797" max="11798" width="10.109375" style="1" customWidth="1"/>
    <col min="11799" max="11799" width="16.44140625" style="1" customWidth="1"/>
    <col min="11800" max="12035" width="9.109375" style="1"/>
    <col min="12036" max="12036" width="13.109375" style="1" customWidth="1"/>
    <col min="12037" max="12037" width="38.44140625" style="1" customWidth="1"/>
    <col min="12038" max="12038" width="7.109375" style="1" customWidth="1"/>
    <col min="12039" max="12039" width="6.6640625" style="1" customWidth="1"/>
    <col min="12040" max="12040" width="10.109375" style="1" customWidth="1"/>
    <col min="12041" max="12041" width="12.5546875" style="1" customWidth="1"/>
    <col min="12042" max="12042" width="12.33203125" style="1" customWidth="1"/>
    <col min="12043" max="12043" width="13.44140625" style="1" customWidth="1"/>
    <col min="12044" max="12044" width="12.109375" style="1" customWidth="1"/>
    <col min="12045" max="12045" width="13.6640625" style="1" customWidth="1"/>
    <col min="12046" max="12046" width="11.33203125" style="1" customWidth="1"/>
    <col min="12047" max="12047" width="15.5546875" style="1" customWidth="1"/>
    <col min="12048" max="12048" width="12.33203125" style="1" customWidth="1"/>
    <col min="12049" max="12049" width="7.44140625" style="1" customWidth="1"/>
    <col min="12050" max="12050" width="13.33203125" style="1" customWidth="1"/>
    <col min="12051" max="12051" width="14" style="1" customWidth="1"/>
    <col min="12052" max="12052" width="12.109375" style="1" customWidth="1"/>
    <col min="12053" max="12054" width="10.109375" style="1" customWidth="1"/>
    <col min="12055" max="12055" width="16.44140625" style="1" customWidth="1"/>
    <col min="12056" max="12291" width="9.109375" style="1"/>
    <col min="12292" max="12292" width="13.109375" style="1" customWidth="1"/>
    <col min="12293" max="12293" width="38.44140625" style="1" customWidth="1"/>
    <col min="12294" max="12294" width="7.109375" style="1" customWidth="1"/>
    <col min="12295" max="12295" width="6.6640625" style="1" customWidth="1"/>
    <col min="12296" max="12296" width="10.109375" style="1" customWidth="1"/>
    <col min="12297" max="12297" width="12.5546875" style="1" customWidth="1"/>
    <col min="12298" max="12298" width="12.33203125" style="1" customWidth="1"/>
    <col min="12299" max="12299" width="13.44140625" style="1" customWidth="1"/>
    <col min="12300" max="12300" width="12.109375" style="1" customWidth="1"/>
    <col min="12301" max="12301" width="13.6640625" style="1" customWidth="1"/>
    <col min="12302" max="12302" width="11.33203125" style="1" customWidth="1"/>
    <col min="12303" max="12303" width="15.5546875" style="1" customWidth="1"/>
    <col min="12304" max="12304" width="12.33203125" style="1" customWidth="1"/>
    <col min="12305" max="12305" width="7.44140625" style="1" customWidth="1"/>
    <col min="12306" max="12306" width="13.33203125" style="1" customWidth="1"/>
    <col min="12307" max="12307" width="14" style="1" customWidth="1"/>
    <col min="12308" max="12308" width="12.109375" style="1" customWidth="1"/>
    <col min="12309" max="12310" width="10.109375" style="1" customWidth="1"/>
    <col min="12311" max="12311" width="16.44140625" style="1" customWidth="1"/>
    <col min="12312" max="12547" width="9.109375" style="1"/>
    <col min="12548" max="12548" width="13.109375" style="1" customWidth="1"/>
    <col min="12549" max="12549" width="38.44140625" style="1" customWidth="1"/>
    <col min="12550" max="12550" width="7.109375" style="1" customWidth="1"/>
    <col min="12551" max="12551" width="6.6640625" style="1" customWidth="1"/>
    <col min="12552" max="12552" width="10.109375" style="1" customWidth="1"/>
    <col min="12553" max="12553" width="12.5546875" style="1" customWidth="1"/>
    <col min="12554" max="12554" width="12.33203125" style="1" customWidth="1"/>
    <col min="12555" max="12555" width="13.44140625" style="1" customWidth="1"/>
    <col min="12556" max="12556" width="12.109375" style="1" customWidth="1"/>
    <col min="12557" max="12557" width="13.6640625" style="1" customWidth="1"/>
    <col min="12558" max="12558" width="11.33203125" style="1" customWidth="1"/>
    <col min="12559" max="12559" width="15.5546875" style="1" customWidth="1"/>
    <col min="12560" max="12560" width="12.33203125" style="1" customWidth="1"/>
    <col min="12561" max="12561" width="7.44140625" style="1" customWidth="1"/>
    <col min="12562" max="12562" width="13.33203125" style="1" customWidth="1"/>
    <col min="12563" max="12563" width="14" style="1" customWidth="1"/>
    <col min="12564" max="12564" width="12.109375" style="1" customWidth="1"/>
    <col min="12565" max="12566" width="10.109375" style="1" customWidth="1"/>
    <col min="12567" max="12567" width="16.44140625" style="1" customWidth="1"/>
    <col min="12568" max="12803" width="9.109375" style="1"/>
    <col min="12804" max="12804" width="13.109375" style="1" customWidth="1"/>
    <col min="12805" max="12805" width="38.44140625" style="1" customWidth="1"/>
    <col min="12806" max="12806" width="7.109375" style="1" customWidth="1"/>
    <col min="12807" max="12807" width="6.6640625" style="1" customWidth="1"/>
    <col min="12808" max="12808" width="10.109375" style="1" customWidth="1"/>
    <col min="12809" max="12809" width="12.5546875" style="1" customWidth="1"/>
    <col min="12810" max="12810" width="12.33203125" style="1" customWidth="1"/>
    <col min="12811" max="12811" width="13.44140625" style="1" customWidth="1"/>
    <col min="12812" max="12812" width="12.109375" style="1" customWidth="1"/>
    <col min="12813" max="12813" width="13.6640625" style="1" customWidth="1"/>
    <col min="12814" max="12814" width="11.33203125" style="1" customWidth="1"/>
    <col min="12815" max="12815" width="15.5546875" style="1" customWidth="1"/>
    <col min="12816" max="12816" width="12.33203125" style="1" customWidth="1"/>
    <col min="12817" max="12817" width="7.44140625" style="1" customWidth="1"/>
    <col min="12818" max="12818" width="13.33203125" style="1" customWidth="1"/>
    <col min="12819" max="12819" width="14" style="1" customWidth="1"/>
    <col min="12820" max="12820" width="12.109375" style="1" customWidth="1"/>
    <col min="12821" max="12822" width="10.109375" style="1" customWidth="1"/>
    <col min="12823" max="12823" width="16.44140625" style="1" customWidth="1"/>
    <col min="12824" max="13059" width="9.109375" style="1"/>
    <col min="13060" max="13060" width="13.109375" style="1" customWidth="1"/>
    <col min="13061" max="13061" width="38.44140625" style="1" customWidth="1"/>
    <col min="13062" max="13062" width="7.109375" style="1" customWidth="1"/>
    <col min="13063" max="13063" width="6.6640625" style="1" customWidth="1"/>
    <col min="13064" max="13064" width="10.109375" style="1" customWidth="1"/>
    <col min="13065" max="13065" width="12.5546875" style="1" customWidth="1"/>
    <col min="13066" max="13066" width="12.33203125" style="1" customWidth="1"/>
    <col min="13067" max="13067" width="13.44140625" style="1" customWidth="1"/>
    <col min="13068" max="13068" width="12.109375" style="1" customWidth="1"/>
    <col min="13069" max="13069" width="13.6640625" style="1" customWidth="1"/>
    <col min="13070" max="13070" width="11.33203125" style="1" customWidth="1"/>
    <col min="13071" max="13071" width="15.5546875" style="1" customWidth="1"/>
    <col min="13072" max="13072" width="12.33203125" style="1" customWidth="1"/>
    <col min="13073" max="13073" width="7.44140625" style="1" customWidth="1"/>
    <col min="13074" max="13074" width="13.33203125" style="1" customWidth="1"/>
    <col min="13075" max="13075" width="14" style="1" customWidth="1"/>
    <col min="13076" max="13076" width="12.109375" style="1" customWidth="1"/>
    <col min="13077" max="13078" width="10.109375" style="1" customWidth="1"/>
    <col min="13079" max="13079" width="16.44140625" style="1" customWidth="1"/>
    <col min="13080" max="13315" width="9.109375" style="1"/>
    <col min="13316" max="13316" width="13.109375" style="1" customWidth="1"/>
    <col min="13317" max="13317" width="38.44140625" style="1" customWidth="1"/>
    <col min="13318" max="13318" width="7.109375" style="1" customWidth="1"/>
    <col min="13319" max="13319" width="6.6640625" style="1" customWidth="1"/>
    <col min="13320" max="13320" width="10.109375" style="1" customWidth="1"/>
    <col min="13321" max="13321" width="12.5546875" style="1" customWidth="1"/>
    <col min="13322" max="13322" width="12.33203125" style="1" customWidth="1"/>
    <col min="13323" max="13323" width="13.44140625" style="1" customWidth="1"/>
    <col min="13324" max="13324" width="12.109375" style="1" customWidth="1"/>
    <col min="13325" max="13325" width="13.6640625" style="1" customWidth="1"/>
    <col min="13326" max="13326" width="11.33203125" style="1" customWidth="1"/>
    <col min="13327" max="13327" width="15.5546875" style="1" customWidth="1"/>
    <col min="13328" max="13328" width="12.33203125" style="1" customWidth="1"/>
    <col min="13329" max="13329" width="7.44140625" style="1" customWidth="1"/>
    <col min="13330" max="13330" width="13.33203125" style="1" customWidth="1"/>
    <col min="13331" max="13331" width="14" style="1" customWidth="1"/>
    <col min="13332" max="13332" width="12.109375" style="1" customWidth="1"/>
    <col min="13333" max="13334" width="10.109375" style="1" customWidth="1"/>
    <col min="13335" max="13335" width="16.44140625" style="1" customWidth="1"/>
    <col min="13336" max="13571" width="9.109375" style="1"/>
    <col min="13572" max="13572" width="13.109375" style="1" customWidth="1"/>
    <col min="13573" max="13573" width="38.44140625" style="1" customWidth="1"/>
    <col min="13574" max="13574" width="7.109375" style="1" customWidth="1"/>
    <col min="13575" max="13575" width="6.6640625" style="1" customWidth="1"/>
    <col min="13576" max="13576" width="10.109375" style="1" customWidth="1"/>
    <col min="13577" max="13577" width="12.5546875" style="1" customWidth="1"/>
    <col min="13578" max="13578" width="12.33203125" style="1" customWidth="1"/>
    <col min="13579" max="13579" width="13.44140625" style="1" customWidth="1"/>
    <col min="13580" max="13580" width="12.109375" style="1" customWidth="1"/>
    <col min="13581" max="13581" width="13.6640625" style="1" customWidth="1"/>
    <col min="13582" max="13582" width="11.33203125" style="1" customWidth="1"/>
    <col min="13583" max="13583" width="15.5546875" style="1" customWidth="1"/>
    <col min="13584" max="13584" width="12.33203125" style="1" customWidth="1"/>
    <col min="13585" max="13585" width="7.44140625" style="1" customWidth="1"/>
    <col min="13586" max="13586" width="13.33203125" style="1" customWidth="1"/>
    <col min="13587" max="13587" width="14" style="1" customWidth="1"/>
    <col min="13588" max="13588" width="12.109375" style="1" customWidth="1"/>
    <col min="13589" max="13590" width="10.109375" style="1" customWidth="1"/>
    <col min="13591" max="13591" width="16.44140625" style="1" customWidth="1"/>
    <col min="13592" max="13827" width="9.109375" style="1"/>
    <col min="13828" max="13828" width="13.109375" style="1" customWidth="1"/>
    <col min="13829" max="13829" width="38.44140625" style="1" customWidth="1"/>
    <col min="13830" max="13830" width="7.109375" style="1" customWidth="1"/>
    <col min="13831" max="13831" width="6.6640625" style="1" customWidth="1"/>
    <col min="13832" max="13832" width="10.109375" style="1" customWidth="1"/>
    <col min="13833" max="13833" width="12.5546875" style="1" customWidth="1"/>
    <col min="13834" max="13834" width="12.33203125" style="1" customWidth="1"/>
    <col min="13835" max="13835" width="13.44140625" style="1" customWidth="1"/>
    <col min="13836" max="13836" width="12.109375" style="1" customWidth="1"/>
    <col min="13837" max="13837" width="13.6640625" style="1" customWidth="1"/>
    <col min="13838" max="13838" width="11.33203125" style="1" customWidth="1"/>
    <col min="13839" max="13839" width="15.5546875" style="1" customWidth="1"/>
    <col min="13840" max="13840" width="12.33203125" style="1" customWidth="1"/>
    <col min="13841" max="13841" width="7.44140625" style="1" customWidth="1"/>
    <col min="13842" max="13842" width="13.33203125" style="1" customWidth="1"/>
    <col min="13843" max="13843" width="14" style="1" customWidth="1"/>
    <col min="13844" max="13844" width="12.109375" style="1" customWidth="1"/>
    <col min="13845" max="13846" width="10.109375" style="1" customWidth="1"/>
    <col min="13847" max="13847" width="16.44140625" style="1" customWidth="1"/>
    <col min="13848" max="14083" width="9.109375" style="1"/>
    <col min="14084" max="14084" width="13.109375" style="1" customWidth="1"/>
    <col min="14085" max="14085" width="38.44140625" style="1" customWidth="1"/>
    <col min="14086" max="14086" width="7.109375" style="1" customWidth="1"/>
    <col min="14087" max="14087" width="6.6640625" style="1" customWidth="1"/>
    <col min="14088" max="14088" width="10.109375" style="1" customWidth="1"/>
    <col min="14089" max="14089" width="12.5546875" style="1" customWidth="1"/>
    <col min="14090" max="14090" width="12.33203125" style="1" customWidth="1"/>
    <col min="14091" max="14091" width="13.44140625" style="1" customWidth="1"/>
    <col min="14092" max="14092" width="12.109375" style="1" customWidth="1"/>
    <col min="14093" max="14093" width="13.6640625" style="1" customWidth="1"/>
    <col min="14094" max="14094" width="11.33203125" style="1" customWidth="1"/>
    <col min="14095" max="14095" width="15.5546875" style="1" customWidth="1"/>
    <col min="14096" max="14096" width="12.33203125" style="1" customWidth="1"/>
    <col min="14097" max="14097" width="7.44140625" style="1" customWidth="1"/>
    <col min="14098" max="14098" width="13.33203125" style="1" customWidth="1"/>
    <col min="14099" max="14099" width="14" style="1" customWidth="1"/>
    <col min="14100" max="14100" width="12.109375" style="1" customWidth="1"/>
    <col min="14101" max="14102" width="10.109375" style="1" customWidth="1"/>
    <col min="14103" max="14103" width="16.44140625" style="1" customWidth="1"/>
    <col min="14104" max="14339" width="9.109375" style="1"/>
    <col min="14340" max="14340" width="13.109375" style="1" customWidth="1"/>
    <col min="14341" max="14341" width="38.44140625" style="1" customWidth="1"/>
    <col min="14342" max="14342" width="7.109375" style="1" customWidth="1"/>
    <col min="14343" max="14343" width="6.6640625" style="1" customWidth="1"/>
    <col min="14344" max="14344" width="10.109375" style="1" customWidth="1"/>
    <col min="14345" max="14345" width="12.5546875" style="1" customWidth="1"/>
    <col min="14346" max="14346" width="12.33203125" style="1" customWidth="1"/>
    <col min="14347" max="14347" width="13.44140625" style="1" customWidth="1"/>
    <col min="14348" max="14348" width="12.109375" style="1" customWidth="1"/>
    <col min="14349" max="14349" width="13.6640625" style="1" customWidth="1"/>
    <col min="14350" max="14350" width="11.33203125" style="1" customWidth="1"/>
    <col min="14351" max="14351" width="15.5546875" style="1" customWidth="1"/>
    <col min="14352" max="14352" width="12.33203125" style="1" customWidth="1"/>
    <col min="14353" max="14353" width="7.44140625" style="1" customWidth="1"/>
    <col min="14354" max="14354" width="13.33203125" style="1" customWidth="1"/>
    <col min="14355" max="14355" width="14" style="1" customWidth="1"/>
    <col min="14356" max="14356" width="12.109375" style="1" customWidth="1"/>
    <col min="14357" max="14358" width="10.109375" style="1" customWidth="1"/>
    <col min="14359" max="14359" width="16.44140625" style="1" customWidth="1"/>
    <col min="14360" max="14595" width="9.109375" style="1"/>
    <col min="14596" max="14596" width="13.109375" style="1" customWidth="1"/>
    <col min="14597" max="14597" width="38.44140625" style="1" customWidth="1"/>
    <col min="14598" max="14598" width="7.109375" style="1" customWidth="1"/>
    <col min="14599" max="14599" width="6.6640625" style="1" customWidth="1"/>
    <col min="14600" max="14600" width="10.109375" style="1" customWidth="1"/>
    <col min="14601" max="14601" width="12.5546875" style="1" customWidth="1"/>
    <col min="14602" max="14602" width="12.33203125" style="1" customWidth="1"/>
    <col min="14603" max="14603" width="13.44140625" style="1" customWidth="1"/>
    <col min="14604" max="14604" width="12.109375" style="1" customWidth="1"/>
    <col min="14605" max="14605" width="13.6640625" style="1" customWidth="1"/>
    <col min="14606" max="14606" width="11.33203125" style="1" customWidth="1"/>
    <col min="14607" max="14607" width="15.5546875" style="1" customWidth="1"/>
    <col min="14608" max="14608" width="12.33203125" style="1" customWidth="1"/>
    <col min="14609" max="14609" width="7.44140625" style="1" customWidth="1"/>
    <col min="14610" max="14610" width="13.33203125" style="1" customWidth="1"/>
    <col min="14611" max="14611" width="14" style="1" customWidth="1"/>
    <col min="14612" max="14612" width="12.109375" style="1" customWidth="1"/>
    <col min="14613" max="14614" width="10.109375" style="1" customWidth="1"/>
    <col min="14615" max="14615" width="16.44140625" style="1" customWidth="1"/>
    <col min="14616" max="14851" width="9.109375" style="1"/>
    <col min="14852" max="14852" width="13.109375" style="1" customWidth="1"/>
    <col min="14853" max="14853" width="38.44140625" style="1" customWidth="1"/>
    <col min="14854" max="14854" width="7.109375" style="1" customWidth="1"/>
    <col min="14855" max="14855" width="6.6640625" style="1" customWidth="1"/>
    <col min="14856" max="14856" width="10.109375" style="1" customWidth="1"/>
    <col min="14857" max="14857" width="12.5546875" style="1" customWidth="1"/>
    <col min="14858" max="14858" width="12.33203125" style="1" customWidth="1"/>
    <col min="14859" max="14859" width="13.44140625" style="1" customWidth="1"/>
    <col min="14860" max="14860" width="12.109375" style="1" customWidth="1"/>
    <col min="14861" max="14861" width="13.6640625" style="1" customWidth="1"/>
    <col min="14862" max="14862" width="11.33203125" style="1" customWidth="1"/>
    <col min="14863" max="14863" width="15.5546875" style="1" customWidth="1"/>
    <col min="14864" max="14864" width="12.33203125" style="1" customWidth="1"/>
    <col min="14865" max="14865" width="7.44140625" style="1" customWidth="1"/>
    <col min="14866" max="14866" width="13.33203125" style="1" customWidth="1"/>
    <col min="14867" max="14867" width="14" style="1" customWidth="1"/>
    <col min="14868" max="14868" width="12.109375" style="1" customWidth="1"/>
    <col min="14869" max="14870" width="10.109375" style="1" customWidth="1"/>
    <col min="14871" max="14871" width="16.44140625" style="1" customWidth="1"/>
    <col min="14872" max="15107" width="9.109375" style="1"/>
    <col min="15108" max="15108" width="13.109375" style="1" customWidth="1"/>
    <col min="15109" max="15109" width="38.44140625" style="1" customWidth="1"/>
    <col min="15110" max="15110" width="7.109375" style="1" customWidth="1"/>
    <col min="15111" max="15111" width="6.6640625" style="1" customWidth="1"/>
    <col min="15112" max="15112" width="10.109375" style="1" customWidth="1"/>
    <col min="15113" max="15113" width="12.5546875" style="1" customWidth="1"/>
    <col min="15114" max="15114" width="12.33203125" style="1" customWidth="1"/>
    <col min="15115" max="15115" width="13.44140625" style="1" customWidth="1"/>
    <col min="15116" max="15116" width="12.109375" style="1" customWidth="1"/>
    <col min="15117" max="15117" width="13.6640625" style="1" customWidth="1"/>
    <col min="15118" max="15118" width="11.33203125" style="1" customWidth="1"/>
    <col min="15119" max="15119" width="15.5546875" style="1" customWidth="1"/>
    <col min="15120" max="15120" width="12.33203125" style="1" customWidth="1"/>
    <col min="15121" max="15121" width="7.44140625" style="1" customWidth="1"/>
    <col min="15122" max="15122" width="13.33203125" style="1" customWidth="1"/>
    <col min="15123" max="15123" width="14" style="1" customWidth="1"/>
    <col min="15124" max="15124" width="12.109375" style="1" customWidth="1"/>
    <col min="15125" max="15126" width="10.109375" style="1" customWidth="1"/>
    <col min="15127" max="15127" width="16.44140625" style="1" customWidth="1"/>
    <col min="15128" max="15363" width="9.109375" style="1"/>
    <col min="15364" max="15364" width="13.109375" style="1" customWidth="1"/>
    <col min="15365" max="15365" width="38.44140625" style="1" customWidth="1"/>
    <col min="15366" max="15366" width="7.109375" style="1" customWidth="1"/>
    <col min="15367" max="15367" width="6.6640625" style="1" customWidth="1"/>
    <col min="15368" max="15368" width="10.109375" style="1" customWidth="1"/>
    <col min="15369" max="15369" width="12.5546875" style="1" customWidth="1"/>
    <col min="15370" max="15370" width="12.33203125" style="1" customWidth="1"/>
    <col min="15371" max="15371" width="13.44140625" style="1" customWidth="1"/>
    <col min="15372" max="15372" width="12.109375" style="1" customWidth="1"/>
    <col min="15373" max="15373" width="13.6640625" style="1" customWidth="1"/>
    <col min="15374" max="15374" width="11.33203125" style="1" customWidth="1"/>
    <col min="15375" max="15375" width="15.5546875" style="1" customWidth="1"/>
    <col min="15376" max="15376" width="12.33203125" style="1" customWidth="1"/>
    <col min="15377" max="15377" width="7.44140625" style="1" customWidth="1"/>
    <col min="15378" max="15378" width="13.33203125" style="1" customWidth="1"/>
    <col min="15379" max="15379" width="14" style="1" customWidth="1"/>
    <col min="15380" max="15380" width="12.109375" style="1" customWidth="1"/>
    <col min="15381" max="15382" width="10.109375" style="1" customWidth="1"/>
    <col min="15383" max="15383" width="16.44140625" style="1" customWidth="1"/>
    <col min="15384" max="15619" width="9.109375" style="1"/>
    <col min="15620" max="15620" width="13.109375" style="1" customWidth="1"/>
    <col min="15621" max="15621" width="38.44140625" style="1" customWidth="1"/>
    <col min="15622" max="15622" width="7.109375" style="1" customWidth="1"/>
    <col min="15623" max="15623" width="6.6640625" style="1" customWidth="1"/>
    <col min="15624" max="15624" width="10.109375" style="1" customWidth="1"/>
    <col min="15625" max="15625" width="12.5546875" style="1" customWidth="1"/>
    <col min="15626" max="15626" width="12.33203125" style="1" customWidth="1"/>
    <col min="15627" max="15627" width="13.44140625" style="1" customWidth="1"/>
    <col min="15628" max="15628" width="12.109375" style="1" customWidth="1"/>
    <col min="15629" max="15629" width="13.6640625" style="1" customWidth="1"/>
    <col min="15630" max="15630" width="11.33203125" style="1" customWidth="1"/>
    <col min="15631" max="15631" width="15.5546875" style="1" customWidth="1"/>
    <col min="15632" max="15632" width="12.33203125" style="1" customWidth="1"/>
    <col min="15633" max="15633" width="7.44140625" style="1" customWidth="1"/>
    <col min="15634" max="15634" width="13.33203125" style="1" customWidth="1"/>
    <col min="15635" max="15635" width="14" style="1" customWidth="1"/>
    <col min="15636" max="15636" width="12.109375" style="1" customWidth="1"/>
    <col min="15637" max="15638" width="10.109375" style="1" customWidth="1"/>
    <col min="15639" max="15639" width="16.44140625" style="1" customWidth="1"/>
    <col min="15640" max="15875" width="9.109375" style="1"/>
    <col min="15876" max="15876" width="13.109375" style="1" customWidth="1"/>
    <col min="15877" max="15877" width="38.44140625" style="1" customWidth="1"/>
    <col min="15878" max="15878" width="7.109375" style="1" customWidth="1"/>
    <col min="15879" max="15879" width="6.6640625" style="1" customWidth="1"/>
    <col min="15880" max="15880" width="10.109375" style="1" customWidth="1"/>
    <col min="15881" max="15881" width="12.5546875" style="1" customWidth="1"/>
    <col min="15882" max="15882" width="12.33203125" style="1" customWidth="1"/>
    <col min="15883" max="15883" width="13.44140625" style="1" customWidth="1"/>
    <col min="15884" max="15884" width="12.109375" style="1" customWidth="1"/>
    <col min="15885" max="15885" width="13.6640625" style="1" customWidth="1"/>
    <col min="15886" max="15886" width="11.33203125" style="1" customWidth="1"/>
    <col min="15887" max="15887" width="15.5546875" style="1" customWidth="1"/>
    <col min="15888" max="15888" width="12.33203125" style="1" customWidth="1"/>
    <col min="15889" max="15889" width="7.44140625" style="1" customWidth="1"/>
    <col min="15890" max="15890" width="13.33203125" style="1" customWidth="1"/>
    <col min="15891" max="15891" width="14" style="1" customWidth="1"/>
    <col min="15892" max="15892" width="12.109375" style="1" customWidth="1"/>
    <col min="15893" max="15894" width="10.109375" style="1" customWidth="1"/>
    <col min="15895" max="15895" width="16.44140625" style="1" customWidth="1"/>
    <col min="15896" max="16131" width="9.109375" style="1"/>
    <col min="16132" max="16132" width="13.109375" style="1" customWidth="1"/>
    <col min="16133" max="16133" width="38.44140625" style="1" customWidth="1"/>
    <col min="16134" max="16134" width="7.109375" style="1" customWidth="1"/>
    <col min="16135" max="16135" width="6.6640625" style="1" customWidth="1"/>
    <col min="16136" max="16136" width="10.109375" style="1" customWidth="1"/>
    <col min="16137" max="16137" width="12.5546875" style="1" customWidth="1"/>
    <col min="16138" max="16138" width="12.33203125" style="1" customWidth="1"/>
    <col min="16139" max="16139" width="13.44140625" style="1" customWidth="1"/>
    <col min="16140" max="16140" width="12.109375" style="1" customWidth="1"/>
    <col min="16141" max="16141" width="13.6640625" style="1" customWidth="1"/>
    <col min="16142" max="16142" width="11.33203125" style="1" customWidth="1"/>
    <col min="16143" max="16143" width="15.5546875" style="1" customWidth="1"/>
    <col min="16144" max="16144" width="12.33203125" style="1" customWidth="1"/>
    <col min="16145" max="16145" width="7.44140625" style="1" customWidth="1"/>
    <col min="16146" max="16146" width="13.33203125" style="1" customWidth="1"/>
    <col min="16147" max="16147" width="14" style="1" customWidth="1"/>
    <col min="16148" max="16148" width="12.109375" style="1" customWidth="1"/>
    <col min="16149" max="16150" width="10.109375" style="1" customWidth="1"/>
    <col min="16151" max="16151" width="16.44140625" style="1" customWidth="1"/>
    <col min="16152" max="16384" width="9.109375" style="1"/>
  </cols>
  <sheetData>
    <row r="1" spans="1:25" ht="14.4" x14ac:dyDescent="0.3">
      <c r="A1" s="4"/>
      <c r="B1" s="355" t="str">
        <f>INSTRUÇÕES!B1</f>
        <v>Tribunal Regional Federal da 6ª Região</v>
      </c>
      <c r="C1" s="356"/>
      <c r="D1" s="356"/>
      <c r="E1" s="356"/>
      <c r="F1" s="356"/>
      <c r="G1" s="356"/>
      <c r="H1" s="356"/>
      <c r="I1" s="356"/>
      <c r="J1" s="357"/>
      <c r="K1" s="357"/>
      <c r="L1" s="357"/>
      <c r="M1" s="357"/>
      <c r="N1" s="357"/>
      <c r="O1" s="357"/>
      <c r="P1" s="357"/>
      <c r="Q1" s="357"/>
      <c r="R1" s="357"/>
      <c r="S1" s="357"/>
      <c r="T1" s="357"/>
      <c r="U1" s="357"/>
      <c r="V1" s="357"/>
      <c r="W1" s="358"/>
    </row>
    <row r="2" spans="1:25" ht="14.4" x14ac:dyDescent="0.3">
      <c r="A2" s="359"/>
      <c r="B2" s="118" t="str">
        <f>INSTRUÇÕES!B2</f>
        <v>Seção Judiciária de Minas Gerais</v>
      </c>
      <c r="C2" s="83"/>
      <c r="D2" s="83"/>
      <c r="E2" s="83"/>
      <c r="F2" s="83"/>
      <c r="G2" s="83"/>
      <c r="H2" s="83"/>
      <c r="I2" s="83"/>
      <c r="W2" s="360"/>
    </row>
    <row r="3" spans="1:25" ht="14.4" x14ac:dyDescent="0.3">
      <c r="A3" s="359"/>
      <c r="B3" s="118" t="str">
        <f>INSTRUÇÕES!B3</f>
        <v>Subseção Judiciária de Manhuaçu</v>
      </c>
      <c r="C3" s="83"/>
      <c r="D3" s="83"/>
      <c r="E3" s="83"/>
      <c r="F3" s="83"/>
      <c r="G3" s="83"/>
      <c r="H3" s="83"/>
      <c r="I3" s="83"/>
      <c r="W3" s="360"/>
    </row>
    <row r="4" spans="1:25" s="361" customFormat="1" ht="18.75" customHeight="1" x14ac:dyDescent="0.3">
      <c r="A4" s="675" t="s">
        <v>438</v>
      </c>
      <c r="B4" s="675"/>
      <c r="C4" s="675"/>
      <c r="D4" s="675"/>
      <c r="E4" s="675"/>
      <c r="F4" s="675"/>
      <c r="G4" s="675"/>
      <c r="H4" s="675"/>
      <c r="I4" s="675"/>
      <c r="J4" s="675"/>
      <c r="K4" s="675"/>
      <c r="L4" s="675"/>
      <c r="M4" s="675"/>
      <c r="N4" s="675"/>
      <c r="O4" s="675"/>
      <c r="P4" s="675"/>
      <c r="Q4" s="675"/>
      <c r="R4" s="675"/>
      <c r="S4" s="675"/>
      <c r="T4" s="675"/>
      <c r="U4" s="675"/>
      <c r="V4" s="675"/>
      <c r="W4" s="675"/>
    </row>
    <row r="5" spans="1:25" s="123" customFormat="1" ht="21" customHeight="1" x14ac:dyDescent="0.3">
      <c r="A5" s="676" t="str">
        <f>"PREÇO MENSAL GLOBAL - "&amp;B3</f>
        <v>PREÇO MENSAL GLOBAL - Subseção Judiciária de Manhuaçu</v>
      </c>
      <c r="B5" s="676"/>
      <c r="C5" s="676"/>
      <c r="D5" s="676"/>
      <c r="E5" s="676"/>
      <c r="F5" s="676"/>
      <c r="G5" s="676"/>
      <c r="H5" s="676"/>
      <c r="I5" s="676"/>
      <c r="J5" s="676"/>
      <c r="K5" s="676"/>
      <c r="L5" s="676"/>
      <c r="M5" s="676"/>
      <c r="N5" s="676"/>
      <c r="O5" s="676"/>
      <c r="P5" s="676"/>
      <c r="Q5" s="676"/>
      <c r="R5" s="676"/>
      <c r="S5" s="676"/>
      <c r="T5" s="676"/>
      <c r="U5" s="676"/>
      <c r="V5" s="676"/>
      <c r="W5" s="676"/>
    </row>
    <row r="6" spans="1:25" s="3" customFormat="1" ht="23.25" customHeight="1" x14ac:dyDescent="0.3">
      <c r="A6" s="677" t="str">
        <f>Dados!A4</f>
        <v>Sindicato utilizado - SINSERHT X SINTEAC. Vigência: 01/01/2026 a 31/12/2026. Sendo a data base da categoria 01º de Janeiro. Com número de registro no MTE MG001237/2025.</v>
      </c>
      <c r="B6" s="677"/>
      <c r="C6" s="677"/>
      <c r="D6" s="677"/>
      <c r="E6" s="677"/>
      <c r="F6" s="677"/>
      <c r="G6" s="677"/>
      <c r="H6" s="677"/>
      <c r="I6" s="677"/>
      <c r="J6" s="677"/>
      <c r="K6" s="677"/>
      <c r="L6" s="677"/>
      <c r="M6" s="677"/>
      <c r="N6" s="677"/>
      <c r="O6" s="677"/>
      <c r="P6" s="677"/>
      <c r="Q6" s="677"/>
      <c r="R6" s="677"/>
      <c r="S6" s="677"/>
      <c r="T6" s="677"/>
      <c r="U6" s="677"/>
      <c r="V6" s="677"/>
      <c r="W6" s="677"/>
    </row>
    <row r="7" spans="1:25" s="16" customFormat="1" ht="18.75" customHeight="1" x14ac:dyDescent="0.3">
      <c r="A7" s="362"/>
      <c r="B7" s="363"/>
      <c r="C7" s="363"/>
      <c r="D7" s="363"/>
      <c r="E7" s="364"/>
      <c r="F7" s="364"/>
      <c r="G7" s="364"/>
      <c r="H7" s="365" t="s">
        <v>439</v>
      </c>
      <c r="I7" s="366"/>
      <c r="J7" s="366"/>
      <c r="K7" s="364"/>
      <c r="L7" s="364"/>
      <c r="M7" s="364"/>
      <c r="N7" s="364"/>
      <c r="O7" s="364"/>
      <c r="P7" s="364"/>
      <c r="Q7" s="364"/>
      <c r="R7" s="364"/>
      <c r="S7" s="678" t="s">
        <v>440</v>
      </c>
      <c r="T7" s="678"/>
      <c r="U7" s="678"/>
      <c r="V7" s="678"/>
      <c r="W7" s="678"/>
    </row>
    <row r="8" spans="1:25" s="16" customFormat="1" ht="22.5" customHeight="1" x14ac:dyDescent="0.3">
      <c r="A8" s="679" t="s">
        <v>441</v>
      </c>
      <c r="B8" s="680" t="s">
        <v>442</v>
      </c>
      <c r="C8" s="680"/>
      <c r="D8" s="681" t="s">
        <v>38</v>
      </c>
      <c r="E8" s="681"/>
      <c r="F8" s="681"/>
      <c r="G8" s="681"/>
      <c r="H8" s="681"/>
      <c r="I8" s="681"/>
      <c r="J8" s="681"/>
      <c r="K8" s="681"/>
      <c r="L8" s="681"/>
      <c r="M8" s="681"/>
      <c r="N8" s="681"/>
      <c r="O8" s="681"/>
      <c r="P8" s="681"/>
      <c r="Q8" s="681"/>
      <c r="R8" s="681"/>
      <c r="S8" s="681"/>
      <c r="T8" s="681"/>
      <c r="U8" s="681"/>
      <c r="V8" s="681"/>
      <c r="W8" s="682" t="s">
        <v>443</v>
      </c>
    </row>
    <row r="9" spans="1:25" s="16" customFormat="1" ht="20.25" customHeight="1" x14ac:dyDescent="0.3">
      <c r="A9" s="679"/>
      <c r="B9" s="680"/>
      <c r="C9" s="680"/>
      <c r="D9" s="683" t="s">
        <v>444</v>
      </c>
      <c r="E9" s="683"/>
      <c r="F9" s="683"/>
      <c r="G9" s="683" t="s">
        <v>445</v>
      </c>
      <c r="H9" s="683"/>
      <c r="I9" s="683"/>
      <c r="J9" s="684" t="s">
        <v>596</v>
      </c>
      <c r="K9" s="684"/>
      <c r="L9" s="684"/>
      <c r="M9" s="684"/>
      <c r="N9" s="684"/>
      <c r="O9" s="684"/>
      <c r="P9" s="685" t="s">
        <v>446</v>
      </c>
      <c r="Q9" s="685"/>
      <c r="R9" s="685"/>
      <c r="S9" s="367" t="s">
        <v>447</v>
      </c>
      <c r="T9" s="686" t="s">
        <v>448</v>
      </c>
      <c r="U9" s="686"/>
      <c r="V9" s="686"/>
      <c r="W9" s="682"/>
    </row>
    <row r="10" spans="1:25" s="16" customFormat="1" ht="27.75" customHeight="1" x14ac:dyDescent="0.3">
      <c r="A10" s="679"/>
      <c r="B10" s="680"/>
      <c r="C10" s="680"/>
      <c r="D10" s="687" t="s">
        <v>449</v>
      </c>
      <c r="E10" s="687"/>
      <c r="F10" s="687"/>
      <c r="G10" s="688" t="s">
        <v>450</v>
      </c>
      <c r="H10" s="689" t="s">
        <v>451</v>
      </c>
      <c r="I10" s="689"/>
      <c r="J10" s="690" t="s">
        <v>452</v>
      </c>
      <c r="K10" s="690"/>
      <c r="L10" s="690"/>
      <c r="M10" s="691" t="s">
        <v>453</v>
      </c>
      <c r="N10" s="691"/>
      <c r="O10" s="691"/>
      <c r="P10" s="692" t="s">
        <v>454</v>
      </c>
      <c r="Q10" s="692"/>
      <c r="R10" s="692"/>
      <c r="S10" s="693" t="s">
        <v>455</v>
      </c>
      <c r="T10" s="692" t="s">
        <v>456</v>
      </c>
      <c r="U10" s="692"/>
      <c r="V10" s="692"/>
      <c r="W10" s="682"/>
    </row>
    <row r="11" spans="1:25" s="16" customFormat="1" ht="69" x14ac:dyDescent="0.3">
      <c r="A11" s="679"/>
      <c r="B11" s="368" t="s">
        <v>20</v>
      </c>
      <c r="C11" s="369" t="s">
        <v>21</v>
      </c>
      <c r="D11" s="370" t="s">
        <v>19</v>
      </c>
      <c r="E11" s="371" t="s">
        <v>457</v>
      </c>
      <c r="F11" s="372" t="s">
        <v>458</v>
      </c>
      <c r="G11" s="688"/>
      <c r="H11" s="373" t="s">
        <v>459</v>
      </c>
      <c r="I11" s="374" t="s">
        <v>460</v>
      </c>
      <c r="J11" s="375" t="s">
        <v>597</v>
      </c>
      <c r="K11" s="373" t="s">
        <v>28</v>
      </c>
      <c r="L11" s="376" t="s">
        <v>461</v>
      </c>
      <c r="M11" s="368" t="s">
        <v>462</v>
      </c>
      <c r="N11" s="371" t="s">
        <v>29</v>
      </c>
      <c r="O11" s="377" t="s">
        <v>463</v>
      </c>
      <c r="P11" s="368" t="s">
        <v>464</v>
      </c>
      <c r="Q11" s="371" t="s">
        <v>465</v>
      </c>
      <c r="R11" s="369" t="s">
        <v>466</v>
      </c>
      <c r="S11" s="693"/>
      <c r="T11" s="368" t="s">
        <v>467</v>
      </c>
      <c r="U11" s="371" t="s">
        <v>468</v>
      </c>
      <c r="V11" s="378" t="s">
        <v>469</v>
      </c>
      <c r="W11" s="682"/>
    </row>
    <row r="12" spans="1:25" s="16" customFormat="1" ht="15.75" customHeight="1" x14ac:dyDescent="0.3">
      <c r="A12" s="697" t="s">
        <v>470</v>
      </c>
      <c r="B12" s="379" t="str">
        <f>Dados!C7</f>
        <v>Servente de Limpeza com Adicional de Insalubridade (40%)</v>
      </c>
      <c r="C12" s="380">
        <f>Dados!D7</f>
        <v>200</v>
      </c>
      <c r="D12" s="381">
        <f>Dados!B7</f>
        <v>1</v>
      </c>
      <c r="E12" s="382">
        <f>'Servente Insalubre'!$F$45</f>
        <v>6006.8</v>
      </c>
      <c r="F12" s="383">
        <f>ROUND((D12*E12),2)</f>
        <v>6006.8</v>
      </c>
      <c r="G12" s="384">
        <f>'Servente Insalubre'!$I$45</f>
        <v>98.05</v>
      </c>
      <c r="H12" s="385">
        <f>'Ocorrências Mensais - FAT'!F10+'Ocorrências Mensais - FAT'!H10</f>
        <v>0</v>
      </c>
      <c r="I12" s="386">
        <f>(ROUND((G12/Dados!$G$33*H12)-(G12/'Ocorrências Mensais - FAT'!$E$4*'Ocorrências Mensais - FAT'!G10),2))</f>
        <v>0</v>
      </c>
      <c r="J12" s="387">
        <f>'Servente Insalubre'!$G$45</f>
        <v>4626.8</v>
      </c>
      <c r="K12" s="385">
        <f>'Ocorrências Mensais - FAT'!K10</f>
        <v>0</v>
      </c>
      <c r="L12" s="386">
        <f>J12/'Ocorrências Mensais - FAT'!$E$4*K12</f>
        <v>0</v>
      </c>
      <c r="M12" s="388">
        <f>'Custo Estimado Substituto'!$F$33</f>
        <v>4087.4499999999994</v>
      </c>
      <c r="N12" s="389">
        <f>'Ocorrências Mensais - FAT'!L10</f>
        <v>0</v>
      </c>
      <c r="O12" s="390">
        <f>M12/'Ocorrências Mensais - FAT'!$E$4*N12</f>
        <v>0</v>
      </c>
      <c r="P12" s="391">
        <f>'Servente Insalubre'!$H$45</f>
        <v>568.48</v>
      </c>
      <c r="Q12" s="392">
        <f>'Ocorrências Mensais - FAT'!M10</f>
        <v>0</v>
      </c>
      <c r="R12" s="390">
        <f>ROUND((P12/Dados!$G$36*Q12),2)</f>
        <v>0</v>
      </c>
      <c r="S12" s="393">
        <f>I12+L12+O12+R12</f>
        <v>0</v>
      </c>
      <c r="T12" s="394"/>
      <c r="U12" s="395"/>
      <c r="V12" s="396"/>
      <c r="W12" s="397">
        <f>ROUND((F12-S12+V12),2)</f>
        <v>6006.8</v>
      </c>
    </row>
    <row r="13" spans="1:25" s="16" customFormat="1" ht="15.6" x14ac:dyDescent="0.3">
      <c r="A13" s="697"/>
      <c r="B13" s="379" t="str">
        <f>Dados!C8</f>
        <v xml:space="preserve">Servente de Limpeza acúmulo de função Copeira </v>
      </c>
      <c r="C13" s="380">
        <f>Dados!D8</f>
        <v>200</v>
      </c>
      <c r="D13" s="381">
        <f>Dados!B8</f>
        <v>1</v>
      </c>
      <c r="E13" s="382">
        <f>'Servente acúmulo Copeira'!$F$45</f>
        <v>5206.3999999999996</v>
      </c>
      <c r="F13" s="383">
        <f>ROUND((D13*E13),2)</f>
        <v>5206.3999999999996</v>
      </c>
      <c r="G13" s="398">
        <f>'Servente acúmulo Copeira'!$I$45</f>
        <v>98.05</v>
      </c>
      <c r="H13" s="399">
        <f>'Ocorrências Mensais - FAT'!F11+'Ocorrências Mensais - FAT'!H11</f>
        <v>0</v>
      </c>
      <c r="I13" s="400">
        <f>(ROUND((G13/Dados!$G$33*H13)-(G13/'Ocorrências Mensais - FAT'!$E$4*'Ocorrências Mensais - FAT'!G11),2))</f>
        <v>0</v>
      </c>
      <c r="J13" s="401">
        <f>'Servente acúmulo Copeira'!$G$45</f>
        <v>3504.37</v>
      </c>
      <c r="K13" s="399">
        <f>'Ocorrências Mensais - FAT'!K11</f>
        <v>0</v>
      </c>
      <c r="L13" s="400">
        <f>J13/'Ocorrências Mensais - FAT'!$E$4*K13</f>
        <v>0</v>
      </c>
      <c r="M13" s="401">
        <f>'Custo Estimado Substituto'!G33</f>
        <v>3101.87</v>
      </c>
      <c r="N13" s="399">
        <f>'Ocorrências Mensais - FAT'!L11</f>
        <v>0</v>
      </c>
      <c r="O13" s="402">
        <f>M13/'Ocorrências Mensais - FAT'!$E$4*N13</f>
        <v>0</v>
      </c>
      <c r="P13" s="403">
        <f>'Servente acúmulo Copeira'!$H$45</f>
        <v>568.48</v>
      </c>
      <c r="Q13" s="404">
        <f>'Ocorrências Mensais - FAT'!M11</f>
        <v>0</v>
      </c>
      <c r="R13" s="402">
        <f>ROUND((P13/Dados!$G$36*Q13),2)</f>
        <v>0</v>
      </c>
      <c r="S13" s="405">
        <f>I13+L13+O13+R13</f>
        <v>0</v>
      </c>
      <c r="T13" s="406">
        <f>'Servente Insalubre'!J46</f>
        <v>40.28</v>
      </c>
      <c r="U13" s="407">
        <f>'Ocorrências Mensais - FAT'!N11</f>
        <v>0</v>
      </c>
      <c r="V13" s="408">
        <f>T13*U13</f>
        <v>0</v>
      </c>
      <c r="W13" s="397">
        <f>ROUND((F13-S13+V13),2)</f>
        <v>5206.3999999999996</v>
      </c>
    </row>
    <row r="14" spans="1:25" s="16" customFormat="1" ht="28.8" x14ac:dyDescent="0.3">
      <c r="A14" s="409" t="s">
        <v>471</v>
      </c>
      <c r="B14" s="410" t="str">
        <f>Dados!C9</f>
        <v>Assistente Administrativo acúmulo de função Zelador</v>
      </c>
      <c r="C14" s="411">
        <f>Dados!D9</f>
        <v>200</v>
      </c>
      <c r="D14" s="412">
        <f>Dados!B9</f>
        <v>1</v>
      </c>
      <c r="E14" s="413">
        <f>'Assistente Adm. acúmulo Zelador'!$F$45</f>
        <v>4636.79</v>
      </c>
      <c r="F14" s="414">
        <f>ROUND((D14*E14),2)</f>
        <v>4636.79</v>
      </c>
      <c r="G14" s="415">
        <f>'Assistente Adm. acúmulo Zelador'!$I$45</f>
        <v>59.65</v>
      </c>
      <c r="H14" s="416">
        <f>'Ocorrências Mensais - FAT'!F12+'Ocorrências Mensais - FAT'!H12</f>
        <v>0</v>
      </c>
      <c r="I14" s="417">
        <f>(ROUND((G14/Dados!$G$33*H14)-(G14/'Ocorrências Mensais - FAT'!$E$4*'Ocorrências Mensais - FAT'!G12),2))</f>
        <v>0</v>
      </c>
      <c r="J14" s="418">
        <f>'Assistente Adm. acúmulo Zelador'!$G$45</f>
        <v>4579.16</v>
      </c>
      <c r="K14" s="416">
        <f>'Ocorrências Mensais - FAT'!K12</f>
        <v>0</v>
      </c>
      <c r="L14" s="417">
        <f>J14/'Ocorrências Mensais - FAT'!$E$4*K14</f>
        <v>0</v>
      </c>
      <c r="M14" s="418">
        <f>'Custo Estimado Substituto'!H33</f>
        <v>4032.9500000000003</v>
      </c>
      <c r="N14" s="416">
        <f>'Ocorrências Mensais - FAT'!L12</f>
        <v>0</v>
      </c>
      <c r="O14" s="419">
        <f>M14/'Ocorrências Mensais - FAT'!$E$4*N14</f>
        <v>0</v>
      </c>
      <c r="P14" s="420">
        <f>'Assistente Adm. acúmulo Zelador'!$H$45</f>
        <v>568.48</v>
      </c>
      <c r="Q14" s="421">
        <f>'Ocorrências Mensais - FAT'!M12</f>
        <v>0</v>
      </c>
      <c r="R14" s="419">
        <f>ROUND((P14/Dados!$G$36*Q14),2)</f>
        <v>0</v>
      </c>
      <c r="S14" s="422">
        <f>I14+L14+O14+R14</f>
        <v>0</v>
      </c>
      <c r="T14" s="423"/>
      <c r="U14" s="424"/>
      <c r="V14" s="425"/>
      <c r="W14" s="426">
        <f>ROUND((F14-S14+V14),2)</f>
        <v>4636.79</v>
      </c>
    </row>
    <row r="15" spans="1:25" s="60" customFormat="1" ht="21.75" customHeight="1" x14ac:dyDescent="0.3">
      <c r="A15" s="698" t="s">
        <v>472</v>
      </c>
      <c r="B15" s="698"/>
      <c r="C15" s="698"/>
      <c r="D15" s="427">
        <f>SUM(D12:D14)</f>
        <v>3</v>
      </c>
      <c r="E15" s="428"/>
      <c r="F15" s="429">
        <f>SUM(F12:F14)</f>
        <v>15849.990000000002</v>
      </c>
      <c r="G15" s="430"/>
      <c r="H15" s="428">
        <f t="shared" ref="H15:O15" si="0">SUM(H12:H14)</f>
        <v>0</v>
      </c>
      <c r="I15" s="431">
        <f t="shared" si="0"/>
        <v>0</v>
      </c>
      <c r="J15" s="432">
        <f t="shared" si="0"/>
        <v>12710.33</v>
      </c>
      <c r="K15" s="428">
        <f t="shared" si="0"/>
        <v>0</v>
      </c>
      <c r="L15" s="431">
        <f t="shared" si="0"/>
        <v>0</v>
      </c>
      <c r="M15" s="433">
        <f t="shared" si="0"/>
        <v>11222.27</v>
      </c>
      <c r="N15" s="428">
        <f t="shared" si="0"/>
        <v>0</v>
      </c>
      <c r="O15" s="429">
        <f t="shared" si="0"/>
        <v>0</v>
      </c>
      <c r="P15" s="430"/>
      <c r="Q15" s="428">
        <f>SUM(Q12:Q14)</f>
        <v>0</v>
      </c>
      <c r="R15" s="429">
        <f>SUM(R12:R14)</f>
        <v>0</v>
      </c>
      <c r="S15" s="434">
        <f>SUM(S12:S14)</f>
        <v>0</v>
      </c>
      <c r="T15" s="435"/>
      <c r="U15" s="428">
        <f>SUM(U12:U14)</f>
        <v>0</v>
      </c>
      <c r="V15" s="431">
        <f>SUM(V12:V14)</f>
        <v>0</v>
      </c>
      <c r="W15" s="436">
        <f>SUM(W12:W14)</f>
        <v>15849.990000000002</v>
      </c>
      <c r="X15" s="437" t="s">
        <v>473</v>
      </c>
      <c r="Y15" s="438"/>
    </row>
    <row r="16" spans="1:25" s="54" customFormat="1" ht="18" customHeight="1" x14ac:dyDescent="0.3">
      <c r="A16" s="699" t="s">
        <v>598</v>
      </c>
      <c r="B16" s="699"/>
      <c r="C16" s="699"/>
      <c r="D16" s="699"/>
      <c r="E16" s="699"/>
      <c r="F16" s="699"/>
      <c r="G16" s="699"/>
      <c r="H16" s="699"/>
      <c r="I16" s="699"/>
      <c r="J16" s="699"/>
      <c r="K16" s="699"/>
      <c r="L16" s="699"/>
      <c r="M16" s="699"/>
      <c r="N16" s="699"/>
      <c r="O16" s="699"/>
      <c r="P16" s="699"/>
      <c r="Q16" s="699"/>
      <c r="R16" s="699"/>
      <c r="S16" s="699"/>
      <c r="T16" s="699"/>
      <c r="U16" s="699"/>
      <c r="V16" s="699"/>
      <c r="W16" s="439">
        <f>Insumos!K46+Insumos!K73</f>
        <v>2677.4183333333331</v>
      </c>
    </row>
    <row r="17" spans="1:23" s="54" customFormat="1" ht="20.25" customHeight="1" x14ac:dyDescent="0.3">
      <c r="A17" s="699" t="s">
        <v>474</v>
      </c>
      <c r="B17" s="699"/>
      <c r="C17" s="699"/>
      <c r="D17" s="699"/>
      <c r="E17" s="699"/>
      <c r="F17" s="699"/>
      <c r="G17" s="699"/>
      <c r="H17" s="699"/>
      <c r="I17" s="699"/>
      <c r="J17" s="699"/>
      <c r="K17" s="699"/>
      <c r="L17" s="699"/>
      <c r="M17" s="699"/>
      <c r="N17" s="699"/>
      <c r="O17" s="699"/>
      <c r="P17" s="699"/>
      <c r="Q17" s="699"/>
      <c r="R17" s="699"/>
      <c r="S17" s="699"/>
      <c r="T17" s="699"/>
      <c r="U17" s="699"/>
      <c r="V17" s="699"/>
      <c r="W17" s="440">
        <f>W15*12</f>
        <v>190199.88</v>
      </c>
    </row>
    <row r="18" spans="1:23" s="441" customFormat="1" ht="24" customHeight="1" x14ac:dyDescent="0.3">
      <c r="A18" s="700" t="s">
        <v>43</v>
      </c>
      <c r="B18" s="700"/>
      <c r="C18" s="700"/>
      <c r="D18" s="700"/>
      <c r="E18" s="700"/>
      <c r="F18" s="700"/>
      <c r="G18" s="700"/>
      <c r="H18" s="700"/>
      <c r="I18" s="700"/>
      <c r="J18" s="700"/>
      <c r="K18" s="700"/>
      <c r="L18" s="700"/>
      <c r="M18" s="700"/>
      <c r="N18" s="700"/>
      <c r="O18" s="700"/>
      <c r="P18" s="700"/>
      <c r="Q18" s="700"/>
      <c r="R18" s="700"/>
      <c r="S18" s="700"/>
      <c r="T18" s="700"/>
      <c r="U18" s="700"/>
      <c r="V18" s="700"/>
      <c r="W18" s="700"/>
    </row>
    <row r="19" spans="1:23" s="54" customFormat="1" ht="35.25" customHeight="1" x14ac:dyDescent="0.3">
      <c r="A19" s="694"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R$40,28 por dia em que este fato ocorrer.</v>
      </c>
      <c r="B19" s="694"/>
      <c r="C19" s="694"/>
      <c r="D19" s="694"/>
      <c r="E19" s="694"/>
      <c r="F19" s="694"/>
      <c r="G19" s="694"/>
      <c r="H19" s="694"/>
      <c r="I19" s="694"/>
      <c r="J19" s="694"/>
      <c r="K19" s="694"/>
      <c r="L19" s="694"/>
      <c r="M19" s="694"/>
      <c r="N19" s="694"/>
      <c r="O19" s="694"/>
      <c r="P19" s="694"/>
      <c r="Q19" s="694"/>
      <c r="R19" s="694"/>
      <c r="S19" s="694"/>
      <c r="T19" s="694"/>
      <c r="U19" s="694"/>
      <c r="V19" s="694"/>
      <c r="W19" s="694"/>
    </row>
    <row r="20" spans="1:23" s="442" customFormat="1" ht="18.75" customHeight="1" x14ac:dyDescent="0.3">
      <c r="A20" s="695" t="s">
        <v>475</v>
      </c>
      <c r="B20" s="695"/>
      <c r="C20" s="695"/>
      <c r="D20" s="695"/>
      <c r="E20" s="695"/>
      <c r="F20" s="695"/>
      <c r="G20" s="695"/>
      <c r="H20" s="695"/>
      <c r="I20" s="695"/>
      <c r="J20" s="695"/>
      <c r="K20" s="695"/>
      <c r="L20" s="695"/>
      <c r="M20" s="695"/>
      <c r="N20" s="695"/>
      <c r="O20" s="695"/>
      <c r="P20" s="695"/>
      <c r="Q20" s="695"/>
      <c r="R20" s="695"/>
      <c r="S20" s="695"/>
      <c r="T20" s="695"/>
      <c r="U20" s="695"/>
      <c r="V20" s="695"/>
      <c r="W20" s="695"/>
    </row>
    <row r="21" spans="1:23" ht="14.4" x14ac:dyDescent="0.3">
      <c r="A21" s="696"/>
      <c r="B21" s="696"/>
      <c r="C21" s="696"/>
      <c r="D21" s="696"/>
      <c r="E21" s="696"/>
      <c r="F21" s="696"/>
      <c r="G21" s="696"/>
      <c r="H21" s="696"/>
      <c r="I21" s="696"/>
      <c r="J21" s="696"/>
      <c r="K21" s="696"/>
      <c r="L21" s="696"/>
      <c r="M21" s="696"/>
      <c r="N21" s="696"/>
      <c r="O21" s="696"/>
      <c r="P21" s="696"/>
      <c r="Q21" s="696"/>
      <c r="R21" s="696"/>
      <c r="S21" s="696"/>
      <c r="T21" s="696"/>
      <c r="U21" s="696"/>
      <c r="V21" s="696"/>
      <c r="W21" s="696"/>
    </row>
    <row r="22" spans="1:23" ht="14.4" x14ac:dyDescent="0.3">
      <c r="A22" s="696"/>
      <c r="B22" s="696"/>
      <c r="C22" s="696"/>
      <c r="D22" s="696"/>
      <c r="E22" s="696"/>
      <c r="F22" s="696"/>
      <c r="G22" s="696"/>
      <c r="H22" s="696"/>
      <c r="I22" s="696"/>
      <c r="J22" s="696"/>
      <c r="K22" s="696"/>
      <c r="L22" s="696"/>
      <c r="M22" s="696"/>
      <c r="N22" s="696"/>
      <c r="O22" s="696"/>
      <c r="P22" s="696"/>
      <c r="Q22" s="696"/>
      <c r="R22" s="696"/>
      <c r="S22" s="696"/>
      <c r="T22" s="696"/>
      <c r="U22" s="696"/>
      <c r="V22" s="696"/>
      <c r="W22" s="696"/>
    </row>
  </sheetData>
  <sheetProtection algorithmName="SHA-512" hashValue="zmZ8eLUbmlSwG2pIvmm7cFSqX1N6d6AnR+vF2MSSY66c9dUS4QeOB0MYq48pX7pRwiIWY40fZhTxf/QTA723rQ==" saltValue="OfgxTuwH/78quOXF8ssRrQ==" spinCount="100000" sheet="1" objects="1" scenarios="1"/>
  <mergeCells count="30">
    <mergeCell ref="A19:W19"/>
    <mergeCell ref="A20:W20"/>
    <mergeCell ref="A21:W21"/>
    <mergeCell ref="A22:W22"/>
    <mergeCell ref="A12:A13"/>
    <mergeCell ref="A15:C15"/>
    <mergeCell ref="A16:V16"/>
    <mergeCell ref="A17:V17"/>
    <mergeCell ref="A18:W18"/>
    <mergeCell ref="J10:L10"/>
    <mergeCell ref="M10:O10"/>
    <mergeCell ref="P10:R10"/>
    <mergeCell ref="S10:S11"/>
    <mergeCell ref="T10:V1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s>
  <printOptions horizontalCentered="1" verticalCentered="1"/>
  <pageMargins left="0.51180555555555596" right="0.51180555555555596" top="0.78749999999999998" bottom="0.78749999999999998" header="0.511811023622047" footer="0.511811023622047"/>
  <pageSetup paperSize="9" scale="27" fitToHeight="2" orientation="portrait" r:id="rId1"/>
  <colBreaks count="1" manualBreakCount="1">
    <brk id="2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L47"/>
  <sheetViews>
    <sheetView showGridLines="0" view="pageBreakPreview" zoomScale="85" zoomScaleNormal="100" zoomScaleSheetLayoutView="85" workbookViewId="0">
      <selection activeCell="J14" sqref="J14"/>
    </sheetView>
  </sheetViews>
  <sheetFormatPr defaultColWidth="9.109375" defaultRowHeight="13.5" customHeight="1" x14ac:dyDescent="0.3"/>
  <cols>
    <col min="1" max="1" width="10.5546875" style="103" customWidth="1"/>
    <col min="2" max="2" width="27.6640625" style="103" customWidth="1"/>
    <col min="3" max="3" width="14.44140625" style="103" customWidth="1"/>
    <col min="4" max="5" width="15" style="103" customWidth="1"/>
    <col min="6" max="6" width="16.6640625" style="443" customWidth="1"/>
    <col min="7" max="8" width="13.109375" style="443" customWidth="1"/>
    <col min="9" max="10" width="12.5546875" style="443" customWidth="1"/>
    <col min="11" max="257" width="9.109375" style="103"/>
    <col min="258" max="258" width="10.5546875" style="103" customWidth="1"/>
    <col min="259" max="259" width="27.6640625" style="103" customWidth="1"/>
    <col min="260" max="260" width="14.44140625" style="103" customWidth="1"/>
    <col min="261" max="262" width="15" style="103" customWidth="1"/>
    <col min="263" max="263" width="16.6640625" style="103" customWidth="1"/>
    <col min="264" max="264" width="13.109375" style="103" customWidth="1"/>
    <col min="265" max="266" width="12.5546875" style="103" customWidth="1"/>
    <col min="267" max="513" width="9.109375" style="103"/>
    <col min="514" max="514" width="10.5546875" style="103" customWidth="1"/>
    <col min="515" max="515" width="27.6640625" style="103" customWidth="1"/>
    <col min="516" max="516" width="14.44140625" style="103" customWidth="1"/>
    <col min="517" max="518" width="15" style="103" customWidth="1"/>
    <col min="519" max="519" width="16.6640625" style="103" customWidth="1"/>
    <col min="520" max="520" width="13.109375" style="103" customWidth="1"/>
    <col min="521" max="522" width="12.5546875" style="103" customWidth="1"/>
    <col min="523" max="769" width="9.109375" style="103"/>
    <col min="770" max="770" width="10.5546875" style="103" customWidth="1"/>
    <col min="771" max="771" width="27.6640625" style="103" customWidth="1"/>
    <col min="772" max="772" width="14.44140625" style="103" customWidth="1"/>
    <col min="773" max="774" width="15" style="103" customWidth="1"/>
    <col min="775" max="775" width="16.6640625" style="103" customWidth="1"/>
    <col min="776" max="776" width="13.109375" style="103" customWidth="1"/>
    <col min="777" max="778" width="12.5546875" style="103" customWidth="1"/>
    <col min="779" max="1025" width="9.109375" style="103"/>
    <col min="1026" max="1026" width="10.5546875" style="103" customWidth="1"/>
    <col min="1027" max="1027" width="27.6640625" style="103" customWidth="1"/>
    <col min="1028" max="1028" width="14.44140625" style="103" customWidth="1"/>
    <col min="1029" max="1030" width="15" style="103" customWidth="1"/>
    <col min="1031" max="1031" width="16.6640625" style="103" customWidth="1"/>
    <col min="1032" max="1032" width="13.109375" style="103" customWidth="1"/>
    <col min="1033" max="1034" width="12.5546875" style="103" customWidth="1"/>
    <col min="1035" max="1281" width="9.109375" style="103"/>
    <col min="1282" max="1282" width="10.5546875" style="103" customWidth="1"/>
    <col min="1283" max="1283" width="27.6640625" style="103" customWidth="1"/>
    <col min="1284" max="1284" width="14.44140625" style="103" customWidth="1"/>
    <col min="1285" max="1286" width="15" style="103" customWidth="1"/>
    <col min="1287" max="1287" width="16.6640625" style="103" customWidth="1"/>
    <col min="1288" max="1288" width="13.109375" style="103" customWidth="1"/>
    <col min="1289" max="1290" width="12.5546875" style="103" customWidth="1"/>
    <col min="1291" max="1537" width="9.109375" style="103"/>
    <col min="1538" max="1538" width="10.5546875" style="103" customWidth="1"/>
    <col min="1539" max="1539" width="27.6640625" style="103" customWidth="1"/>
    <col min="1540" max="1540" width="14.44140625" style="103" customWidth="1"/>
    <col min="1541" max="1542" width="15" style="103" customWidth="1"/>
    <col min="1543" max="1543" width="16.6640625" style="103" customWidth="1"/>
    <col min="1544" max="1544" width="13.109375" style="103" customWidth="1"/>
    <col min="1545" max="1546" width="12.5546875" style="103" customWidth="1"/>
    <col min="1547" max="1793" width="9.109375" style="103"/>
    <col min="1794" max="1794" width="10.5546875" style="103" customWidth="1"/>
    <col min="1795" max="1795" width="27.6640625" style="103" customWidth="1"/>
    <col min="1796" max="1796" width="14.44140625" style="103" customWidth="1"/>
    <col min="1797" max="1798" width="15" style="103" customWidth="1"/>
    <col min="1799" max="1799" width="16.6640625" style="103" customWidth="1"/>
    <col min="1800" max="1800" width="13.109375" style="103" customWidth="1"/>
    <col min="1801" max="1802" width="12.5546875" style="103" customWidth="1"/>
    <col min="1803" max="2049" width="9.109375" style="103"/>
    <col min="2050" max="2050" width="10.5546875" style="103" customWidth="1"/>
    <col min="2051" max="2051" width="27.6640625" style="103" customWidth="1"/>
    <col min="2052" max="2052" width="14.44140625" style="103" customWidth="1"/>
    <col min="2053" max="2054" width="15" style="103" customWidth="1"/>
    <col min="2055" max="2055" width="16.6640625" style="103" customWidth="1"/>
    <col min="2056" max="2056" width="13.109375" style="103" customWidth="1"/>
    <col min="2057" max="2058" width="12.5546875" style="103" customWidth="1"/>
    <col min="2059" max="2305" width="9.109375" style="103"/>
    <col min="2306" max="2306" width="10.5546875" style="103" customWidth="1"/>
    <col min="2307" max="2307" width="27.6640625" style="103" customWidth="1"/>
    <col min="2308" max="2308" width="14.44140625" style="103" customWidth="1"/>
    <col min="2309" max="2310" width="15" style="103" customWidth="1"/>
    <col min="2311" max="2311" width="16.6640625" style="103" customWidth="1"/>
    <col min="2312" max="2312" width="13.109375" style="103" customWidth="1"/>
    <col min="2313" max="2314" width="12.5546875" style="103" customWidth="1"/>
    <col min="2315" max="2561" width="9.109375" style="103"/>
    <col min="2562" max="2562" width="10.5546875" style="103" customWidth="1"/>
    <col min="2563" max="2563" width="27.6640625" style="103" customWidth="1"/>
    <col min="2564" max="2564" width="14.44140625" style="103" customWidth="1"/>
    <col min="2565" max="2566" width="15" style="103" customWidth="1"/>
    <col min="2567" max="2567" width="16.6640625" style="103" customWidth="1"/>
    <col min="2568" max="2568" width="13.109375" style="103" customWidth="1"/>
    <col min="2569" max="2570" width="12.5546875" style="103" customWidth="1"/>
    <col min="2571" max="2817" width="9.109375" style="103"/>
    <col min="2818" max="2818" width="10.5546875" style="103" customWidth="1"/>
    <col min="2819" max="2819" width="27.6640625" style="103" customWidth="1"/>
    <col min="2820" max="2820" width="14.44140625" style="103" customWidth="1"/>
    <col min="2821" max="2822" width="15" style="103" customWidth="1"/>
    <col min="2823" max="2823" width="16.6640625" style="103" customWidth="1"/>
    <col min="2824" max="2824" width="13.109375" style="103" customWidth="1"/>
    <col min="2825" max="2826" width="12.5546875" style="103" customWidth="1"/>
    <col min="2827" max="3073" width="9.109375" style="103"/>
    <col min="3074" max="3074" width="10.5546875" style="103" customWidth="1"/>
    <col min="3075" max="3075" width="27.6640625" style="103" customWidth="1"/>
    <col min="3076" max="3076" width="14.44140625" style="103" customWidth="1"/>
    <col min="3077" max="3078" width="15" style="103" customWidth="1"/>
    <col min="3079" max="3079" width="16.6640625" style="103" customWidth="1"/>
    <col min="3080" max="3080" width="13.109375" style="103" customWidth="1"/>
    <col min="3081" max="3082" width="12.5546875" style="103" customWidth="1"/>
    <col min="3083" max="3329" width="9.109375" style="103"/>
    <col min="3330" max="3330" width="10.5546875" style="103" customWidth="1"/>
    <col min="3331" max="3331" width="27.6640625" style="103" customWidth="1"/>
    <col min="3332" max="3332" width="14.44140625" style="103" customWidth="1"/>
    <col min="3333" max="3334" width="15" style="103" customWidth="1"/>
    <col min="3335" max="3335" width="16.6640625" style="103" customWidth="1"/>
    <col min="3336" max="3336" width="13.109375" style="103" customWidth="1"/>
    <col min="3337" max="3338" width="12.5546875" style="103" customWidth="1"/>
    <col min="3339" max="3585" width="9.109375" style="103"/>
    <col min="3586" max="3586" width="10.5546875" style="103" customWidth="1"/>
    <col min="3587" max="3587" width="27.6640625" style="103" customWidth="1"/>
    <col min="3588" max="3588" width="14.44140625" style="103" customWidth="1"/>
    <col min="3589" max="3590" width="15" style="103" customWidth="1"/>
    <col min="3591" max="3591" width="16.6640625" style="103" customWidth="1"/>
    <col min="3592" max="3592" width="13.109375" style="103" customWidth="1"/>
    <col min="3593" max="3594" width="12.5546875" style="103" customWidth="1"/>
    <col min="3595" max="3841" width="9.109375" style="103"/>
    <col min="3842" max="3842" width="10.5546875" style="103" customWidth="1"/>
    <col min="3843" max="3843" width="27.6640625" style="103" customWidth="1"/>
    <col min="3844" max="3844" width="14.44140625" style="103" customWidth="1"/>
    <col min="3845" max="3846" width="15" style="103" customWidth="1"/>
    <col min="3847" max="3847" width="16.6640625" style="103" customWidth="1"/>
    <col min="3848" max="3848" width="13.109375" style="103" customWidth="1"/>
    <col min="3849" max="3850" width="12.5546875" style="103" customWidth="1"/>
    <col min="3851" max="4097" width="9.109375" style="103"/>
    <col min="4098" max="4098" width="10.5546875" style="103" customWidth="1"/>
    <col min="4099" max="4099" width="27.6640625" style="103" customWidth="1"/>
    <col min="4100" max="4100" width="14.44140625" style="103" customWidth="1"/>
    <col min="4101" max="4102" width="15" style="103" customWidth="1"/>
    <col min="4103" max="4103" width="16.6640625" style="103" customWidth="1"/>
    <col min="4104" max="4104" width="13.109375" style="103" customWidth="1"/>
    <col min="4105" max="4106" width="12.5546875" style="103" customWidth="1"/>
    <col min="4107" max="4353" width="9.109375" style="103"/>
    <col min="4354" max="4354" width="10.5546875" style="103" customWidth="1"/>
    <col min="4355" max="4355" width="27.6640625" style="103" customWidth="1"/>
    <col min="4356" max="4356" width="14.44140625" style="103" customWidth="1"/>
    <col min="4357" max="4358" width="15" style="103" customWidth="1"/>
    <col min="4359" max="4359" width="16.6640625" style="103" customWidth="1"/>
    <col min="4360" max="4360" width="13.109375" style="103" customWidth="1"/>
    <col min="4361" max="4362" width="12.5546875" style="103" customWidth="1"/>
    <col min="4363" max="4609" width="9.109375" style="103"/>
    <col min="4610" max="4610" width="10.5546875" style="103" customWidth="1"/>
    <col min="4611" max="4611" width="27.6640625" style="103" customWidth="1"/>
    <col min="4612" max="4612" width="14.44140625" style="103" customWidth="1"/>
    <col min="4613" max="4614" width="15" style="103" customWidth="1"/>
    <col min="4615" max="4615" width="16.6640625" style="103" customWidth="1"/>
    <col min="4616" max="4616" width="13.109375" style="103" customWidth="1"/>
    <col min="4617" max="4618" width="12.5546875" style="103" customWidth="1"/>
    <col min="4619" max="4865" width="9.109375" style="103"/>
    <col min="4866" max="4866" width="10.5546875" style="103" customWidth="1"/>
    <col min="4867" max="4867" width="27.6640625" style="103" customWidth="1"/>
    <col min="4868" max="4868" width="14.44140625" style="103" customWidth="1"/>
    <col min="4869" max="4870" width="15" style="103" customWidth="1"/>
    <col min="4871" max="4871" width="16.6640625" style="103" customWidth="1"/>
    <col min="4872" max="4872" width="13.109375" style="103" customWidth="1"/>
    <col min="4873" max="4874" width="12.5546875" style="103" customWidth="1"/>
    <col min="4875" max="5121" width="9.109375" style="103"/>
    <col min="5122" max="5122" width="10.5546875" style="103" customWidth="1"/>
    <col min="5123" max="5123" width="27.6640625" style="103" customWidth="1"/>
    <col min="5124" max="5124" width="14.44140625" style="103" customWidth="1"/>
    <col min="5125" max="5126" width="15" style="103" customWidth="1"/>
    <col min="5127" max="5127" width="16.6640625" style="103" customWidth="1"/>
    <col min="5128" max="5128" width="13.109375" style="103" customWidth="1"/>
    <col min="5129" max="5130" width="12.5546875" style="103" customWidth="1"/>
    <col min="5131" max="5377" width="9.109375" style="103"/>
    <col min="5378" max="5378" width="10.5546875" style="103" customWidth="1"/>
    <col min="5379" max="5379" width="27.6640625" style="103" customWidth="1"/>
    <col min="5380" max="5380" width="14.44140625" style="103" customWidth="1"/>
    <col min="5381" max="5382" width="15" style="103" customWidth="1"/>
    <col min="5383" max="5383" width="16.6640625" style="103" customWidth="1"/>
    <col min="5384" max="5384" width="13.109375" style="103" customWidth="1"/>
    <col min="5385" max="5386" width="12.5546875" style="103" customWidth="1"/>
    <col min="5387" max="5633" width="9.109375" style="103"/>
    <col min="5634" max="5634" width="10.5546875" style="103" customWidth="1"/>
    <col min="5635" max="5635" width="27.6640625" style="103" customWidth="1"/>
    <col min="5636" max="5636" width="14.44140625" style="103" customWidth="1"/>
    <col min="5637" max="5638" width="15" style="103" customWidth="1"/>
    <col min="5639" max="5639" width="16.6640625" style="103" customWidth="1"/>
    <col min="5640" max="5640" width="13.109375" style="103" customWidth="1"/>
    <col min="5641" max="5642" width="12.5546875" style="103" customWidth="1"/>
    <col min="5643" max="5889" width="9.109375" style="103"/>
    <col min="5890" max="5890" width="10.5546875" style="103" customWidth="1"/>
    <col min="5891" max="5891" width="27.6640625" style="103" customWidth="1"/>
    <col min="5892" max="5892" width="14.44140625" style="103" customWidth="1"/>
    <col min="5893" max="5894" width="15" style="103" customWidth="1"/>
    <col min="5895" max="5895" width="16.6640625" style="103" customWidth="1"/>
    <col min="5896" max="5896" width="13.109375" style="103" customWidth="1"/>
    <col min="5897" max="5898" width="12.5546875" style="103" customWidth="1"/>
    <col min="5899" max="6145" width="9.109375" style="103"/>
    <col min="6146" max="6146" width="10.5546875" style="103" customWidth="1"/>
    <col min="6147" max="6147" width="27.6640625" style="103" customWidth="1"/>
    <col min="6148" max="6148" width="14.44140625" style="103" customWidth="1"/>
    <col min="6149" max="6150" width="15" style="103" customWidth="1"/>
    <col min="6151" max="6151" width="16.6640625" style="103" customWidth="1"/>
    <col min="6152" max="6152" width="13.109375" style="103" customWidth="1"/>
    <col min="6153" max="6154" width="12.5546875" style="103" customWidth="1"/>
    <col min="6155" max="6401" width="9.109375" style="103"/>
    <col min="6402" max="6402" width="10.5546875" style="103" customWidth="1"/>
    <col min="6403" max="6403" width="27.6640625" style="103" customWidth="1"/>
    <col min="6404" max="6404" width="14.44140625" style="103" customWidth="1"/>
    <col min="6405" max="6406" width="15" style="103" customWidth="1"/>
    <col min="6407" max="6407" width="16.6640625" style="103" customWidth="1"/>
    <col min="6408" max="6408" width="13.109375" style="103" customWidth="1"/>
    <col min="6409" max="6410" width="12.5546875" style="103" customWidth="1"/>
    <col min="6411" max="6657" width="9.109375" style="103"/>
    <col min="6658" max="6658" width="10.5546875" style="103" customWidth="1"/>
    <col min="6659" max="6659" width="27.6640625" style="103" customWidth="1"/>
    <col min="6660" max="6660" width="14.44140625" style="103" customWidth="1"/>
    <col min="6661" max="6662" width="15" style="103" customWidth="1"/>
    <col min="6663" max="6663" width="16.6640625" style="103" customWidth="1"/>
    <col min="6664" max="6664" width="13.109375" style="103" customWidth="1"/>
    <col min="6665" max="6666" width="12.5546875" style="103" customWidth="1"/>
    <col min="6667" max="6913" width="9.109375" style="103"/>
    <col min="6914" max="6914" width="10.5546875" style="103" customWidth="1"/>
    <col min="6915" max="6915" width="27.6640625" style="103" customWidth="1"/>
    <col min="6916" max="6916" width="14.44140625" style="103" customWidth="1"/>
    <col min="6917" max="6918" width="15" style="103" customWidth="1"/>
    <col min="6919" max="6919" width="16.6640625" style="103" customWidth="1"/>
    <col min="6920" max="6920" width="13.109375" style="103" customWidth="1"/>
    <col min="6921" max="6922" width="12.5546875" style="103" customWidth="1"/>
    <col min="6923" max="7169" width="9.109375" style="103"/>
    <col min="7170" max="7170" width="10.5546875" style="103" customWidth="1"/>
    <col min="7171" max="7171" width="27.6640625" style="103" customWidth="1"/>
    <col min="7172" max="7172" width="14.44140625" style="103" customWidth="1"/>
    <col min="7173" max="7174" width="15" style="103" customWidth="1"/>
    <col min="7175" max="7175" width="16.6640625" style="103" customWidth="1"/>
    <col min="7176" max="7176" width="13.109375" style="103" customWidth="1"/>
    <col min="7177" max="7178" width="12.5546875" style="103" customWidth="1"/>
    <col min="7179" max="7425" width="9.109375" style="103"/>
    <col min="7426" max="7426" width="10.5546875" style="103" customWidth="1"/>
    <col min="7427" max="7427" width="27.6640625" style="103" customWidth="1"/>
    <col min="7428" max="7428" width="14.44140625" style="103" customWidth="1"/>
    <col min="7429" max="7430" width="15" style="103" customWidth="1"/>
    <col min="7431" max="7431" width="16.6640625" style="103" customWidth="1"/>
    <col min="7432" max="7432" width="13.109375" style="103" customWidth="1"/>
    <col min="7433" max="7434" width="12.5546875" style="103" customWidth="1"/>
    <col min="7435" max="7681" width="9.109375" style="103"/>
    <col min="7682" max="7682" width="10.5546875" style="103" customWidth="1"/>
    <col min="7683" max="7683" width="27.6640625" style="103" customWidth="1"/>
    <col min="7684" max="7684" width="14.44140625" style="103" customWidth="1"/>
    <col min="7685" max="7686" width="15" style="103" customWidth="1"/>
    <col min="7687" max="7687" width="16.6640625" style="103" customWidth="1"/>
    <col min="7688" max="7688" width="13.109375" style="103" customWidth="1"/>
    <col min="7689" max="7690" width="12.5546875" style="103" customWidth="1"/>
    <col min="7691" max="7937" width="9.109375" style="103"/>
    <col min="7938" max="7938" width="10.5546875" style="103" customWidth="1"/>
    <col min="7939" max="7939" width="27.6640625" style="103" customWidth="1"/>
    <col min="7940" max="7940" width="14.44140625" style="103" customWidth="1"/>
    <col min="7941" max="7942" width="15" style="103" customWidth="1"/>
    <col min="7943" max="7943" width="16.6640625" style="103" customWidth="1"/>
    <col min="7944" max="7944" width="13.109375" style="103" customWidth="1"/>
    <col min="7945" max="7946" width="12.5546875" style="103" customWidth="1"/>
    <col min="7947" max="8193" width="9.109375" style="103"/>
    <col min="8194" max="8194" width="10.5546875" style="103" customWidth="1"/>
    <col min="8195" max="8195" width="27.6640625" style="103" customWidth="1"/>
    <col min="8196" max="8196" width="14.44140625" style="103" customWidth="1"/>
    <col min="8197" max="8198" width="15" style="103" customWidth="1"/>
    <col min="8199" max="8199" width="16.6640625" style="103" customWidth="1"/>
    <col min="8200" max="8200" width="13.109375" style="103" customWidth="1"/>
    <col min="8201" max="8202" width="12.5546875" style="103" customWidth="1"/>
    <col min="8203" max="8449" width="9.109375" style="103"/>
    <col min="8450" max="8450" width="10.5546875" style="103" customWidth="1"/>
    <col min="8451" max="8451" width="27.6640625" style="103" customWidth="1"/>
    <col min="8452" max="8452" width="14.44140625" style="103" customWidth="1"/>
    <col min="8453" max="8454" width="15" style="103" customWidth="1"/>
    <col min="8455" max="8455" width="16.6640625" style="103" customWidth="1"/>
    <col min="8456" max="8456" width="13.109375" style="103" customWidth="1"/>
    <col min="8457" max="8458" width="12.5546875" style="103" customWidth="1"/>
    <col min="8459" max="8705" width="9.109375" style="103"/>
    <col min="8706" max="8706" width="10.5546875" style="103" customWidth="1"/>
    <col min="8707" max="8707" width="27.6640625" style="103" customWidth="1"/>
    <col min="8708" max="8708" width="14.44140625" style="103" customWidth="1"/>
    <col min="8709" max="8710" width="15" style="103" customWidth="1"/>
    <col min="8711" max="8711" width="16.6640625" style="103" customWidth="1"/>
    <col min="8712" max="8712" width="13.109375" style="103" customWidth="1"/>
    <col min="8713" max="8714" width="12.5546875" style="103" customWidth="1"/>
    <col min="8715" max="8961" width="9.109375" style="103"/>
    <col min="8962" max="8962" width="10.5546875" style="103" customWidth="1"/>
    <col min="8963" max="8963" width="27.6640625" style="103" customWidth="1"/>
    <col min="8964" max="8964" width="14.44140625" style="103" customWidth="1"/>
    <col min="8965" max="8966" width="15" style="103" customWidth="1"/>
    <col min="8967" max="8967" width="16.6640625" style="103" customWidth="1"/>
    <col min="8968" max="8968" width="13.109375" style="103" customWidth="1"/>
    <col min="8969" max="8970" width="12.5546875" style="103" customWidth="1"/>
    <col min="8971" max="9217" width="9.109375" style="103"/>
    <col min="9218" max="9218" width="10.5546875" style="103" customWidth="1"/>
    <col min="9219" max="9219" width="27.6640625" style="103" customWidth="1"/>
    <col min="9220" max="9220" width="14.44140625" style="103" customWidth="1"/>
    <col min="9221" max="9222" width="15" style="103" customWidth="1"/>
    <col min="9223" max="9223" width="16.6640625" style="103" customWidth="1"/>
    <col min="9224" max="9224" width="13.109375" style="103" customWidth="1"/>
    <col min="9225" max="9226" width="12.5546875" style="103" customWidth="1"/>
    <col min="9227" max="9473" width="9.109375" style="103"/>
    <col min="9474" max="9474" width="10.5546875" style="103" customWidth="1"/>
    <col min="9475" max="9475" width="27.6640625" style="103" customWidth="1"/>
    <col min="9476" max="9476" width="14.44140625" style="103" customWidth="1"/>
    <col min="9477" max="9478" width="15" style="103" customWidth="1"/>
    <col min="9479" max="9479" width="16.6640625" style="103" customWidth="1"/>
    <col min="9480" max="9480" width="13.109375" style="103" customWidth="1"/>
    <col min="9481" max="9482" width="12.5546875" style="103" customWidth="1"/>
    <col min="9483" max="9729" width="9.109375" style="103"/>
    <col min="9730" max="9730" width="10.5546875" style="103" customWidth="1"/>
    <col min="9731" max="9731" width="27.6640625" style="103" customWidth="1"/>
    <col min="9732" max="9732" width="14.44140625" style="103" customWidth="1"/>
    <col min="9733" max="9734" width="15" style="103" customWidth="1"/>
    <col min="9735" max="9735" width="16.6640625" style="103" customWidth="1"/>
    <col min="9736" max="9736" width="13.109375" style="103" customWidth="1"/>
    <col min="9737" max="9738" width="12.5546875" style="103" customWidth="1"/>
    <col min="9739" max="9985" width="9.109375" style="103"/>
    <col min="9986" max="9986" width="10.5546875" style="103" customWidth="1"/>
    <col min="9987" max="9987" width="27.6640625" style="103" customWidth="1"/>
    <col min="9988" max="9988" width="14.44140625" style="103" customWidth="1"/>
    <col min="9989" max="9990" width="15" style="103" customWidth="1"/>
    <col min="9991" max="9991" width="16.6640625" style="103" customWidth="1"/>
    <col min="9992" max="9992" width="13.109375" style="103" customWidth="1"/>
    <col min="9993" max="9994" width="12.5546875" style="103" customWidth="1"/>
    <col min="9995" max="10241" width="9.109375" style="103"/>
    <col min="10242" max="10242" width="10.5546875" style="103" customWidth="1"/>
    <col min="10243" max="10243" width="27.6640625" style="103" customWidth="1"/>
    <col min="10244" max="10244" width="14.44140625" style="103" customWidth="1"/>
    <col min="10245" max="10246" width="15" style="103" customWidth="1"/>
    <col min="10247" max="10247" width="16.6640625" style="103" customWidth="1"/>
    <col min="10248" max="10248" width="13.109375" style="103" customWidth="1"/>
    <col min="10249" max="10250" width="12.5546875" style="103" customWidth="1"/>
    <col min="10251" max="10497" width="9.109375" style="103"/>
    <col min="10498" max="10498" width="10.5546875" style="103" customWidth="1"/>
    <col min="10499" max="10499" width="27.6640625" style="103" customWidth="1"/>
    <col min="10500" max="10500" width="14.44140625" style="103" customWidth="1"/>
    <col min="10501" max="10502" width="15" style="103" customWidth="1"/>
    <col min="10503" max="10503" width="16.6640625" style="103" customWidth="1"/>
    <col min="10504" max="10504" width="13.109375" style="103" customWidth="1"/>
    <col min="10505" max="10506" width="12.5546875" style="103" customWidth="1"/>
    <col min="10507" max="10753" width="9.109375" style="103"/>
    <col min="10754" max="10754" width="10.5546875" style="103" customWidth="1"/>
    <col min="10755" max="10755" width="27.6640625" style="103" customWidth="1"/>
    <col min="10756" max="10756" width="14.44140625" style="103" customWidth="1"/>
    <col min="10757" max="10758" width="15" style="103" customWidth="1"/>
    <col min="10759" max="10759" width="16.6640625" style="103" customWidth="1"/>
    <col min="10760" max="10760" width="13.109375" style="103" customWidth="1"/>
    <col min="10761" max="10762" width="12.5546875" style="103" customWidth="1"/>
    <col min="10763" max="11009" width="9.109375" style="103"/>
    <col min="11010" max="11010" width="10.5546875" style="103" customWidth="1"/>
    <col min="11011" max="11011" width="27.6640625" style="103" customWidth="1"/>
    <col min="11012" max="11012" width="14.44140625" style="103" customWidth="1"/>
    <col min="11013" max="11014" width="15" style="103" customWidth="1"/>
    <col min="11015" max="11015" width="16.6640625" style="103" customWidth="1"/>
    <col min="11016" max="11016" width="13.109375" style="103" customWidth="1"/>
    <col min="11017" max="11018" width="12.5546875" style="103" customWidth="1"/>
    <col min="11019" max="11265" width="9.109375" style="103"/>
    <col min="11266" max="11266" width="10.5546875" style="103" customWidth="1"/>
    <col min="11267" max="11267" width="27.6640625" style="103" customWidth="1"/>
    <col min="11268" max="11268" width="14.44140625" style="103" customWidth="1"/>
    <col min="11269" max="11270" width="15" style="103" customWidth="1"/>
    <col min="11271" max="11271" width="16.6640625" style="103" customWidth="1"/>
    <col min="11272" max="11272" width="13.109375" style="103" customWidth="1"/>
    <col min="11273" max="11274" width="12.5546875" style="103" customWidth="1"/>
    <col min="11275" max="11521" width="9.109375" style="103"/>
    <col min="11522" max="11522" width="10.5546875" style="103" customWidth="1"/>
    <col min="11523" max="11523" width="27.6640625" style="103" customWidth="1"/>
    <col min="11524" max="11524" width="14.44140625" style="103" customWidth="1"/>
    <col min="11525" max="11526" width="15" style="103" customWidth="1"/>
    <col min="11527" max="11527" width="16.6640625" style="103" customWidth="1"/>
    <col min="11528" max="11528" width="13.109375" style="103" customWidth="1"/>
    <col min="11529" max="11530" width="12.5546875" style="103" customWidth="1"/>
    <col min="11531" max="11777" width="9.109375" style="103"/>
    <col min="11778" max="11778" width="10.5546875" style="103" customWidth="1"/>
    <col min="11779" max="11779" width="27.6640625" style="103" customWidth="1"/>
    <col min="11780" max="11780" width="14.44140625" style="103" customWidth="1"/>
    <col min="11781" max="11782" width="15" style="103" customWidth="1"/>
    <col min="11783" max="11783" width="16.6640625" style="103" customWidth="1"/>
    <col min="11784" max="11784" width="13.109375" style="103" customWidth="1"/>
    <col min="11785" max="11786" width="12.5546875" style="103" customWidth="1"/>
    <col min="11787" max="12033" width="9.109375" style="103"/>
    <col min="12034" max="12034" width="10.5546875" style="103" customWidth="1"/>
    <col min="12035" max="12035" width="27.6640625" style="103" customWidth="1"/>
    <col min="12036" max="12036" width="14.44140625" style="103" customWidth="1"/>
    <col min="12037" max="12038" width="15" style="103" customWidth="1"/>
    <col min="12039" max="12039" width="16.6640625" style="103" customWidth="1"/>
    <col min="12040" max="12040" width="13.109375" style="103" customWidth="1"/>
    <col min="12041" max="12042" width="12.5546875" style="103" customWidth="1"/>
    <col min="12043" max="12289" width="9.109375" style="103"/>
    <col min="12290" max="12290" width="10.5546875" style="103" customWidth="1"/>
    <col min="12291" max="12291" width="27.6640625" style="103" customWidth="1"/>
    <col min="12292" max="12292" width="14.44140625" style="103" customWidth="1"/>
    <col min="12293" max="12294" width="15" style="103" customWidth="1"/>
    <col min="12295" max="12295" width="16.6640625" style="103" customWidth="1"/>
    <col min="12296" max="12296" width="13.109375" style="103" customWidth="1"/>
    <col min="12297" max="12298" width="12.5546875" style="103" customWidth="1"/>
    <col min="12299" max="12545" width="9.109375" style="103"/>
    <col min="12546" max="12546" width="10.5546875" style="103" customWidth="1"/>
    <col min="12547" max="12547" width="27.6640625" style="103" customWidth="1"/>
    <col min="12548" max="12548" width="14.44140625" style="103" customWidth="1"/>
    <col min="12549" max="12550" width="15" style="103" customWidth="1"/>
    <col min="12551" max="12551" width="16.6640625" style="103" customWidth="1"/>
    <col min="12552" max="12552" width="13.109375" style="103" customWidth="1"/>
    <col min="12553" max="12554" width="12.5546875" style="103" customWidth="1"/>
    <col min="12555" max="12801" width="9.109375" style="103"/>
    <col min="12802" max="12802" width="10.5546875" style="103" customWidth="1"/>
    <col min="12803" max="12803" width="27.6640625" style="103" customWidth="1"/>
    <col min="12804" max="12804" width="14.44140625" style="103" customWidth="1"/>
    <col min="12805" max="12806" width="15" style="103" customWidth="1"/>
    <col min="12807" max="12807" width="16.6640625" style="103" customWidth="1"/>
    <col min="12808" max="12808" width="13.109375" style="103" customWidth="1"/>
    <col min="12809" max="12810" width="12.5546875" style="103" customWidth="1"/>
    <col min="12811" max="13057" width="9.109375" style="103"/>
    <col min="13058" max="13058" width="10.5546875" style="103" customWidth="1"/>
    <col min="13059" max="13059" width="27.6640625" style="103" customWidth="1"/>
    <col min="13060" max="13060" width="14.44140625" style="103" customWidth="1"/>
    <col min="13061" max="13062" width="15" style="103" customWidth="1"/>
    <col min="13063" max="13063" width="16.6640625" style="103" customWidth="1"/>
    <col min="13064" max="13064" width="13.109375" style="103" customWidth="1"/>
    <col min="13065" max="13066" width="12.5546875" style="103" customWidth="1"/>
    <col min="13067" max="13313" width="9.109375" style="103"/>
    <col min="13314" max="13314" width="10.5546875" style="103" customWidth="1"/>
    <col min="13315" max="13315" width="27.6640625" style="103" customWidth="1"/>
    <col min="13316" max="13316" width="14.44140625" style="103" customWidth="1"/>
    <col min="13317" max="13318" width="15" style="103" customWidth="1"/>
    <col min="13319" max="13319" width="16.6640625" style="103" customWidth="1"/>
    <col min="13320" max="13320" width="13.109375" style="103" customWidth="1"/>
    <col min="13321" max="13322" width="12.5546875" style="103" customWidth="1"/>
    <col min="13323" max="13569" width="9.109375" style="103"/>
    <col min="13570" max="13570" width="10.5546875" style="103" customWidth="1"/>
    <col min="13571" max="13571" width="27.6640625" style="103" customWidth="1"/>
    <col min="13572" max="13572" width="14.44140625" style="103" customWidth="1"/>
    <col min="13573" max="13574" width="15" style="103" customWidth="1"/>
    <col min="13575" max="13575" width="16.6640625" style="103" customWidth="1"/>
    <col min="13576" max="13576" width="13.109375" style="103" customWidth="1"/>
    <col min="13577" max="13578" width="12.5546875" style="103" customWidth="1"/>
    <col min="13579" max="13825" width="9.109375" style="103"/>
    <col min="13826" max="13826" width="10.5546875" style="103" customWidth="1"/>
    <col min="13827" max="13827" width="27.6640625" style="103" customWidth="1"/>
    <col min="13828" max="13828" width="14.44140625" style="103" customWidth="1"/>
    <col min="13829" max="13830" width="15" style="103" customWidth="1"/>
    <col min="13831" max="13831" width="16.6640625" style="103" customWidth="1"/>
    <col min="13832" max="13832" width="13.109375" style="103" customWidth="1"/>
    <col min="13833" max="13834" width="12.5546875" style="103" customWidth="1"/>
    <col min="13835" max="14081" width="9.109375" style="103"/>
    <col min="14082" max="14082" width="10.5546875" style="103" customWidth="1"/>
    <col min="14083" max="14083" width="27.6640625" style="103" customWidth="1"/>
    <col min="14084" max="14084" width="14.44140625" style="103" customWidth="1"/>
    <col min="14085" max="14086" width="15" style="103" customWidth="1"/>
    <col min="14087" max="14087" width="16.6640625" style="103" customWidth="1"/>
    <col min="14088" max="14088" width="13.109375" style="103" customWidth="1"/>
    <col min="14089" max="14090" width="12.5546875" style="103" customWidth="1"/>
    <col min="14091" max="14337" width="9.109375" style="103"/>
    <col min="14338" max="14338" width="10.5546875" style="103" customWidth="1"/>
    <col min="14339" max="14339" width="27.6640625" style="103" customWidth="1"/>
    <col min="14340" max="14340" width="14.44140625" style="103" customWidth="1"/>
    <col min="14341" max="14342" width="15" style="103" customWidth="1"/>
    <col min="14343" max="14343" width="16.6640625" style="103" customWidth="1"/>
    <col min="14344" max="14344" width="13.109375" style="103" customWidth="1"/>
    <col min="14345" max="14346" width="12.5546875" style="103" customWidth="1"/>
    <col min="14347" max="14593" width="9.109375" style="103"/>
    <col min="14594" max="14594" width="10.5546875" style="103" customWidth="1"/>
    <col min="14595" max="14595" width="27.6640625" style="103" customWidth="1"/>
    <col min="14596" max="14596" width="14.44140625" style="103" customWidth="1"/>
    <col min="14597" max="14598" width="15" style="103" customWidth="1"/>
    <col min="14599" max="14599" width="16.6640625" style="103" customWidth="1"/>
    <col min="14600" max="14600" width="13.109375" style="103" customWidth="1"/>
    <col min="14601" max="14602" width="12.5546875" style="103" customWidth="1"/>
    <col min="14603" max="14849" width="9.109375" style="103"/>
    <col min="14850" max="14850" width="10.5546875" style="103" customWidth="1"/>
    <col min="14851" max="14851" width="27.6640625" style="103" customWidth="1"/>
    <col min="14852" max="14852" width="14.44140625" style="103" customWidth="1"/>
    <col min="14853" max="14854" width="15" style="103" customWidth="1"/>
    <col min="14855" max="14855" width="16.6640625" style="103" customWidth="1"/>
    <col min="14856" max="14856" width="13.109375" style="103" customWidth="1"/>
    <col min="14857" max="14858" width="12.5546875" style="103" customWidth="1"/>
    <col min="14859" max="15105" width="9.109375" style="103"/>
    <col min="15106" max="15106" width="10.5546875" style="103" customWidth="1"/>
    <col min="15107" max="15107" width="27.6640625" style="103" customWidth="1"/>
    <col min="15108" max="15108" width="14.44140625" style="103" customWidth="1"/>
    <col min="15109" max="15110" width="15" style="103" customWidth="1"/>
    <col min="15111" max="15111" width="16.6640625" style="103" customWidth="1"/>
    <col min="15112" max="15112" width="13.109375" style="103" customWidth="1"/>
    <col min="15113" max="15114" width="12.5546875" style="103" customWidth="1"/>
    <col min="15115" max="15361" width="9.109375" style="103"/>
    <col min="15362" max="15362" width="10.5546875" style="103" customWidth="1"/>
    <col min="15363" max="15363" width="27.6640625" style="103" customWidth="1"/>
    <col min="15364" max="15364" width="14.44140625" style="103" customWidth="1"/>
    <col min="15365" max="15366" width="15" style="103" customWidth="1"/>
    <col min="15367" max="15367" width="16.6640625" style="103" customWidth="1"/>
    <col min="15368" max="15368" width="13.109375" style="103" customWidth="1"/>
    <col min="15369" max="15370" width="12.5546875" style="103" customWidth="1"/>
    <col min="15371" max="15617" width="9.109375" style="103"/>
    <col min="15618" max="15618" width="10.5546875" style="103" customWidth="1"/>
    <col min="15619" max="15619" width="27.6640625" style="103" customWidth="1"/>
    <col min="15620" max="15620" width="14.44140625" style="103" customWidth="1"/>
    <col min="15621" max="15622" width="15" style="103" customWidth="1"/>
    <col min="15623" max="15623" width="16.6640625" style="103" customWidth="1"/>
    <col min="15624" max="15624" width="13.109375" style="103" customWidth="1"/>
    <col min="15625" max="15626" width="12.5546875" style="103" customWidth="1"/>
    <col min="15627" max="15873" width="9.109375" style="103"/>
    <col min="15874" max="15874" width="10.5546875" style="103" customWidth="1"/>
    <col min="15875" max="15875" width="27.6640625" style="103" customWidth="1"/>
    <col min="15876" max="15876" width="14.44140625" style="103" customWidth="1"/>
    <col min="15877" max="15878" width="15" style="103" customWidth="1"/>
    <col min="15879" max="15879" width="16.6640625" style="103" customWidth="1"/>
    <col min="15880" max="15880" width="13.109375" style="103" customWidth="1"/>
    <col min="15881" max="15882" width="12.5546875" style="103" customWidth="1"/>
    <col min="15883" max="16129" width="9.109375" style="103"/>
    <col min="16130" max="16130" width="10.5546875" style="103" customWidth="1"/>
    <col min="16131" max="16131" width="27.6640625" style="103" customWidth="1"/>
    <col min="16132" max="16132" width="14.44140625" style="103" customWidth="1"/>
    <col min="16133" max="16134" width="15" style="103" customWidth="1"/>
    <col min="16135" max="16135" width="16.6640625" style="103" customWidth="1"/>
    <col min="16136" max="16136" width="13.109375" style="103" customWidth="1"/>
    <col min="16137" max="16138" width="12.5546875" style="103" customWidth="1"/>
    <col min="16139" max="16384" width="9.109375" style="103"/>
  </cols>
  <sheetData>
    <row r="1" spans="1:10" ht="13.8" x14ac:dyDescent="0.3">
      <c r="A1" s="444"/>
      <c r="B1" s="100" t="str">
        <f>INSTRUÇÕES!B1</f>
        <v>Tribunal Regional Federal da 6ª Região</v>
      </c>
      <c r="C1" s="445"/>
      <c r="D1" s="445"/>
      <c r="E1" s="445"/>
      <c r="F1" s="446"/>
      <c r="G1" s="447"/>
      <c r="H1" s="447"/>
      <c r="I1" s="446"/>
      <c r="J1" s="448"/>
    </row>
    <row r="2" spans="1:10" ht="13.8" x14ac:dyDescent="0.3">
      <c r="A2" s="449"/>
      <c r="B2" s="102" t="str">
        <f>INSTRUÇÕES!B2</f>
        <v>Seção Judiciária de Minas Gerais</v>
      </c>
      <c r="C2" s="339"/>
      <c r="D2" s="339"/>
      <c r="E2" s="339"/>
      <c r="F2" s="450"/>
      <c r="I2" s="450"/>
      <c r="J2" s="451"/>
    </row>
    <row r="3" spans="1:10" ht="13.8" x14ac:dyDescent="0.3">
      <c r="A3" s="452"/>
      <c r="B3" s="296" t="str">
        <f>INSTRUÇÕES!B3</f>
        <v>Subseção Judiciária de Manhuaçu</v>
      </c>
      <c r="C3" s="339"/>
      <c r="D3" s="339"/>
      <c r="E3" s="339"/>
      <c r="F3" s="450"/>
      <c r="I3" s="450"/>
      <c r="J3" s="451"/>
    </row>
    <row r="4" spans="1:10" ht="19.5" customHeight="1" x14ac:dyDescent="0.3">
      <c r="A4" s="701" t="s">
        <v>476</v>
      </c>
      <c r="B4" s="701"/>
      <c r="C4" s="701"/>
      <c r="D4" s="701"/>
      <c r="E4" s="701"/>
      <c r="F4" s="701"/>
      <c r="G4" s="701"/>
      <c r="H4" s="701"/>
      <c r="I4" s="701"/>
      <c r="J4" s="701"/>
    </row>
    <row r="5" spans="1:10" ht="19.5" customHeight="1" x14ac:dyDescent="0.3">
      <c r="A5" s="702" t="s">
        <v>232</v>
      </c>
      <c r="B5" s="702"/>
      <c r="C5" s="702"/>
      <c r="D5" s="702"/>
      <c r="E5" s="702"/>
      <c r="F5" s="702"/>
      <c r="G5" s="702"/>
      <c r="H5" s="702"/>
      <c r="I5" s="702"/>
      <c r="J5" s="702"/>
    </row>
    <row r="6" spans="1:10" ht="36" customHeight="1" x14ac:dyDescent="0.3">
      <c r="A6" s="703" t="str">
        <f>Dados!A4</f>
        <v>Sindicato utilizado - SINSERHT X SINTEAC. Vigência: 01/01/2026 a 31/12/2026. Sendo a data base da categoria 01º de Janeiro. Com número de registro no MTE MG001237/2025.</v>
      </c>
      <c r="B6" s="703"/>
      <c r="C6" s="703"/>
      <c r="D6" s="703"/>
      <c r="E6" s="703"/>
      <c r="F6" s="703"/>
      <c r="G6" s="703"/>
      <c r="H6" s="703"/>
      <c r="I6" s="703"/>
      <c r="J6" s="703"/>
    </row>
    <row r="7" spans="1:10" ht="19.5" customHeight="1" x14ac:dyDescent="0.3">
      <c r="A7" s="704" t="str">
        <f>Dados!C7</f>
        <v>Servente de Limpeza com Adicional de Insalubridade (40%)</v>
      </c>
      <c r="B7" s="704"/>
      <c r="C7" s="704"/>
      <c r="D7" s="704"/>
      <c r="E7" s="704"/>
      <c r="F7" s="705" t="s">
        <v>569</v>
      </c>
      <c r="G7" s="705" t="s">
        <v>570</v>
      </c>
      <c r="H7" s="705" t="s">
        <v>477</v>
      </c>
      <c r="I7" s="705" t="s">
        <v>478</v>
      </c>
      <c r="J7" s="705" t="s">
        <v>479</v>
      </c>
    </row>
    <row r="8" spans="1:10" ht="19.5" customHeight="1" x14ac:dyDescent="0.3">
      <c r="A8" s="706" t="s">
        <v>480</v>
      </c>
      <c r="B8" s="706"/>
      <c r="C8" s="706"/>
      <c r="D8" s="706"/>
      <c r="E8" s="453" t="s">
        <v>309</v>
      </c>
      <c r="F8" s="705"/>
      <c r="G8" s="705"/>
      <c r="H8" s="705"/>
      <c r="I8" s="705"/>
      <c r="J8" s="705"/>
    </row>
    <row r="9" spans="1:10" ht="19.5" customHeight="1" x14ac:dyDescent="0.3">
      <c r="A9" s="707" t="s">
        <v>481</v>
      </c>
      <c r="B9" s="707"/>
      <c r="C9" s="707"/>
      <c r="D9" s="707"/>
      <c r="E9" s="707"/>
      <c r="F9" s="707"/>
      <c r="G9" s="707"/>
      <c r="H9" s="707"/>
      <c r="I9" s="707"/>
      <c r="J9" s="707"/>
    </row>
    <row r="10" spans="1:10" ht="24" customHeight="1" x14ac:dyDescent="0.3">
      <c r="A10" s="454" t="s">
        <v>310</v>
      </c>
      <c r="B10" s="708" t="s">
        <v>482</v>
      </c>
      <c r="C10" s="708"/>
      <c r="D10" s="455" t="s">
        <v>483</v>
      </c>
      <c r="E10" s="456" t="s">
        <v>484</v>
      </c>
      <c r="F10" s="709" t="s">
        <v>313</v>
      </c>
      <c r="G10" s="709"/>
      <c r="H10" s="709"/>
      <c r="I10" s="709"/>
      <c r="J10" s="709"/>
    </row>
    <row r="11" spans="1:10" ht="19.5" customHeight="1" x14ac:dyDescent="0.3">
      <c r="A11" s="710">
        <v>1</v>
      </c>
      <c r="B11" s="711" t="str">
        <f>A7</f>
        <v>Servente de Limpeza com Adicional de Insalubridade (40%)</v>
      </c>
      <c r="C11" s="711"/>
      <c r="D11" s="457">
        <f>Dados!D7</f>
        <v>200</v>
      </c>
      <c r="E11" s="458">
        <f>Dados!E7</f>
        <v>1596.27</v>
      </c>
      <c r="F11" s="459">
        <f>ROUND(E11/220*D11,2)</f>
        <v>1451.15</v>
      </c>
      <c r="G11" s="459">
        <f>F11</f>
        <v>1451.15</v>
      </c>
      <c r="H11" s="459"/>
      <c r="I11" s="459"/>
      <c r="J11" s="460"/>
    </row>
    <row r="12" spans="1:10" ht="19.5" customHeight="1" x14ac:dyDescent="0.3">
      <c r="A12" s="710"/>
      <c r="B12" s="711" t="s">
        <v>485</v>
      </c>
      <c r="C12" s="711"/>
      <c r="D12" s="461">
        <f>Dados!G7</f>
        <v>0.4</v>
      </c>
      <c r="E12" s="458">
        <f>Dados!G26</f>
        <v>1621</v>
      </c>
      <c r="F12" s="459">
        <f>D12*E12</f>
        <v>648.40000000000009</v>
      </c>
      <c r="G12" s="459">
        <f>F12</f>
        <v>648.40000000000009</v>
      </c>
      <c r="H12" s="459"/>
      <c r="I12" s="459"/>
      <c r="J12" s="460">
        <f>F12</f>
        <v>648.40000000000009</v>
      </c>
    </row>
    <row r="13" spans="1:10" ht="20.25" customHeight="1" x14ac:dyDescent="0.3">
      <c r="A13" s="710"/>
      <c r="B13" s="462" t="s">
        <v>486</v>
      </c>
      <c r="C13" s="463">
        <f>Dados!I7</f>
        <v>0</v>
      </c>
      <c r="D13" s="463">
        <f>Dados!J7</f>
        <v>0</v>
      </c>
      <c r="E13" s="464">
        <f>Dados!K8</f>
        <v>1451.15</v>
      </c>
      <c r="F13" s="465">
        <f>ROUND((E13*D13*C13),2)</f>
        <v>0</v>
      </c>
      <c r="G13" s="465">
        <f>F13</f>
        <v>0</v>
      </c>
      <c r="H13" s="465"/>
      <c r="I13" s="465"/>
      <c r="J13" s="466"/>
    </row>
    <row r="14" spans="1:10" ht="19.5" customHeight="1" x14ac:dyDescent="0.3">
      <c r="A14" s="710"/>
      <c r="B14" s="712" t="s">
        <v>487</v>
      </c>
      <c r="C14" s="712"/>
      <c r="D14" s="712"/>
      <c r="E14" s="712"/>
      <c r="F14" s="467">
        <f>SUM(F11:F13)</f>
        <v>2099.5500000000002</v>
      </c>
      <c r="G14" s="467">
        <f>SUM(G11:G13)</f>
        <v>2099.5500000000002</v>
      </c>
      <c r="H14" s="467">
        <f>SUM(H11:H13)</f>
        <v>0</v>
      </c>
      <c r="I14" s="467">
        <f>SUM(I11:I13)</f>
        <v>0</v>
      </c>
      <c r="J14" s="468">
        <f>SUM(J11:J13)</f>
        <v>648.40000000000009</v>
      </c>
    </row>
    <row r="15" spans="1:10" ht="19.5" customHeight="1" x14ac:dyDescent="0.3">
      <c r="A15" s="710"/>
      <c r="B15" s="713" t="s">
        <v>488</v>
      </c>
      <c r="C15" s="713"/>
      <c r="D15" s="713"/>
      <c r="E15" s="469">
        <f>Encargos!$C$57</f>
        <v>0.68199999999999994</v>
      </c>
      <c r="F15" s="459">
        <f>ROUND((E15*F14),2)</f>
        <v>1431.89</v>
      </c>
      <c r="G15" s="459">
        <f>F15</f>
        <v>1431.89</v>
      </c>
      <c r="H15" s="459"/>
      <c r="I15" s="459"/>
      <c r="J15" s="460">
        <f>ROUND((E15*J14),2)</f>
        <v>442.21</v>
      </c>
    </row>
    <row r="16" spans="1:10" ht="19.5" customHeight="1" x14ac:dyDescent="0.3">
      <c r="A16" s="714" t="s">
        <v>489</v>
      </c>
      <c r="B16" s="714"/>
      <c r="C16" s="714"/>
      <c r="D16" s="714"/>
      <c r="E16" s="714"/>
      <c r="F16" s="470">
        <f>SUM(F14:F15)</f>
        <v>3531.4400000000005</v>
      </c>
      <c r="G16" s="470">
        <f>SUM(G14:G15)</f>
        <v>3531.4400000000005</v>
      </c>
      <c r="H16" s="470">
        <f>SUM(H14:H15)</f>
        <v>0</v>
      </c>
      <c r="I16" s="470">
        <f>SUM(I14:I15)</f>
        <v>0</v>
      </c>
      <c r="J16" s="471">
        <f>SUM(J14:J15)</f>
        <v>1090.6100000000001</v>
      </c>
    </row>
    <row r="17" spans="1:12" ht="19.5" customHeight="1" x14ac:dyDescent="0.3">
      <c r="A17" s="715" t="s">
        <v>490</v>
      </c>
      <c r="B17" s="715"/>
      <c r="C17" s="715"/>
      <c r="D17" s="715"/>
      <c r="E17" s="715"/>
      <c r="F17" s="715"/>
      <c r="G17" s="715"/>
      <c r="H17" s="715"/>
      <c r="I17" s="715"/>
      <c r="J17" s="715"/>
    </row>
    <row r="18" spans="1:12" ht="19.5" customHeight="1" x14ac:dyDescent="0.3">
      <c r="A18" s="716" t="s">
        <v>491</v>
      </c>
      <c r="B18" s="716"/>
      <c r="C18" s="318" t="s">
        <v>312</v>
      </c>
      <c r="D18" s="717" t="s">
        <v>492</v>
      </c>
      <c r="E18" s="717"/>
      <c r="F18" s="718" t="s">
        <v>313</v>
      </c>
      <c r="G18" s="718"/>
      <c r="H18" s="718"/>
      <c r="I18" s="718"/>
      <c r="J18" s="718"/>
    </row>
    <row r="19" spans="1:12" ht="19.5" customHeight="1" x14ac:dyDescent="0.3">
      <c r="A19" s="719" t="s">
        <v>493</v>
      </c>
      <c r="B19" s="719"/>
      <c r="C19" s="473"/>
      <c r="D19" s="473"/>
      <c r="E19" s="473"/>
      <c r="F19" s="459">
        <f>Dados!$N$7</f>
        <v>25.87</v>
      </c>
      <c r="G19" s="459">
        <f>F19</f>
        <v>25.87</v>
      </c>
      <c r="H19" s="459"/>
      <c r="I19" s="459"/>
      <c r="J19" s="460"/>
    </row>
    <row r="20" spans="1:12" ht="19.5" customHeight="1" x14ac:dyDescent="0.3">
      <c r="A20" s="719" t="s">
        <v>494</v>
      </c>
      <c r="B20" s="719"/>
      <c r="C20" s="473"/>
      <c r="D20" s="473"/>
      <c r="E20" s="473"/>
      <c r="F20" s="459">
        <f>Dados!$G$29</f>
        <v>6.51</v>
      </c>
      <c r="G20" s="459">
        <f>F20</f>
        <v>6.51</v>
      </c>
      <c r="H20" s="459"/>
      <c r="I20" s="459"/>
      <c r="J20" s="460"/>
    </row>
    <row r="21" spans="1:12" ht="23.25" customHeight="1" x14ac:dyDescent="0.3">
      <c r="A21" s="720" t="s">
        <v>190</v>
      </c>
      <c r="B21" s="720"/>
      <c r="C21" s="473"/>
      <c r="D21" s="473"/>
      <c r="E21" s="473"/>
      <c r="F21" s="459">
        <f>Dados!G30</f>
        <v>0</v>
      </c>
      <c r="G21" s="459">
        <f>F21</f>
        <v>0</v>
      </c>
      <c r="H21" s="459"/>
      <c r="I21" s="459"/>
      <c r="J21" s="460"/>
    </row>
    <row r="22" spans="1:12" ht="19.5" customHeight="1" x14ac:dyDescent="0.3">
      <c r="A22" s="719" t="s">
        <v>191</v>
      </c>
      <c r="B22" s="719"/>
      <c r="C22" s="474">
        <f>Dados!$G$33</f>
        <v>22</v>
      </c>
      <c r="D22" s="474">
        <f>Dados!$G$32</f>
        <v>2</v>
      </c>
      <c r="E22" s="475">
        <f>Dados!$G$31</f>
        <v>3.99</v>
      </c>
      <c r="F22" s="459">
        <f>IF(ROUND((E22*D22*C22)-(F11*Dados!$G$34),2)&lt;0,0,ROUND((E22*D22*C22)-(F11*Dados!$G$34),2))</f>
        <v>88.49</v>
      </c>
      <c r="G22" s="459">
        <f>F22</f>
        <v>88.49</v>
      </c>
      <c r="H22" s="459"/>
      <c r="I22" s="459">
        <f>F22</f>
        <v>88.49</v>
      </c>
      <c r="J22" s="460"/>
    </row>
    <row r="23" spans="1:12" ht="19.5" customHeight="1" x14ac:dyDescent="0.3">
      <c r="A23" s="719" t="s">
        <v>200</v>
      </c>
      <c r="B23" s="719"/>
      <c r="C23" s="474">
        <f>Dados!$G$36</f>
        <v>22</v>
      </c>
      <c r="D23" s="476">
        <f>Dados!$G$37</f>
        <v>0.2</v>
      </c>
      <c r="E23" s="475">
        <f>Dados!$G$35</f>
        <v>29.15</v>
      </c>
      <c r="F23" s="477">
        <f>ROUND((IF(D11&gt;150,((C23*E23)-(C23*(D23*E23))),0)),2)</f>
        <v>513.04</v>
      </c>
      <c r="G23" s="459">
        <f>F23</f>
        <v>513.04</v>
      </c>
      <c r="H23" s="459">
        <f>$F$23</f>
        <v>513.04</v>
      </c>
      <c r="I23" s="477"/>
      <c r="J23" s="460"/>
    </row>
    <row r="24" spans="1:12" ht="19.5" customHeight="1" x14ac:dyDescent="0.3">
      <c r="A24" s="719" t="s">
        <v>203</v>
      </c>
      <c r="B24" s="719"/>
      <c r="C24" s="474"/>
      <c r="D24" s="474"/>
      <c r="E24" s="475"/>
      <c r="F24" s="477">
        <f>Dados!$G$38</f>
        <v>52</v>
      </c>
      <c r="G24" s="459"/>
      <c r="H24" s="459"/>
      <c r="I24" s="477"/>
      <c r="J24" s="460"/>
    </row>
    <row r="25" spans="1:12" ht="19.5" customHeight="1" x14ac:dyDescent="0.3">
      <c r="A25" s="719" t="s">
        <v>203</v>
      </c>
      <c r="B25" s="719"/>
      <c r="C25" s="474"/>
      <c r="D25" s="474"/>
      <c r="E25" s="475"/>
      <c r="F25" s="477">
        <f>Dados!$G$39</f>
        <v>0</v>
      </c>
      <c r="G25" s="459"/>
      <c r="H25" s="459"/>
      <c r="I25" s="477"/>
      <c r="J25" s="460"/>
    </row>
    <row r="26" spans="1:12" ht="19.5" customHeight="1" x14ac:dyDescent="0.3">
      <c r="A26" s="719" t="s">
        <v>571</v>
      </c>
      <c r="B26" s="719"/>
      <c r="C26" s="474"/>
      <c r="D26" s="475"/>
      <c r="E26" s="475"/>
      <c r="F26" s="459">
        <f>Dados!$O$7</f>
        <v>1193.4016666666666</v>
      </c>
      <c r="G26" s="459"/>
      <c r="H26" s="459"/>
      <c r="I26" s="459"/>
      <c r="J26" s="460"/>
      <c r="L26" s="478"/>
    </row>
    <row r="27" spans="1:12" ht="19.5" customHeight="1" x14ac:dyDescent="0.3">
      <c r="A27" s="472" t="s">
        <v>572</v>
      </c>
      <c r="B27" s="479"/>
      <c r="C27" s="474"/>
      <c r="D27" s="475"/>
      <c r="E27" s="475"/>
      <c r="F27" s="459"/>
      <c r="G27" s="459"/>
      <c r="H27" s="459"/>
      <c r="I27" s="459"/>
      <c r="J27" s="460"/>
    </row>
    <row r="28" spans="1:12" ht="19.5" customHeight="1" x14ac:dyDescent="0.3">
      <c r="A28" s="721" t="s">
        <v>495</v>
      </c>
      <c r="B28" s="721"/>
      <c r="C28" s="480"/>
      <c r="D28" s="481"/>
      <c r="E28" s="481"/>
      <c r="F28" s="465">
        <f>Dados!$Q$7</f>
        <v>10.164999999999999</v>
      </c>
      <c r="G28" s="465">
        <f>F28</f>
        <v>10.164999999999999</v>
      </c>
      <c r="H28" s="465"/>
      <c r="I28" s="465"/>
      <c r="J28" s="466"/>
    </row>
    <row r="29" spans="1:12" ht="19.5" customHeight="1" x14ac:dyDescent="0.3">
      <c r="A29" s="722" t="s">
        <v>496</v>
      </c>
      <c r="B29" s="722"/>
      <c r="C29" s="722"/>
      <c r="D29" s="722"/>
      <c r="E29" s="722"/>
      <c r="F29" s="470">
        <f>SUM(F19:F28)</f>
        <v>1889.4766666666665</v>
      </c>
      <c r="G29" s="470">
        <f>SUM(G19:G28)</f>
        <v>644.07499999999993</v>
      </c>
      <c r="H29" s="470">
        <f>SUM(H19:H28)</f>
        <v>513.04</v>
      </c>
      <c r="I29" s="470">
        <f>SUM(I19:I28)</f>
        <v>88.49</v>
      </c>
      <c r="J29" s="471">
        <f>SUM(J19:J28)</f>
        <v>0</v>
      </c>
    </row>
    <row r="30" spans="1:12" ht="19.5" customHeight="1" x14ac:dyDescent="0.3">
      <c r="A30" s="722" t="s">
        <v>497</v>
      </c>
      <c r="B30" s="722"/>
      <c r="C30" s="722"/>
      <c r="D30" s="722"/>
      <c r="E30" s="722"/>
      <c r="F30" s="470">
        <f>F16+F29</f>
        <v>5420.916666666667</v>
      </c>
      <c r="G30" s="470">
        <f>G16+G29</f>
        <v>4175.5150000000003</v>
      </c>
      <c r="H30" s="470">
        <f>H16+H29</f>
        <v>513.04</v>
      </c>
      <c r="I30" s="470">
        <f>I16+I29</f>
        <v>88.49</v>
      </c>
      <c r="J30" s="471">
        <f>J16+J29</f>
        <v>1090.6100000000001</v>
      </c>
    </row>
    <row r="31" spans="1:12" ht="19.5" customHeight="1" x14ac:dyDescent="0.3">
      <c r="A31" s="707" t="s">
        <v>498</v>
      </c>
      <c r="B31" s="707"/>
      <c r="C31" s="707"/>
      <c r="D31" s="707"/>
      <c r="E31" s="707"/>
      <c r="F31" s="707"/>
      <c r="G31" s="707"/>
      <c r="H31" s="707"/>
      <c r="I31" s="707"/>
      <c r="J31" s="707"/>
    </row>
    <row r="32" spans="1:12" ht="19.5" customHeight="1" x14ac:dyDescent="0.3">
      <c r="A32" s="716" t="s">
        <v>499</v>
      </c>
      <c r="B32" s="716"/>
      <c r="C32" s="716"/>
      <c r="D32" s="482" t="s">
        <v>500</v>
      </c>
      <c r="E32" s="723" t="s">
        <v>313</v>
      </c>
      <c r="F32" s="723"/>
      <c r="G32" s="723"/>
      <c r="H32" s="723"/>
      <c r="I32" s="723"/>
      <c r="J32" s="723"/>
    </row>
    <row r="33" spans="1:12" ht="19.5" customHeight="1" x14ac:dyDescent="0.3">
      <c r="A33" s="483" t="s">
        <v>501</v>
      </c>
      <c r="B33" s="484"/>
      <c r="C33" s="484"/>
      <c r="D33" s="485">
        <f>Dados!$G$42</f>
        <v>1.7100000000000001E-2</v>
      </c>
      <c r="E33" s="486"/>
      <c r="F33" s="459">
        <f>ROUND((F30*$D$33),2)</f>
        <v>92.7</v>
      </c>
      <c r="G33" s="459">
        <f>ROUND((G30*$D$33),2)</f>
        <v>71.400000000000006</v>
      </c>
      <c r="H33" s="459">
        <f>ROUND((H30*$D$33),2)</f>
        <v>8.77</v>
      </c>
      <c r="I33" s="459">
        <f>ROUND((I30*$D$33),2)</f>
        <v>1.51</v>
      </c>
      <c r="J33" s="460">
        <f>ROUND((J30*$D$33),2)</f>
        <v>18.649999999999999</v>
      </c>
    </row>
    <row r="34" spans="1:12" ht="19.5" customHeight="1" x14ac:dyDescent="0.3">
      <c r="A34" s="724" t="s">
        <v>502</v>
      </c>
      <c r="B34" s="724"/>
      <c r="C34" s="724"/>
      <c r="D34" s="485"/>
      <c r="E34" s="486"/>
      <c r="F34" s="459">
        <f>F30+F33</f>
        <v>5513.6166666666668</v>
      </c>
      <c r="G34" s="459">
        <f>G30+G33</f>
        <v>4246.915</v>
      </c>
      <c r="H34" s="459">
        <f>H30+H33</f>
        <v>521.80999999999995</v>
      </c>
      <c r="I34" s="459">
        <f>I30+I33</f>
        <v>90</v>
      </c>
      <c r="J34" s="460">
        <f>J30+J33</f>
        <v>1109.2600000000002</v>
      </c>
    </row>
    <row r="35" spans="1:12" ht="19.5" customHeight="1" x14ac:dyDescent="0.3">
      <c r="A35" s="487" t="s">
        <v>208</v>
      </c>
      <c r="B35" s="488"/>
      <c r="C35" s="488"/>
      <c r="D35" s="489">
        <f>Dados!$G$43</f>
        <v>1.7000000000000001E-2</v>
      </c>
      <c r="E35" s="490"/>
      <c r="F35" s="465">
        <f>ROUND((F34*$D$35),2)</f>
        <v>93.73</v>
      </c>
      <c r="G35" s="465">
        <f>ROUND((G34*$D$35),2)</f>
        <v>72.2</v>
      </c>
      <c r="H35" s="465">
        <f>ROUND((H34*$D$35),2)</f>
        <v>8.8699999999999992</v>
      </c>
      <c r="I35" s="465">
        <f>ROUND((I34*$D$35),2)</f>
        <v>1.53</v>
      </c>
      <c r="J35" s="466">
        <f>ROUND((J34*$D$35),2)</f>
        <v>18.86</v>
      </c>
    </row>
    <row r="36" spans="1:12" ht="19.5" customHeight="1" x14ac:dyDescent="0.3">
      <c r="A36" s="491" t="s">
        <v>503</v>
      </c>
      <c r="B36" s="492"/>
      <c r="C36" s="492"/>
      <c r="D36" s="493">
        <f>SUM(D33:D35)</f>
        <v>3.4100000000000005E-2</v>
      </c>
      <c r="E36" s="494"/>
      <c r="F36" s="470">
        <f>F33+F35</f>
        <v>186.43</v>
      </c>
      <c r="G36" s="470">
        <f>G33+G35</f>
        <v>143.60000000000002</v>
      </c>
      <c r="H36" s="470">
        <f>H33+H35</f>
        <v>17.64</v>
      </c>
      <c r="I36" s="470">
        <f>I33+I35</f>
        <v>3.04</v>
      </c>
      <c r="J36" s="471">
        <f>J33+J35</f>
        <v>37.51</v>
      </c>
    </row>
    <row r="37" spans="1:12" ht="19.5" customHeight="1" x14ac:dyDescent="0.3">
      <c r="A37" s="725" t="s">
        <v>504</v>
      </c>
      <c r="B37" s="725"/>
      <c r="C37" s="725"/>
      <c r="D37" s="725"/>
      <c r="E37" s="725"/>
      <c r="F37" s="495">
        <f>F30+F36</f>
        <v>5607.3466666666673</v>
      </c>
      <c r="G37" s="495">
        <f>G30+G36</f>
        <v>4319.1150000000007</v>
      </c>
      <c r="H37" s="495">
        <f>H30+H36</f>
        <v>530.67999999999995</v>
      </c>
      <c r="I37" s="495">
        <f>I30+I36</f>
        <v>91.53</v>
      </c>
      <c r="J37" s="496">
        <f>J30+J36</f>
        <v>1128.1200000000001</v>
      </c>
    </row>
    <row r="38" spans="1:12" ht="19.5" customHeight="1" x14ac:dyDescent="0.3">
      <c r="A38" s="726" t="s">
        <v>505</v>
      </c>
      <c r="B38" s="726"/>
      <c r="C38" s="726"/>
      <c r="D38" s="726"/>
      <c r="E38" s="726"/>
      <c r="F38" s="726"/>
      <c r="G38" s="726"/>
      <c r="H38" s="726"/>
      <c r="I38" s="726"/>
      <c r="J38" s="726"/>
    </row>
    <row r="39" spans="1:12" ht="19.5" customHeight="1" x14ac:dyDescent="0.3">
      <c r="A39" s="719" t="s">
        <v>213</v>
      </c>
      <c r="B39" s="719"/>
      <c r="C39" s="719"/>
      <c r="D39" s="485">
        <f>Dados!G50</f>
        <v>0.03</v>
      </c>
      <c r="E39" s="497"/>
      <c r="F39" s="459">
        <f>ROUND(($F$45*D39),2)</f>
        <v>180.2</v>
      </c>
      <c r="G39" s="459">
        <f>ROUND((G45*$D$39),2)</f>
        <v>138.80000000000001</v>
      </c>
      <c r="H39" s="459">
        <f>ROUND((H45*$D$39),2)</f>
        <v>17.05</v>
      </c>
      <c r="I39" s="459">
        <f>ROUND((I45*$D$39),2)</f>
        <v>2.94</v>
      </c>
      <c r="J39" s="460">
        <f>ROUND((J45*$D$39),2)</f>
        <v>36.25</v>
      </c>
    </row>
    <row r="40" spans="1:12" ht="19.5" customHeight="1" x14ac:dyDescent="0.3">
      <c r="A40" s="719" t="s">
        <v>215</v>
      </c>
      <c r="B40" s="719"/>
      <c r="C40" s="719"/>
      <c r="D40" s="485">
        <f>Dados!G51</f>
        <v>6.4999999999999997E-3</v>
      </c>
      <c r="E40" s="497"/>
      <c r="F40" s="459">
        <f>ROUND((F45*$D$40),2)</f>
        <v>39.04</v>
      </c>
      <c r="G40" s="459">
        <f>ROUND((G45*$D$40),2)</f>
        <v>30.07</v>
      </c>
      <c r="H40" s="459">
        <f>ROUND((H45*$D$40),2)</f>
        <v>3.7</v>
      </c>
      <c r="I40" s="459">
        <f>ROUND((I45*$D$40),2)</f>
        <v>0.64</v>
      </c>
      <c r="J40" s="460">
        <f>ROUND((J45*$D$40),2)</f>
        <v>7.86</v>
      </c>
    </row>
    <row r="41" spans="1:12" ht="19.5" customHeight="1" x14ac:dyDescent="0.3">
      <c r="A41" s="719" t="s">
        <v>216</v>
      </c>
      <c r="B41" s="719"/>
      <c r="C41" s="719"/>
      <c r="D41" s="485">
        <f>Dados!G52</f>
        <v>0.03</v>
      </c>
      <c r="E41" s="497"/>
      <c r="F41" s="459">
        <f>ROUND((F45*$D$41),2)</f>
        <v>180.2</v>
      </c>
      <c r="G41" s="459">
        <f>ROUND((G45*$D$41),2)</f>
        <v>138.80000000000001</v>
      </c>
      <c r="H41" s="459">
        <f>ROUND((H45*$D$41),2)</f>
        <v>17.05</v>
      </c>
      <c r="I41" s="459">
        <f>ROUND((I45*$D$41),2)</f>
        <v>2.94</v>
      </c>
      <c r="J41" s="460">
        <f>ROUND((J45*$D$41),2)</f>
        <v>36.25</v>
      </c>
    </row>
    <row r="42" spans="1:12" ht="19.5" customHeight="1" x14ac:dyDescent="0.3">
      <c r="A42" s="719" t="s">
        <v>203</v>
      </c>
      <c r="B42" s="719"/>
      <c r="C42" s="719"/>
      <c r="D42" s="485">
        <f>Dados!G53</f>
        <v>0</v>
      </c>
      <c r="E42" s="497"/>
      <c r="F42" s="459">
        <f>ROUND((F45*$D$42),2)</f>
        <v>0</v>
      </c>
      <c r="G42" s="459">
        <f>ROUND((G45*$D$42),2)</f>
        <v>0</v>
      </c>
      <c r="H42" s="459">
        <f>ROUND((H45*$D$42),2)</f>
        <v>0</v>
      </c>
      <c r="I42" s="459">
        <f>ROUND((I45*$D$42),2)</f>
        <v>0</v>
      </c>
      <c r="J42" s="460">
        <f>ROUND((J45*$D$42),2)</f>
        <v>0</v>
      </c>
    </row>
    <row r="43" spans="1:12" ht="19.5" customHeight="1" x14ac:dyDescent="0.3">
      <c r="A43" s="728" t="s">
        <v>506</v>
      </c>
      <c r="B43" s="728"/>
      <c r="C43" s="728"/>
      <c r="D43" s="498">
        <f>SUM(D39:D42)</f>
        <v>6.6500000000000004E-2</v>
      </c>
      <c r="E43" s="499"/>
      <c r="F43" s="500">
        <f>SUM(F39:F42)</f>
        <v>399.43999999999994</v>
      </c>
      <c r="G43" s="500">
        <f>SUM(G39:G42)</f>
        <v>307.67</v>
      </c>
      <c r="H43" s="500">
        <f>SUM(H39:H42)</f>
        <v>37.799999999999997</v>
      </c>
      <c r="I43" s="500">
        <f>SUM(I39:I42)</f>
        <v>6.52</v>
      </c>
      <c r="J43" s="501">
        <f>SUM(J39:J41)</f>
        <v>80.36</v>
      </c>
    </row>
    <row r="44" spans="1:12" ht="19.5" customHeight="1" x14ac:dyDescent="0.3">
      <c r="A44" s="729" t="str">
        <f>CONCATENATE("Custo Mensal - ",A7)</f>
        <v>Custo Mensal - Servente de Limpeza com Adicional de Insalubridade (40%)</v>
      </c>
      <c r="B44" s="729"/>
      <c r="C44" s="729"/>
      <c r="D44" s="729"/>
      <c r="E44" s="729"/>
      <c r="F44" s="502">
        <f>ROUND(F37/(1-D43),2)</f>
        <v>6006.8</v>
      </c>
      <c r="G44" s="502">
        <f>ROUND(G37/(1-D43),2)</f>
        <v>4626.8</v>
      </c>
      <c r="H44" s="502">
        <f>ROUND(H37/(1-D43),2)</f>
        <v>568.48</v>
      </c>
      <c r="I44" s="502">
        <f>ROUND(I37/(1-D43),2)</f>
        <v>98.05</v>
      </c>
      <c r="J44" s="503">
        <f>ROUND(J37/(1-D43),2)</f>
        <v>1208.48</v>
      </c>
    </row>
    <row r="45" spans="1:12" ht="19.5" customHeight="1" x14ac:dyDescent="0.3">
      <c r="A45" s="730" t="str">
        <f>CONCATENATE("Valor do Custo Mensal - ",A7)</f>
        <v>Valor do Custo Mensal - Servente de Limpeza com Adicional de Insalubridade (40%)</v>
      </c>
      <c r="B45" s="730"/>
      <c r="C45" s="730"/>
      <c r="D45" s="730"/>
      <c r="E45" s="730"/>
      <c r="F45" s="502">
        <f>F44</f>
        <v>6006.8</v>
      </c>
      <c r="G45" s="502">
        <f>G44</f>
        <v>4626.8</v>
      </c>
      <c r="H45" s="502">
        <f>H44</f>
        <v>568.48</v>
      </c>
      <c r="I45" s="502">
        <f>I44</f>
        <v>98.05</v>
      </c>
      <c r="J45" s="503">
        <f>J44</f>
        <v>1208.48</v>
      </c>
      <c r="K45" s="504"/>
      <c r="L45" s="504"/>
    </row>
    <row r="46" spans="1:12" ht="27.75" customHeight="1" x14ac:dyDescent="0.3">
      <c r="A46" s="731" t="s">
        <v>507</v>
      </c>
      <c r="B46" s="731"/>
      <c r="C46" s="731"/>
      <c r="D46" s="731"/>
      <c r="E46" s="731"/>
      <c r="F46" s="505">
        <f>(F45/F14)</f>
        <v>2.860994022528637</v>
      </c>
      <c r="G46" s="505">
        <f>(G45/G14)</f>
        <v>2.2037103188778548</v>
      </c>
      <c r="H46" s="727" t="s">
        <v>508</v>
      </c>
      <c r="I46" s="727"/>
      <c r="J46" s="506">
        <f>ROUND((J45/30),2)</f>
        <v>40.28</v>
      </c>
    </row>
    <row r="47" spans="1:12" ht="19.5" customHeight="1" x14ac:dyDescent="0.3"/>
  </sheetData>
  <sheetProtection algorithmName="SHA-512" hashValue="Y5gKaQ3p6xLvqJR0QrI6gcPswVmRs0ML9rBFykxDnV9zXNVJTbmojJ8BomY+3oWnN+4Q3eLQ2wHYxA2q5Far1g==" saltValue="1pX8Hr/hPm+aLalU2bjORA=="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r:id="rId1"/>
  <drawing r:id="rId2"/>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Planilhas</vt:lpstr>
      </vt:variant>
      <vt:variant>
        <vt:i4>13</vt:i4>
      </vt:variant>
      <vt:variant>
        <vt:lpstr>Intervalos Nomeados</vt:lpstr>
      </vt:variant>
      <vt:variant>
        <vt:i4>7</vt:i4>
      </vt:variant>
    </vt:vector>
  </HeadingPairs>
  <TitlesOfParts>
    <vt:vector size="20" baseType="lpstr">
      <vt:lpstr>Ocorrências Mensais - FAT</vt:lpstr>
      <vt:lpstr>INSTRUÇÕES</vt:lpstr>
      <vt:lpstr>Dados</vt:lpstr>
      <vt:lpstr>Encargos</vt:lpstr>
      <vt:lpstr>Insumos</vt:lpstr>
      <vt:lpstr>Equipamentos</vt:lpstr>
      <vt:lpstr>Uniformes</vt:lpstr>
      <vt:lpstr>Resumo</vt:lpstr>
      <vt:lpstr>Servente Insalubre</vt:lpstr>
      <vt:lpstr>Servente acúmulo Copeira</vt:lpstr>
      <vt:lpstr>Assistente Adm. acúmulo Zelador</vt:lpstr>
      <vt:lpstr>Custo Estimado Substituto</vt:lpstr>
      <vt:lpstr>IPCA</vt:lpstr>
      <vt:lpstr>'Assistente Adm. acúmulo Zelador'!Area_de_impressao</vt:lpstr>
      <vt:lpstr>Dados!Area_de_impressao</vt:lpstr>
      <vt:lpstr>Encargos!Area_de_impressao</vt:lpstr>
      <vt:lpstr>Insumos!Area_de_impressao</vt:lpstr>
      <vt:lpstr>'Servente acúmulo Copeira'!Area_de_impressao</vt:lpstr>
      <vt:lpstr>'Servente Insalubre'!Area_de_impressao</vt:lpstr>
      <vt:lpstr>Uniformes!Area_de_impressao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dc:description/>
  <cp:lastModifiedBy>LEONARDO VASCONCELOS CORREA</cp:lastModifiedBy>
  <cp:revision>5</cp:revision>
  <cp:lastPrinted>2026-03-03T20:17:48Z</cp:lastPrinted>
  <dcterms:created xsi:type="dcterms:W3CDTF">2015-06-05T18:17:20Z</dcterms:created>
  <dcterms:modified xsi:type="dcterms:W3CDTF">2026-05-04T16:18:59Z</dcterms:modified>
  <dc:language>pt-BR</dc:language>
</cp:coreProperties>
</file>