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afael.prado\Downloads\"/>
    </mc:Choice>
  </mc:AlternateContent>
  <xr:revisionPtr revIDLastSave="0" documentId="8_{4F566030-341F-4338-9C69-A58A7440CBE7}" xr6:coauthVersionLast="47" xr6:coauthVersionMax="47" xr10:uidLastSave="{00000000-0000-0000-0000-000000000000}"/>
  <bookViews>
    <workbookView xWindow="28680" yWindow="-120" windowWidth="29040" windowHeight="15720" tabRatio="910" firstSheet="1" activeTab="2" xr2:uid="{201C058E-F0C9-4A52-8E70-BCABC38D1F06}"/>
  </bookViews>
  <sheets>
    <sheet name="Ocorrências Mensais - FAT" sheetId="1" state="hidden" r:id="rId1"/>
    <sheet name="INSTRUÇÕES" sheetId="2" r:id="rId2"/>
    <sheet name="Proposta LICITANTE" sheetId="31" r:id="rId3"/>
    <sheet name="Tabelas de Taxonomia" sheetId="47" r:id="rId4"/>
    <sheet name="Salário base considerado" sheetId="48" r:id="rId5"/>
    <sheet name="Resumo_1.1" sheetId="3" r:id="rId6"/>
    <sheet name="CCT" sheetId="30" r:id="rId7"/>
    <sheet name="Dados" sheetId="4" r:id="rId8"/>
    <sheet name="Encargos" sheetId="5" r:id="rId9"/>
    <sheet name="Uniforme" sheetId="6" r:id="rId10"/>
    <sheet name="Ferramentas" sheetId="7" r:id="rId11"/>
    <sheet name="EPI" sheetId="8" r:id="rId12"/>
    <sheet name="Resumo_1.2" sheetId="43" r:id="rId13"/>
    <sheet name="CPUs 1.2" sheetId="45" r:id="rId14"/>
    <sheet name="1.3-Insumos" sheetId="50" r:id="rId15"/>
    <sheet name="1.3-Insumos (exemplos)" sheetId="40" r:id="rId16"/>
    <sheet name="BDI Diferenciado 1.2 E 1.3" sheetId="35" r:id="rId17"/>
    <sheet name="BDI Equipamentos 1.3" sheetId="49" r:id="rId18"/>
    <sheet name="1.4-Serviços Eventuais" sheetId="51" r:id="rId19"/>
    <sheet name="1.4-Serviços Eventuais exemplos" sheetId="41" r:id="rId20"/>
    <sheet name="BDI Comum - 1.4" sheetId="42" r:id="rId21"/>
    <sheet name="Engenheiro" sheetId="9" r:id="rId22"/>
    <sheet name="Lider" sheetId="10" r:id="rId23"/>
    <sheet name="Assistente Eng." sheetId="13" r:id="rId24"/>
    <sheet name="Técnico Edif." sheetId="14" r:id="rId25"/>
    <sheet name="Técnico Elet. Diurno" sheetId="12" r:id="rId26"/>
    <sheet name="Técnico Elet. Noturno" sheetId="11" r:id="rId27"/>
    <sheet name="Ofic. Eletricista" sheetId="17" r:id="rId28"/>
    <sheet name="Ajud. Eletricista" sheetId="16" r:id="rId29"/>
    <sheet name="Ofic. Manutenção" sheetId="22" r:id="rId30"/>
    <sheet name="Ajud Manutenção" sheetId="24" r:id="rId31"/>
    <sheet name="Ofic. Eletrônico" sheetId="15" r:id="rId32"/>
    <sheet name="Ofic. Encanador" sheetId="18" r:id="rId33"/>
    <sheet name="Ofic Marceneiro" sheetId="19" r:id="rId34"/>
    <sheet name="Ofic. Pedreiro" sheetId="20" r:id="rId35"/>
    <sheet name="Ofic. Serralheiro" sheetId="21" r:id="rId36"/>
    <sheet name="Ofic. Pintor" sheetId="23" r:id="rId37"/>
    <sheet name="Custo Estimativo Substituto" sheetId="25" r:id="rId38"/>
    <sheet name="IPCA" sheetId="26" state="hidden" r:id="rId39"/>
  </sheets>
  <definedNames>
    <definedName name="\i">#REF!</definedName>
    <definedName name="\l">#REF!</definedName>
    <definedName name="\s">#REF!</definedName>
    <definedName name="\t">#REF!</definedName>
    <definedName name="________________A1">#REF!</definedName>
    <definedName name="________________cab1">#REF!</definedName>
    <definedName name="________________COM010201">#REF!</definedName>
    <definedName name="________________COM010202">#REF!</definedName>
    <definedName name="________________COM010205">#REF!</definedName>
    <definedName name="________________COM010206">#REF!</definedName>
    <definedName name="________________COM010210">#REF!</definedName>
    <definedName name="________________COM010301">#REF!</definedName>
    <definedName name="________________COM010401">#REF!</definedName>
    <definedName name="________________COM010402">#REF!</definedName>
    <definedName name="________________COM010407">#REF!</definedName>
    <definedName name="________________COM010413">#REF!</definedName>
    <definedName name="________________COM010501">#REF!</definedName>
    <definedName name="________________COM010503">#REF!</definedName>
    <definedName name="________________COM010505">#REF!</definedName>
    <definedName name="________________COM010509">#REF!</definedName>
    <definedName name="________________COM010512">#REF!</definedName>
    <definedName name="________________COM010518">#REF!</definedName>
    <definedName name="________________COM010519">#REF!</definedName>
    <definedName name="________________COM010521">#REF!</definedName>
    <definedName name="________________COM010523">#REF!</definedName>
    <definedName name="________________COM010532">#REF!</definedName>
    <definedName name="________________COM010533">#REF!</definedName>
    <definedName name="________________COM010536">#REF!</definedName>
    <definedName name="________________COM010701">#REF!</definedName>
    <definedName name="________________COM010703">#REF!</definedName>
    <definedName name="________________COM010705">#REF!</definedName>
    <definedName name="________________COM010708">#REF!</definedName>
    <definedName name="________________COM010710">#REF!</definedName>
    <definedName name="________________COM010712">#REF!</definedName>
    <definedName name="________________COM010717">#REF!</definedName>
    <definedName name="________________COM010718">#REF!</definedName>
    <definedName name="________________COM020201">#REF!</definedName>
    <definedName name="________________COM020205">#REF!</definedName>
    <definedName name="________________COM020211">#REF!</definedName>
    <definedName name="________________COM020217">#REF!</definedName>
    <definedName name="________________COM030102">#REF!</definedName>
    <definedName name="________________COM030201">#REF!</definedName>
    <definedName name="________________COM030303">#REF!</definedName>
    <definedName name="________________COM030317">#REF!</definedName>
    <definedName name="________________COM040101">#REF!</definedName>
    <definedName name="________________COM040202">#REF!</definedName>
    <definedName name="________________COM050103">#REF!</definedName>
    <definedName name="________________COM050207">#REF!</definedName>
    <definedName name="________________COM060101">#REF!</definedName>
    <definedName name="________________COM080101">#REF!</definedName>
    <definedName name="________________COM080310">#REF!</definedName>
    <definedName name="________________COM090101">#REF!</definedName>
    <definedName name="________________COM100302">#REF!</definedName>
    <definedName name="________________COM110101">#REF!</definedName>
    <definedName name="________________COM110104">#REF!</definedName>
    <definedName name="________________COM110107">#REF!</definedName>
    <definedName name="________________COM120101">#REF!</definedName>
    <definedName name="________________COM120105">#REF!</definedName>
    <definedName name="________________COM120106">#REF!</definedName>
    <definedName name="________________COM120107">#REF!</definedName>
    <definedName name="________________COM120110">#REF!</definedName>
    <definedName name="________________COM120150">#REF!</definedName>
    <definedName name="________________COM130101">#REF!</definedName>
    <definedName name="________________COM130103">#REF!</definedName>
    <definedName name="________________COM130304">#REF!</definedName>
    <definedName name="________________COM130401">#REF!</definedName>
    <definedName name="________________COM140102">#REF!</definedName>
    <definedName name="________________COM140109">#REF!</definedName>
    <definedName name="________________COM140113">#REF!</definedName>
    <definedName name="________________COM140122">#REF!</definedName>
    <definedName name="________________COM140126">#REF!</definedName>
    <definedName name="________________COM140129">#REF!</definedName>
    <definedName name="________________COM140135">#REF!</definedName>
    <definedName name="________________COM140143">#REF!</definedName>
    <definedName name="________________COM140145">#REF!</definedName>
    <definedName name="________________COM150130">#REF!</definedName>
    <definedName name="________________COM170101">#REF!</definedName>
    <definedName name="________________COM170102">#REF!</definedName>
    <definedName name="________________COM170103">#REF!</definedName>
    <definedName name="________________GLB2">#REF!</definedName>
    <definedName name="________________i3">#REF!</definedName>
    <definedName name="________________MAO010201">#REF!</definedName>
    <definedName name="________________MAO010202">#REF!</definedName>
    <definedName name="________________MAO010205">#REF!</definedName>
    <definedName name="________________MAO010206">#REF!</definedName>
    <definedName name="________________MAO010210">#REF!</definedName>
    <definedName name="________________MAO010401">#REF!</definedName>
    <definedName name="________________MAO010402">#REF!</definedName>
    <definedName name="________________MAO010407">#REF!</definedName>
    <definedName name="________________MAO010413">#REF!</definedName>
    <definedName name="________________MAO010501">#REF!</definedName>
    <definedName name="________________MAO010503">#REF!</definedName>
    <definedName name="________________MAO010505">#REF!</definedName>
    <definedName name="________________MAO010509">#REF!</definedName>
    <definedName name="________________MAO010512">#REF!</definedName>
    <definedName name="________________MAO010518">#REF!</definedName>
    <definedName name="________________MAO010519">#REF!</definedName>
    <definedName name="________________MAO010521">#REF!</definedName>
    <definedName name="________________MAO010523">#REF!</definedName>
    <definedName name="________________MAO010532">#REF!</definedName>
    <definedName name="________________MAO010533">#REF!</definedName>
    <definedName name="________________MAO010536">#REF!</definedName>
    <definedName name="________________MAO010701">#REF!</definedName>
    <definedName name="________________MAO010703">#REF!</definedName>
    <definedName name="________________MAO010705">#REF!</definedName>
    <definedName name="________________MAO010708">#REF!</definedName>
    <definedName name="________________MAO010710">#REF!</definedName>
    <definedName name="________________MAO010712">#REF!</definedName>
    <definedName name="________________MAO010717">#REF!</definedName>
    <definedName name="________________MAO020201">#REF!</definedName>
    <definedName name="________________MAO020205">#REF!</definedName>
    <definedName name="________________MAO020211">#REF!</definedName>
    <definedName name="________________MAO020217">#REF!</definedName>
    <definedName name="________________MAO030102">#REF!</definedName>
    <definedName name="________________MAO030201">#REF!</definedName>
    <definedName name="________________MAO030303">#REF!</definedName>
    <definedName name="________________MAO030317">#REF!</definedName>
    <definedName name="________________MAO040101">#REF!</definedName>
    <definedName name="________________MAO040202">#REF!</definedName>
    <definedName name="________________MAO050103">#REF!</definedName>
    <definedName name="________________MAO050207">#REF!</definedName>
    <definedName name="________________MAO060101">#REF!</definedName>
    <definedName name="________________MAO080310">#REF!</definedName>
    <definedName name="________________MAO090101">#REF!</definedName>
    <definedName name="________________MAO110101">#REF!</definedName>
    <definedName name="________________MAO110104">#REF!</definedName>
    <definedName name="________________MAO110107">#REF!</definedName>
    <definedName name="________________MAO120101">#REF!</definedName>
    <definedName name="________________MAO120105">#REF!</definedName>
    <definedName name="________________MAO120106">#REF!</definedName>
    <definedName name="________________MAO120107">#REF!</definedName>
    <definedName name="________________MAO120110">#REF!</definedName>
    <definedName name="________________MAO120150">#REF!</definedName>
    <definedName name="________________MAO130101">#REF!</definedName>
    <definedName name="________________MAO130103">#REF!</definedName>
    <definedName name="________________MAO130304">#REF!</definedName>
    <definedName name="________________MAO130401">#REF!</definedName>
    <definedName name="________________MAO140102">#REF!</definedName>
    <definedName name="________________MAO140109">#REF!</definedName>
    <definedName name="________________MAO140113">#REF!</definedName>
    <definedName name="________________MAO140122">#REF!</definedName>
    <definedName name="________________MAO140126">#REF!</definedName>
    <definedName name="________________MAO140129">#REF!</definedName>
    <definedName name="________________MAO140135">#REF!</definedName>
    <definedName name="________________MAO140143">#REF!</definedName>
    <definedName name="________________MAO140145">#REF!</definedName>
    <definedName name="________________MAT010301">#REF!</definedName>
    <definedName name="________________MAT010401">#REF!</definedName>
    <definedName name="________________MAT010402">#REF!</definedName>
    <definedName name="________________MAT010407">#REF!</definedName>
    <definedName name="________________MAT010413">#REF!</definedName>
    <definedName name="________________MAT010536">#REF!</definedName>
    <definedName name="________________MAT010703">#REF!</definedName>
    <definedName name="________________MAT010708">#REF!</definedName>
    <definedName name="________________MAT010710">#REF!</definedName>
    <definedName name="________________MAT010718">#REF!</definedName>
    <definedName name="________________MAT020201">#REF!</definedName>
    <definedName name="________________MAT020205">#REF!</definedName>
    <definedName name="________________MAT020211">#REF!</definedName>
    <definedName name="________________MAT030102">#REF!</definedName>
    <definedName name="________________MAT030201">#REF!</definedName>
    <definedName name="________________MAT030303">#REF!</definedName>
    <definedName name="________________MAT030317">#REF!</definedName>
    <definedName name="________________MAT040101">#REF!</definedName>
    <definedName name="________________MAT040202">#REF!</definedName>
    <definedName name="________________MAT050103">#REF!</definedName>
    <definedName name="________________MAT050207">#REF!</definedName>
    <definedName name="________________MAT060101">#REF!</definedName>
    <definedName name="________________MAT080101">#REF!</definedName>
    <definedName name="________________MAT080310">#REF!</definedName>
    <definedName name="________________MAT090101">#REF!</definedName>
    <definedName name="________________MAT100302">#REF!</definedName>
    <definedName name="________________MAT110101">#REF!</definedName>
    <definedName name="________________MAT110104">#REF!</definedName>
    <definedName name="________________MAT110107">#REF!</definedName>
    <definedName name="________________MAT120101">#REF!</definedName>
    <definedName name="________________MAT120105">#REF!</definedName>
    <definedName name="________________MAT120106">#REF!</definedName>
    <definedName name="________________MAT120107">#REF!</definedName>
    <definedName name="________________MAT120110">#REF!</definedName>
    <definedName name="________________MAT120150">#REF!</definedName>
    <definedName name="________________MAT130101">#REF!</definedName>
    <definedName name="________________MAT130103">#REF!</definedName>
    <definedName name="________________MAT130304">#REF!</definedName>
    <definedName name="________________MAT130401">#REF!</definedName>
    <definedName name="________________MAT140102">#REF!</definedName>
    <definedName name="________________MAT140109">#REF!</definedName>
    <definedName name="________________MAT140113">#REF!</definedName>
    <definedName name="________________MAT140122">#REF!</definedName>
    <definedName name="________________MAT140126">#REF!</definedName>
    <definedName name="________________MAT140129">#REF!</definedName>
    <definedName name="________________MAT140135">#REF!</definedName>
    <definedName name="________________MAT140143">#REF!</definedName>
    <definedName name="________________MAT140145">#REF!</definedName>
    <definedName name="________________MAT150130">#REF!</definedName>
    <definedName name="________________MAT170101">#REF!</definedName>
    <definedName name="________________MAT170102">#REF!</definedName>
    <definedName name="________________MAT170103">#REF!</definedName>
    <definedName name="________________PRE010201">#REF!</definedName>
    <definedName name="________________PRE010202">#REF!</definedName>
    <definedName name="________________PRE010205">#REF!</definedName>
    <definedName name="________________PRE010206">#REF!</definedName>
    <definedName name="________________PRE010210">#REF!</definedName>
    <definedName name="________________PRE010301">#REF!</definedName>
    <definedName name="________________PRE010401">#REF!</definedName>
    <definedName name="________________PRE010402">#REF!</definedName>
    <definedName name="________________PRE010407">#REF!</definedName>
    <definedName name="________________PRE010413">#REF!</definedName>
    <definedName name="________________PRE010501">#REF!</definedName>
    <definedName name="________________PRE010503">#REF!</definedName>
    <definedName name="________________PRE010505">#REF!</definedName>
    <definedName name="________________PRE010509">#REF!</definedName>
    <definedName name="________________PRE010512">#REF!</definedName>
    <definedName name="________________PRE010518">#REF!</definedName>
    <definedName name="________________PRE010519">#REF!</definedName>
    <definedName name="________________PRE010521">#REF!</definedName>
    <definedName name="________________PRE010523">#REF!</definedName>
    <definedName name="________________PRE010532">#REF!</definedName>
    <definedName name="________________PRE010533">#REF!</definedName>
    <definedName name="________________PRE010536">#REF!</definedName>
    <definedName name="________________PRE010701">#REF!</definedName>
    <definedName name="________________PRE010703">#REF!</definedName>
    <definedName name="________________PRE010705">#REF!</definedName>
    <definedName name="________________PRE010708">#REF!</definedName>
    <definedName name="________________PRE010710">#REF!</definedName>
    <definedName name="________________PRE010712">#REF!</definedName>
    <definedName name="________________PRE010717">#REF!</definedName>
    <definedName name="________________PRE010718">#REF!</definedName>
    <definedName name="________________PRE020201">#REF!</definedName>
    <definedName name="________________PRE020205">#REF!</definedName>
    <definedName name="________________PRE020211">#REF!</definedName>
    <definedName name="________________PRE020217">#REF!</definedName>
    <definedName name="________________PRE030102">#REF!</definedName>
    <definedName name="________________PRE030201">#REF!</definedName>
    <definedName name="________________PRE030303">#REF!</definedName>
    <definedName name="________________PRE030317">#REF!</definedName>
    <definedName name="________________PRE040101">#REF!</definedName>
    <definedName name="________________PRE040202">#REF!</definedName>
    <definedName name="________________PRE050103">#REF!</definedName>
    <definedName name="________________PRE050207">#REF!</definedName>
    <definedName name="________________PRE060101">#REF!</definedName>
    <definedName name="________________PRE080101">#REF!</definedName>
    <definedName name="________________PRE080310">#REF!</definedName>
    <definedName name="________________PRE090101">#REF!</definedName>
    <definedName name="________________PRE100302">#REF!</definedName>
    <definedName name="________________PRE110101">#REF!</definedName>
    <definedName name="________________PRE110104">#REF!</definedName>
    <definedName name="________________PRE110107">#REF!</definedName>
    <definedName name="________________PRE120101">#REF!</definedName>
    <definedName name="________________PRE120105">#REF!</definedName>
    <definedName name="________________PRE120106">#REF!</definedName>
    <definedName name="________________PRE120107">#REF!</definedName>
    <definedName name="________________PRE120110">#REF!</definedName>
    <definedName name="________________PRE120150">#REF!</definedName>
    <definedName name="________________PRE130101">#REF!</definedName>
    <definedName name="________________PRE130103">#REF!</definedName>
    <definedName name="________________PRE130304">#REF!</definedName>
    <definedName name="________________PRE130401">#REF!</definedName>
    <definedName name="________________PRE140102">#REF!</definedName>
    <definedName name="________________PRE140109">#REF!</definedName>
    <definedName name="________________PRE140113">#REF!</definedName>
    <definedName name="________________PRE140122">#REF!</definedName>
    <definedName name="________________PRE140126">#REF!</definedName>
    <definedName name="________________PRE140129">#REF!</definedName>
    <definedName name="________________PRE140135">#REF!</definedName>
    <definedName name="________________PRE140143">#REF!</definedName>
    <definedName name="________________PRE140145">#REF!</definedName>
    <definedName name="________________PRE150130">#REF!</definedName>
    <definedName name="________________PRE170101">#REF!</definedName>
    <definedName name="________________PRE170102">#REF!</definedName>
    <definedName name="________________PRE170103">#REF!</definedName>
    <definedName name="________________QUA010201">#REF!</definedName>
    <definedName name="________________QUA010202">#REF!</definedName>
    <definedName name="________________QUA010205">#REF!</definedName>
    <definedName name="________________QUA010206">#REF!</definedName>
    <definedName name="________________QUA010210">#REF!</definedName>
    <definedName name="________________QUA010301">#REF!</definedName>
    <definedName name="________________QUA010401">#REF!</definedName>
    <definedName name="________________QUA010402">#REF!</definedName>
    <definedName name="________________QUA010407">#REF!</definedName>
    <definedName name="________________QUA010413">#REF!</definedName>
    <definedName name="________________QUA010501">#REF!</definedName>
    <definedName name="________________QUA010503">#REF!</definedName>
    <definedName name="________________QUA010505">#REF!</definedName>
    <definedName name="________________QUA010509">#REF!</definedName>
    <definedName name="________________QUA010512">#REF!</definedName>
    <definedName name="________________QUA010518">#REF!</definedName>
    <definedName name="________________QUA010519">#REF!</definedName>
    <definedName name="________________QUA010521">#REF!</definedName>
    <definedName name="________________QUA010523">#REF!</definedName>
    <definedName name="________________QUA010532">#REF!</definedName>
    <definedName name="________________QUA010533">#REF!</definedName>
    <definedName name="________________QUA010536">#REF!</definedName>
    <definedName name="________________QUA010701">#REF!</definedName>
    <definedName name="________________QUA010703">#REF!</definedName>
    <definedName name="________________QUA010705">#REF!</definedName>
    <definedName name="________________QUA010708">#REF!</definedName>
    <definedName name="________________QUA010710">#REF!</definedName>
    <definedName name="________________QUA010712">#REF!</definedName>
    <definedName name="________________QUA010717">#REF!</definedName>
    <definedName name="________________QUA010718">#REF!</definedName>
    <definedName name="________________QUA020201">#REF!</definedName>
    <definedName name="________________QUA020205">#REF!</definedName>
    <definedName name="________________QUA020211">#REF!</definedName>
    <definedName name="________________QUA020217">#REF!</definedName>
    <definedName name="________________QUA030102">#REF!</definedName>
    <definedName name="________________QUA030201">#REF!</definedName>
    <definedName name="________________QUA030303">#REF!</definedName>
    <definedName name="________________QUA030317">#REF!</definedName>
    <definedName name="________________QUA040101">#REF!</definedName>
    <definedName name="________________QUA040202">#REF!</definedName>
    <definedName name="________________QUA050103">#REF!</definedName>
    <definedName name="________________QUA050207">#REF!</definedName>
    <definedName name="________________QUA060101">#REF!</definedName>
    <definedName name="________________QUA080101">#REF!</definedName>
    <definedName name="________________QUA080310">#REF!</definedName>
    <definedName name="________________QUA090101">#REF!</definedName>
    <definedName name="________________QUA100302">#REF!</definedName>
    <definedName name="________________QUA110101">#REF!</definedName>
    <definedName name="________________QUA110104">#REF!</definedName>
    <definedName name="________________QUA110107">#REF!</definedName>
    <definedName name="________________QUA120101">#REF!</definedName>
    <definedName name="________________QUA120105">#REF!</definedName>
    <definedName name="________________QUA120106">#REF!</definedName>
    <definedName name="________________QUA120107">#REF!</definedName>
    <definedName name="________________QUA120110">#REF!</definedName>
    <definedName name="________________QUA120150">#REF!</definedName>
    <definedName name="________________QUA130101">#REF!</definedName>
    <definedName name="________________QUA130103">#REF!</definedName>
    <definedName name="________________QUA130304">#REF!</definedName>
    <definedName name="________________QUA130401">#REF!</definedName>
    <definedName name="________________QUA140102">#REF!</definedName>
    <definedName name="________________QUA140109">#REF!</definedName>
    <definedName name="________________QUA140113">#REF!</definedName>
    <definedName name="________________QUA140122">#REF!</definedName>
    <definedName name="________________QUA140126">#REF!</definedName>
    <definedName name="________________QUA140129">#REF!</definedName>
    <definedName name="________________QUA140135">#REF!</definedName>
    <definedName name="________________QUA140143">#REF!</definedName>
    <definedName name="________________QUA140145">#REF!</definedName>
    <definedName name="________________QUA150130">#REF!</definedName>
    <definedName name="________________QUA170101">#REF!</definedName>
    <definedName name="________________QUA170102">#REF!</definedName>
    <definedName name="________________QUA170103">#REF!</definedName>
    <definedName name="________________R">#REF!</definedName>
    <definedName name="________________REC11100">#REF!</definedName>
    <definedName name="________________REC11110">#REF!</definedName>
    <definedName name="________________REC11115">#REF!</definedName>
    <definedName name="________________REC11125">#REF!</definedName>
    <definedName name="________________REC11130">#REF!</definedName>
    <definedName name="________________REC11135">#REF!</definedName>
    <definedName name="________________REC11145">#REF!</definedName>
    <definedName name="________________REC11150">#REF!</definedName>
    <definedName name="________________REC11165">#REF!</definedName>
    <definedName name="________________REC11170">#REF!</definedName>
    <definedName name="________________REC11180">#REF!</definedName>
    <definedName name="________________REC11185">#REF!</definedName>
    <definedName name="________________REC11220">#REF!</definedName>
    <definedName name="________________REC12105">#REF!</definedName>
    <definedName name="________________REC12555">#REF!</definedName>
    <definedName name="________________REC12570">#REF!</definedName>
    <definedName name="________________REC12575">#REF!</definedName>
    <definedName name="________________REC12580">#REF!</definedName>
    <definedName name="________________REC12600">#REF!</definedName>
    <definedName name="________________REC12610">#REF!</definedName>
    <definedName name="________________REC12630">#REF!</definedName>
    <definedName name="________________REC12631">#REF!</definedName>
    <definedName name="________________REC12640">#REF!</definedName>
    <definedName name="________________REC12645">#REF!</definedName>
    <definedName name="________________REC12665">#REF!</definedName>
    <definedName name="________________REC12690">#REF!</definedName>
    <definedName name="________________REC12700">#REF!</definedName>
    <definedName name="________________REC12710">#REF!</definedName>
    <definedName name="________________REC13111">#REF!</definedName>
    <definedName name="________________REC13112">#REF!</definedName>
    <definedName name="________________REC13121">#REF!</definedName>
    <definedName name="________________REC13720">#REF!</definedName>
    <definedName name="________________REC14100">#REF!</definedName>
    <definedName name="________________REC14161">#REF!</definedName>
    <definedName name="________________REC14195">#REF!</definedName>
    <definedName name="________________REC14205">#REF!</definedName>
    <definedName name="________________REC14260">#REF!</definedName>
    <definedName name="________________REC14500">#REF!</definedName>
    <definedName name="________________REC14515">#REF!</definedName>
    <definedName name="________________REC14555">#REF!</definedName>
    <definedName name="________________REC14565">#REF!</definedName>
    <definedName name="________________REC15135">#REF!</definedName>
    <definedName name="________________REC15140">#REF!</definedName>
    <definedName name="________________REC15195">#REF!</definedName>
    <definedName name="________________REC15225">#REF!</definedName>
    <definedName name="________________REC15230">#REF!</definedName>
    <definedName name="________________REC15515">#REF!</definedName>
    <definedName name="________________REC15560">#REF!</definedName>
    <definedName name="________________REC15565">#REF!</definedName>
    <definedName name="________________REC15570">#REF!</definedName>
    <definedName name="________________REC15575">#REF!</definedName>
    <definedName name="________________REC15583">#REF!</definedName>
    <definedName name="________________REC15590">#REF!</definedName>
    <definedName name="________________REC15591">#REF!</definedName>
    <definedName name="________________REC15610">#REF!</definedName>
    <definedName name="________________REC15625">#REF!</definedName>
    <definedName name="________________REC15635">#REF!</definedName>
    <definedName name="________________REC15655">#REF!</definedName>
    <definedName name="________________REC15665">#REF!</definedName>
    <definedName name="________________REC16515">#REF!</definedName>
    <definedName name="________________REC16535">#REF!</definedName>
    <definedName name="________________REC17140">#REF!</definedName>
    <definedName name="________________REC19500">#REF!</definedName>
    <definedName name="________________REC19501">#REF!</definedName>
    <definedName name="________________REC19502">#REF!</definedName>
    <definedName name="________________REC19503">#REF!</definedName>
    <definedName name="________________REC19504">#REF!</definedName>
    <definedName name="________________REC19505">#REF!</definedName>
    <definedName name="________________REC20100">#REF!</definedName>
    <definedName name="________________REC20105">#REF!</definedName>
    <definedName name="________________REC20110">#REF!</definedName>
    <definedName name="________________REC20115">#REF!</definedName>
    <definedName name="________________REC20130">#REF!</definedName>
    <definedName name="________________REC20135">#REF!</definedName>
    <definedName name="________________REC20140">#REF!</definedName>
    <definedName name="________________REC20145">#REF!</definedName>
    <definedName name="________________REC20150">#REF!</definedName>
    <definedName name="________________REC20155">#REF!</definedName>
    <definedName name="________________REC20175">#REF!</definedName>
    <definedName name="________________REC20185">#REF!</definedName>
    <definedName name="________________REC20190">#REF!</definedName>
    <definedName name="________________REC20195">#REF!</definedName>
    <definedName name="________________REC20210">#REF!</definedName>
    <definedName name="________________RET1">#REF!</definedName>
    <definedName name="________________svi2">#REF!</definedName>
    <definedName name="________________UNI11100">#REF!</definedName>
    <definedName name="________________UNI11110">#REF!</definedName>
    <definedName name="________________UNI11115">#REF!</definedName>
    <definedName name="________________UNI11125">#REF!</definedName>
    <definedName name="________________UNI11130">#REF!</definedName>
    <definedName name="________________UNI11135">#REF!</definedName>
    <definedName name="________________UNI11145">#REF!</definedName>
    <definedName name="________________UNI11150">#REF!</definedName>
    <definedName name="________________UNI11165">#REF!</definedName>
    <definedName name="________________UNI11170">#REF!</definedName>
    <definedName name="________________UNI11180">#REF!</definedName>
    <definedName name="________________UNI11185">#REF!</definedName>
    <definedName name="________________UNI11220">#REF!</definedName>
    <definedName name="________________UNI12105">#REF!</definedName>
    <definedName name="________________UNI12555">#REF!</definedName>
    <definedName name="________________UNI12570">#REF!</definedName>
    <definedName name="________________UNI12575">#REF!</definedName>
    <definedName name="________________UNI12580">#REF!</definedName>
    <definedName name="________________UNI12600">#REF!</definedName>
    <definedName name="________________UNI12610">#REF!</definedName>
    <definedName name="________________UNI12630">#REF!</definedName>
    <definedName name="________________UNI12631">#REF!</definedName>
    <definedName name="________________UNI12640">#REF!</definedName>
    <definedName name="________________UNI12645">#REF!</definedName>
    <definedName name="________________UNI12665">#REF!</definedName>
    <definedName name="________________UNI12690">#REF!</definedName>
    <definedName name="________________UNI12700">#REF!</definedName>
    <definedName name="________________UNI12710">#REF!</definedName>
    <definedName name="________________UNI13111">#REF!</definedName>
    <definedName name="________________UNI13112">#REF!</definedName>
    <definedName name="________________UNI13121">#REF!</definedName>
    <definedName name="________________UNI13720">#REF!</definedName>
    <definedName name="________________UNI14100">#REF!</definedName>
    <definedName name="________________UNI14161">#REF!</definedName>
    <definedName name="________________UNI14195">#REF!</definedName>
    <definedName name="________________UNI14205">#REF!</definedName>
    <definedName name="________________UNI14260">#REF!</definedName>
    <definedName name="________________UNI14500">#REF!</definedName>
    <definedName name="________________UNI14515">#REF!</definedName>
    <definedName name="________________UNI14555">#REF!</definedName>
    <definedName name="________________UNI14565">#REF!</definedName>
    <definedName name="________________UNI15135">#REF!</definedName>
    <definedName name="________________UNI15140">#REF!</definedName>
    <definedName name="________________UNI15195">#REF!</definedName>
    <definedName name="________________UNI15225">#REF!</definedName>
    <definedName name="________________UNI15230">#REF!</definedName>
    <definedName name="________________UNI15515">#REF!</definedName>
    <definedName name="________________UNI15560">#REF!</definedName>
    <definedName name="________________UNI15565">#REF!</definedName>
    <definedName name="________________UNI15570">#REF!</definedName>
    <definedName name="________________UNI15575">#REF!</definedName>
    <definedName name="________________UNI15583">#REF!</definedName>
    <definedName name="________________UNI15590">#REF!</definedName>
    <definedName name="________________UNI15591">#REF!</definedName>
    <definedName name="________________UNI15610">#REF!</definedName>
    <definedName name="________________UNI15625">#REF!</definedName>
    <definedName name="________________UNI15635">#REF!</definedName>
    <definedName name="________________UNI15655">#REF!</definedName>
    <definedName name="________________UNI15665">#REF!</definedName>
    <definedName name="________________UNI16515">#REF!</definedName>
    <definedName name="________________UNI16535">#REF!</definedName>
    <definedName name="________________UNI17140">#REF!</definedName>
    <definedName name="________________UNI19500">#REF!</definedName>
    <definedName name="________________UNI19501">#REF!</definedName>
    <definedName name="________________UNI19502">#REF!</definedName>
    <definedName name="________________UNI19503">#REF!</definedName>
    <definedName name="________________UNI19504">#REF!</definedName>
    <definedName name="________________UNI19505">#REF!</definedName>
    <definedName name="________________UNI20100">#REF!</definedName>
    <definedName name="________________UNI20105">#REF!</definedName>
    <definedName name="________________UNI20110">#REF!</definedName>
    <definedName name="________________UNI20115">#REF!</definedName>
    <definedName name="________________UNI20130">#REF!</definedName>
    <definedName name="________________UNI20140">#REF!</definedName>
    <definedName name="________________UNI20145">#REF!</definedName>
    <definedName name="________________UNI20150">#REF!</definedName>
    <definedName name="________________UNI20155">#REF!</definedName>
    <definedName name="________________UNI20175">#REF!</definedName>
    <definedName name="________________UNI20185">#REF!</definedName>
    <definedName name="________________UNI20190">#REF!</definedName>
    <definedName name="________________UNI20195">#REF!</definedName>
    <definedName name="________________UNI20210">#REF!</definedName>
    <definedName name="________________VAL11100">#REF!</definedName>
    <definedName name="________________VAL11110">#REF!</definedName>
    <definedName name="________________VAL11115">#REF!</definedName>
    <definedName name="________________VAL11125">#REF!</definedName>
    <definedName name="________________VAL11130">#REF!</definedName>
    <definedName name="________________VAL11135">#REF!</definedName>
    <definedName name="________________VAL11145">#REF!</definedName>
    <definedName name="________________VAL11150">#REF!</definedName>
    <definedName name="________________VAL11165">#REF!</definedName>
    <definedName name="________________VAL11170">#REF!</definedName>
    <definedName name="________________VAL11180">#REF!</definedName>
    <definedName name="________________VAL11185">#REF!</definedName>
    <definedName name="________________VAL11220">#REF!</definedName>
    <definedName name="________________VAL12105">#REF!</definedName>
    <definedName name="________________VAL12555">#REF!</definedName>
    <definedName name="________________VAL12570">#REF!</definedName>
    <definedName name="________________VAL12575">#REF!</definedName>
    <definedName name="________________VAL12580">#REF!</definedName>
    <definedName name="________________VAL12600">#REF!</definedName>
    <definedName name="________________VAL12610">#REF!</definedName>
    <definedName name="________________VAL12630">#REF!</definedName>
    <definedName name="________________VAL12631">#REF!</definedName>
    <definedName name="________________VAL12640">#REF!</definedName>
    <definedName name="________________VAL12645">#REF!</definedName>
    <definedName name="________________VAL12665">#REF!</definedName>
    <definedName name="________________VAL12690">#REF!</definedName>
    <definedName name="________________VAL12700">#REF!</definedName>
    <definedName name="________________VAL12710">#REF!</definedName>
    <definedName name="________________VAL13111">#REF!</definedName>
    <definedName name="________________VAL13112">#REF!</definedName>
    <definedName name="________________VAL13121">#REF!</definedName>
    <definedName name="________________VAL13720">#REF!</definedName>
    <definedName name="________________VAL14100">#REF!</definedName>
    <definedName name="________________VAL14161">#REF!</definedName>
    <definedName name="________________VAL14195">#REF!</definedName>
    <definedName name="________________VAL14205">#REF!</definedName>
    <definedName name="________________VAL14260">#REF!</definedName>
    <definedName name="________________VAL14500">#REF!</definedName>
    <definedName name="________________VAL14515">#REF!</definedName>
    <definedName name="________________VAL14555">#REF!</definedName>
    <definedName name="________________VAL14565">#REF!</definedName>
    <definedName name="________________VAL15135">#REF!</definedName>
    <definedName name="________________VAL15140">#REF!</definedName>
    <definedName name="________________VAL15195">#REF!</definedName>
    <definedName name="________________VAL15225">#REF!</definedName>
    <definedName name="________________VAL15230">#REF!</definedName>
    <definedName name="________________VAL15515">#REF!</definedName>
    <definedName name="________________VAL15560">#REF!</definedName>
    <definedName name="________________VAL15565">#REF!</definedName>
    <definedName name="________________VAL15570">#REF!</definedName>
    <definedName name="________________VAL15575">#REF!</definedName>
    <definedName name="________________VAL15583">#REF!</definedName>
    <definedName name="________________VAL15590">#REF!</definedName>
    <definedName name="________________VAL15591">#REF!</definedName>
    <definedName name="________________VAL15610">#REF!</definedName>
    <definedName name="________________VAL15625">#REF!</definedName>
    <definedName name="________________VAL15635">#REF!</definedName>
    <definedName name="________________VAL15655">#REF!</definedName>
    <definedName name="________________VAL15665">#REF!</definedName>
    <definedName name="________________VAL16515">#REF!</definedName>
    <definedName name="________________VAL16535">#REF!</definedName>
    <definedName name="________________VAL17140">#REF!</definedName>
    <definedName name="________________VAL19500">#REF!</definedName>
    <definedName name="________________VAL19501">#REF!</definedName>
    <definedName name="________________VAL19502">#REF!</definedName>
    <definedName name="________________VAL19503">#REF!</definedName>
    <definedName name="________________VAL19504">#REF!</definedName>
    <definedName name="________________VAL19505">#REF!</definedName>
    <definedName name="________________VAL20100">#REF!</definedName>
    <definedName name="________________VAL20105">#REF!</definedName>
    <definedName name="________________VAL20110">#REF!</definedName>
    <definedName name="________________VAL20115">#REF!</definedName>
    <definedName name="________________VAL20130">#REF!</definedName>
    <definedName name="________________VAL20135">#REF!</definedName>
    <definedName name="________________VAL20140">#REF!</definedName>
    <definedName name="________________VAL20145">#REF!</definedName>
    <definedName name="________________VAL20150">#REF!</definedName>
    <definedName name="________________VAL20155">#REF!</definedName>
    <definedName name="________________VAL20175">#REF!</definedName>
    <definedName name="________________VAL20185">#REF!</definedName>
    <definedName name="________________VAL20190">#REF!</definedName>
    <definedName name="________________VAL20195">#REF!</definedName>
    <definedName name="________________VAL20210">#REF!</definedName>
    <definedName name="_______________UNI20135">#REF!</definedName>
    <definedName name="______________A1">#REF!</definedName>
    <definedName name="______________cab1">#REF!</definedName>
    <definedName name="______________COM010201">#REF!</definedName>
    <definedName name="______________COM010202">#REF!</definedName>
    <definedName name="______________COM010205">#REF!</definedName>
    <definedName name="______________COM010206">#REF!</definedName>
    <definedName name="______________COM010210">#REF!</definedName>
    <definedName name="______________COM010301">#REF!</definedName>
    <definedName name="______________COM010401">#REF!</definedName>
    <definedName name="______________COM010402">#REF!</definedName>
    <definedName name="______________COM010407">#REF!</definedName>
    <definedName name="______________COM010413">#REF!</definedName>
    <definedName name="______________COM010501">#REF!</definedName>
    <definedName name="______________COM010503">#REF!</definedName>
    <definedName name="______________COM010505">#REF!</definedName>
    <definedName name="______________COM010509">#REF!</definedName>
    <definedName name="______________COM010512">#REF!</definedName>
    <definedName name="______________COM010518">#REF!</definedName>
    <definedName name="______________COM010519">#REF!</definedName>
    <definedName name="______________COM010521">#REF!</definedName>
    <definedName name="______________COM010523">#REF!</definedName>
    <definedName name="______________COM010532">#REF!</definedName>
    <definedName name="______________COM010533">#REF!</definedName>
    <definedName name="______________COM010536">#REF!</definedName>
    <definedName name="______________COM010701">#REF!</definedName>
    <definedName name="______________COM010703">#REF!</definedName>
    <definedName name="______________COM010705">#REF!</definedName>
    <definedName name="______________COM010708">#REF!</definedName>
    <definedName name="______________COM010710">#REF!</definedName>
    <definedName name="______________COM010712">#REF!</definedName>
    <definedName name="______________COM010717">#REF!</definedName>
    <definedName name="______________COM010718">#REF!</definedName>
    <definedName name="______________COM020201">#REF!</definedName>
    <definedName name="______________COM020205">#REF!</definedName>
    <definedName name="______________COM020211">#REF!</definedName>
    <definedName name="______________COM020217">#REF!</definedName>
    <definedName name="______________COM030102">#REF!</definedName>
    <definedName name="______________COM030201">#REF!</definedName>
    <definedName name="______________COM030303">#REF!</definedName>
    <definedName name="______________COM030317">#REF!</definedName>
    <definedName name="______________COM040101">#REF!</definedName>
    <definedName name="______________COM040202">#REF!</definedName>
    <definedName name="______________COM050103">#REF!</definedName>
    <definedName name="______________COM050207">#REF!</definedName>
    <definedName name="______________COM060101">#REF!</definedName>
    <definedName name="______________COM080101">#REF!</definedName>
    <definedName name="______________COM080310">#REF!</definedName>
    <definedName name="______________COM090101">#REF!</definedName>
    <definedName name="______________COM100302">#REF!</definedName>
    <definedName name="______________COM110101">#REF!</definedName>
    <definedName name="______________COM110104">#REF!</definedName>
    <definedName name="______________COM110107">#REF!</definedName>
    <definedName name="______________COM120101">#REF!</definedName>
    <definedName name="______________COM120105">#REF!</definedName>
    <definedName name="______________COM120106">#REF!</definedName>
    <definedName name="______________COM120107">#REF!</definedName>
    <definedName name="______________COM120110">#REF!</definedName>
    <definedName name="______________COM120150">#REF!</definedName>
    <definedName name="______________COM130101">#REF!</definedName>
    <definedName name="______________COM130103">#REF!</definedName>
    <definedName name="______________COM130304">#REF!</definedName>
    <definedName name="______________COM130401">#REF!</definedName>
    <definedName name="______________COM140102">#REF!</definedName>
    <definedName name="______________COM140109">#REF!</definedName>
    <definedName name="______________COM140113">#REF!</definedName>
    <definedName name="______________COM140122">#REF!</definedName>
    <definedName name="______________COM140126">#REF!</definedName>
    <definedName name="______________COM140129">#REF!</definedName>
    <definedName name="______________COM140135">#REF!</definedName>
    <definedName name="______________COM140143">#REF!</definedName>
    <definedName name="______________COM140145">#REF!</definedName>
    <definedName name="______________COM150130">#REF!</definedName>
    <definedName name="______________COM170101">#REF!</definedName>
    <definedName name="______________COM170102">#REF!</definedName>
    <definedName name="______________COM170103">#REF!</definedName>
    <definedName name="______________GLB2">#REF!</definedName>
    <definedName name="______________i3">#REF!</definedName>
    <definedName name="______________MAO010201">#REF!</definedName>
    <definedName name="______________MAO010202">#REF!</definedName>
    <definedName name="______________MAO010205">#REF!</definedName>
    <definedName name="______________MAO010206">#REF!</definedName>
    <definedName name="______________MAO010210">#REF!</definedName>
    <definedName name="______________MAO010401">#REF!</definedName>
    <definedName name="______________MAO010402">#REF!</definedName>
    <definedName name="______________MAO010407">#REF!</definedName>
    <definedName name="______________MAO010413">#REF!</definedName>
    <definedName name="______________MAO010501">#REF!</definedName>
    <definedName name="______________MAO010503">#REF!</definedName>
    <definedName name="______________MAO010505">#REF!</definedName>
    <definedName name="______________MAO010509">#REF!</definedName>
    <definedName name="______________MAO010512">#REF!</definedName>
    <definedName name="______________MAO010518">#REF!</definedName>
    <definedName name="______________MAO010519">#REF!</definedName>
    <definedName name="______________MAO010521">#REF!</definedName>
    <definedName name="______________MAO010523">#REF!</definedName>
    <definedName name="______________MAO010532">#REF!</definedName>
    <definedName name="______________MAO010533">#REF!</definedName>
    <definedName name="______________MAO010536">#REF!</definedName>
    <definedName name="______________MAO010701">#REF!</definedName>
    <definedName name="______________MAO010703">#REF!</definedName>
    <definedName name="______________MAO010705">#REF!</definedName>
    <definedName name="______________MAO010708">#REF!</definedName>
    <definedName name="______________MAO010710">#REF!</definedName>
    <definedName name="______________MAO010712">#REF!</definedName>
    <definedName name="______________MAO010717">#REF!</definedName>
    <definedName name="______________MAO020201">#REF!</definedName>
    <definedName name="______________MAO020205">#REF!</definedName>
    <definedName name="______________MAO020211">#REF!</definedName>
    <definedName name="______________MAO020217">#REF!</definedName>
    <definedName name="______________MAO030102">#REF!</definedName>
    <definedName name="______________MAO030201">#REF!</definedName>
    <definedName name="______________MAO030303">#REF!</definedName>
    <definedName name="______________MAO030317">#REF!</definedName>
    <definedName name="______________MAO040101">#REF!</definedName>
    <definedName name="______________MAO040202">#REF!</definedName>
    <definedName name="______________MAO050103">#REF!</definedName>
    <definedName name="______________MAO050207">#REF!</definedName>
    <definedName name="______________MAO060101">#REF!</definedName>
    <definedName name="______________MAO080310">#REF!</definedName>
    <definedName name="______________MAO090101">#REF!</definedName>
    <definedName name="______________MAO110101">#REF!</definedName>
    <definedName name="______________MAO110104">#REF!</definedName>
    <definedName name="______________MAO110107">#REF!</definedName>
    <definedName name="______________MAO120101">#REF!</definedName>
    <definedName name="______________MAO120105">#REF!</definedName>
    <definedName name="______________MAO120106">#REF!</definedName>
    <definedName name="______________MAO120107">#REF!</definedName>
    <definedName name="______________MAO120110">#REF!</definedName>
    <definedName name="______________MAO120150">#REF!</definedName>
    <definedName name="______________MAO130101">#REF!</definedName>
    <definedName name="______________MAO130103">#REF!</definedName>
    <definedName name="______________MAO130304">#REF!</definedName>
    <definedName name="______________MAO130401">#REF!</definedName>
    <definedName name="______________MAO140102">#REF!</definedName>
    <definedName name="______________MAO140109">#REF!</definedName>
    <definedName name="______________MAO140113">#REF!</definedName>
    <definedName name="______________MAO140122">#REF!</definedName>
    <definedName name="______________MAO140126">#REF!</definedName>
    <definedName name="______________MAO140129">#REF!</definedName>
    <definedName name="______________MAO140135">#REF!</definedName>
    <definedName name="______________MAO140143">#REF!</definedName>
    <definedName name="______________MAO140145">#REF!</definedName>
    <definedName name="______________MAT010301">#REF!</definedName>
    <definedName name="______________MAT010401">#REF!</definedName>
    <definedName name="______________MAT010402">#REF!</definedName>
    <definedName name="______________MAT010407">#REF!</definedName>
    <definedName name="______________MAT010413">#REF!</definedName>
    <definedName name="______________MAT010536">#REF!</definedName>
    <definedName name="______________MAT010703">#REF!</definedName>
    <definedName name="______________MAT010708">#REF!</definedName>
    <definedName name="______________MAT010710">#REF!</definedName>
    <definedName name="______________MAT010718">#REF!</definedName>
    <definedName name="______________MAT020201">#REF!</definedName>
    <definedName name="______________MAT020205">#REF!</definedName>
    <definedName name="______________MAT020211">#REF!</definedName>
    <definedName name="______________MAT030102">#REF!</definedName>
    <definedName name="______________MAT030201">#REF!</definedName>
    <definedName name="______________MAT030303">#REF!</definedName>
    <definedName name="______________MAT030317">#REF!</definedName>
    <definedName name="______________MAT040101">#REF!</definedName>
    <definedName name="______________MAT040202">#REF!</definedName>
    <definedName name="______________MAT050103">#REF!</definedName>
    <definedName name="______________MAT050207">#REF!</definedName>
    <definedName name="______________MAT060101">#REF!</definedName>
    <definedName name="______________MAT080101">#REF!</definedName>
    <definedName name="______________MAT080310">#REF!</definedName>
    <definedName name="______________MAT090101">#REF!</definedName>
    <definedName name="______________MAT100302">#REF!</definedName>
    <definedName name="______________MAT110101">#REF!</definedName>
    <definedName name="______________MAT110104">#REF!</definedName>
    <definedName name="______________MAT110107">#REF!</definedName>
    <definedName name="______________MAT120101">#REF!</definedName>
    <definedName name="______________MAT120105">#REF!</definedName>
    <definedName name="______________MAT120106">#REF!</definedName>
    <definedName name="______________MAT120107">#REF!</definedName>
    <definedName name="______________MAT120110">#REF!</definedName>
    <definedName name="______________MAT120150">#REF!</definedName>
    <definedName name="______________MAT130101">#REF!</definedName>
    <definedName name="______________MAT130103">#REF!</definedName>
    <definedName name="______________MAT130304">#REF!</definedName>
    <definedName name="______________MAT130401">#REF!</definedName>
    <definedName name="______________MAT140102">#REF!</definedName>
    <definedName name="______________MAT140109">#REF!</definedName>
    <definedName name="______________MAT140113">#REF!</definedName>
    <definedName name="______________MAT140122">#REF!</definedName>
    <definedName name="______________MAT140126">#REF!</definedName>
    <definedName name="______________MAT140129">#REF!</definedName>
    <definedName name="______________MAT140135">#REF!</definedName>
    <definedName name="______________MAT140143">#REF!</definedName>
    <definedName name="______________MAT140145">#REF!</definedName>
    <definedName name="______________MAT150130">#REF!</definedName>
    <definedName name="______________MAT170101">#REF!</definedName>
    <definedName name="______________MAT170102">#REF!</definedName>
    <definedName name="______________MAT170103">#REF!</definedName>
    <definedName name="______________PRE010201">#REF!</definedName>
    <definedName name="______________PRE010202">#REF!</definedName>
    <definedName name="______________PRE010205">#REF!</definedName>
    <definedName name="______________PRE010206">#REF!</definedName>
    <definedName name="______________PRE010210">#REF!</definedName>
    <definedName name="______________PRE010301">#REF!</definedName>
    <definedName name="______________PRE010401">#REF!</definedName>
    <definedName name="______________PRE010402">#REF!</definedName>
    <definedName name="______________PRE010407">#REF!</definedName>
    <definedName name="______________PRE010413">#REF!</definedName>
    <definedName name="______________PRE010501">#REF!</definedName>
    <definedName name="______________PRE010503">#REF!</definedName>
    <definedName name="______________PRE010505">#REF!</definedName>
    <definedName name="______________PRE010509">#REF!</definedName>
    <definedName name="______________PRE010512">#REF!</definedName>
    <definedName name="______________PRE010518">#REF!</definedName>
    <definedName name="______________PRE010519">#REF!</definedName>
    <definedName name="______________PRE010521">#REF!</definedName>
    <definedName name="______________PRE010523">#REF!</definedName>
    <definedName name="______________PRE010532">#REF!</definedName>
    <definedName name="______________PRE010533">#REF!</definedName>
    <definedName name="______________PRE010536">#REF!</definedName>
    <definedName name="______________PRE010701">#REF!</definedName>
    <definedName name="______________PRE010703">#REF!</definedName>
    <definedName name="______________PRE010705">#REF!</definedName>
    <definedName name="______________PRE010708">#REF!</definedName>
    <definedName name="______________PRE010710">#REF!</definedName>
    <definedName name="______________PRE010712">#REF!</definedName>
    <definedName name="______________PRE010717">#REF!</definedName>
    <definedName name="______________PRE010718">#REF!</definedName>
    <definedName name="______________PRE020201">#REF!</definedName>
    <definedName name="______________PRE020205">#REF!</definedName>
    <definedName name="______________PRE020211">#REF!</definedName>
    <definedName name="______________PRE020217">#REF!</definedName>
    <definedName name="______________PRE030102">#REF!</definedName>
    <definedName name="______________PRE030201">#REF!</definedName>
    <definedName name="______________PRE030303">#REF!</definedName>
    <definedName name="______________PRE030317">#REF!</definedName>
    <definedName name="______________PRE040101">#REF!</definedName>
    <definedName name="______________PRE040202">#REF!</definedName>
    <definedName name="______________PRE050103">#REF!</definedName>
    <definedName name="______________PRE050207">#REF!</definedName>
    <definedName name="______________PRE060101">#REF!</definedName>
    <definedName name="______________PRE080101">#REF!</definedName>
    <definedName name="______________PRE080310">#REF!</definedName>
    <definedName name="______________PRE090101">#REF!</definedName>
    <definedName name="______________PRE100302">#REF!</definedName>
    <definedName name="______________PRE110101">#REF!</definedName>
    <definedName name="______________PRE110104">#REF!</definedName>
    <definedName name="______________PRE110107">#REF!</definedName>
    <definedName name="______________PRE120101">#REF!</definedName>
    <definedName name="______________PRE120105">#REF!</definedName>
    <definedName name="______________PRE120106">#REF!</definedName>
    <definedName name="______________PRE120107">#REF!</definedName>
    <definedName name="______________PRE120110">#REF!</definedName>
    <definedName name="______________PRE120150">#REF!</definedName>
    <definedName name="______________PRE130101">#REF!</definedName>
    <definedName name="______________PRE130103">#REF!</definedName>
    <definedName name="______________PRE130304">#REF!</definedName>
    <definedName name="______________PRE130401">#REF!</definedName>
    <definedName name="______________PRE140102">#REF!</definedName>
    <definedName name="______________PRE140109">#REF!</definedName>
    <definedName name="______________PRE140113">#REF!</definedName>
    <definedName name="______________PRE140122">#REF!</definedName>
    <definedName name="______________PRE140126">#REF!</definedName>
    <definedName name="______________PRE140129">#REF!</definedName>
    <definedName name="______________PRE140135">#REF!</definedName>
    <definedName name="______________PRE140143">#REF!</definedName>
    <definedName name="______________PRE140145">#REF!</definedName>
    <definedName name="______________PRE150130">#REF!</definedName>
    <definedName name="______________PRE170101">#REF!</definedName>
    <definedName name="______________PRE170102">#REF!</definedName>
    <definedName name="______________PRE170103">#REF!</definedName>
    <definedName name="______________QUA010201">#REF!</definedName>
    <definedName name="______________QUA010202">#REF!</definedName>
    <definedName name="______________QUA010205">#REF!</definedName>
    <definedName name="______________QUA010206">#REF!</definedName>
    <definedName name="______________QUA010210">#REF!</definedName>
    <definedName name="______________QUA010301">#REF!</definedName>
    <definedName name="______________QUA010401">#REF!</definedName>
    <definedName name="______________QUA010402">#REF!</definedName>
    <definedName name="______________QUA010407">#REF!</definedName>
    <definedName name="______________QUA010413">#REF!</definedName>
    <definedName name="______________QUA010501">#REF!</definedName>
    <definedName name="______________QUA010503">#REF!</definedName>
    <definedName name="______________QUA010505">#REF!</definedName>
    <definedName name="______________QUA010509">#REF!</definedName>
    <definedName name="______________QUA010512">#REF!</definedName>
    <definedName name="______________QUA010518">#REF!</definedName>
    <definedName name="______________QUA010519">#REF!</definedName>
    <definedName name="______________QUA010521">#REF!</definedName>
    <definedName name="______________QUA010523">#REF!</definedName>
    <definedName name="______________QUA010532">#REF!</definedName>
    <definedName name="______________QUA010533">#REF!</definedName>
    <definedName name="______________QUA010536">#REF!</definedName>
    <definedName name="______________QUA010701">#REF!</definedName>
    <definedName name="______________QUA010703">#REF!</definedName>
    <definedName name="______________QUA010705">#REF!</definedName>
    <definedName name="______________QUA010708">#REF!</definedName>
    <definedName name="______________QUA010710">#REF!</definedName>
    <definedName name="______________QUA010712">#REF!</definedName>
    <definedName name="______________QUA010717">#REF!</definedName>
    <definedName name="______________QUA010718">#REF!</definedName>
    <definedName name="______________QUA020201">#REF!</definedName>
    <definedName name="______________QUA020205">#REF!</definedName>
    <definedName name="______________QUA020211">#REF!</definedName>
    <definedName name="______________QUA020217">#REF!</definedName>
    <definedName name="______________QUA030102">#REF!</definedName>
    <definedName name="______________QUA030201">#REF!</definedName>
    <definedName name="______________QUA030303">#REF!</definedName>
    <definedName name="______________QUA030317">#REF!</definedName>
    <definedName name="______________QUA040101">#REF!</definedName>
    <definedName name="______________QUA040202">#REF!</definedName>
    <definedName name="______________QUA050103">#REF!</definedName>
    <definedName name="______________QUA050207">#REF!</definedName>
    <definedName name="______________QUA060101">#REF!</definedName>
    <definedName name="______________QUA080101">#REF!</definedName>
    <definedName name="______________QUA080310">#REF!</definedName>
    <definedName name="______________QUA090101">#REF!</definedName>
    <definedName name="______________QUA100302">#REF!</definedName>
    <definedName name="______________QUA110101">#REF!</definedName>
    <definedName name="______________QUA110104">#REF!</definedName>
    <definedName name="______________QUA110107">#REF!</definedName>
    <definedName name="______________QUA120101">#REF!</definedName>
    <definedName name="______________QUA120105">#REF!</definedName>
    <definedName name="______________QUA120106">#REF!</definedName>
    <definedName name="______________QUA120107">#REF!</definedName>
    <definedName name="______________QUA120110">#REF!</definedName>
    <definedName name="______________QUA120150">#REF!</definedName>
    <definedName name="______________QUA130101">#REF!</definedName>
    <definedName name="______________QUA130103">#REF!</definedName>
    <definedName name="______________QUA130304">#REF!</definedName>
    <definedName name="______________QUA130401">#REF!</definedName>
    <definedName name="______________QUA140102">#REF!</definedName>
    <definedName name="______________QUA140109">#REF!</definedName>
    <definedName name="______________QUA140113">#REF!</definedName>
    <definedName name="______________QUA140122">#REF!</definedName>
    <definedName name="______________QUA140126">#REF!</definedName>
    <definedName name="______________QUA140129">#REF!</definedName>
    <definedName name="______________QUA140135">#REF!</definedName>
    <definedName name="______________QUA140143">#REF!</definedName>
    <definedName name="______________QUA140145">#REF!</definedName>
    <definedName name="______________QUA150130">#REF!</definedName>
    <definedName name="______________QUA170101">#REF!</definedName>
    <definedName name="______________QUA170102">#REF!</definedName>
    <definedName name="______________QUA170103">#REF!</definedName>
    <definedName name="______________R">#REF!</definedName>
    <definedName name="______________REC11100">#REF!</definedName>
    <definedName name="______________REC11110">#REF!</definedName>
    <definedName name="______________REC11115">#REF!</definedName>
    <definedName name="______________REC11125">#REF!</definedName>
    <definedName name="______________REC11130">#REF!</definedName>
    <definedName name="______________REC11135">#REF!</definedName>
    <definedName name="______________REC11145">#REF!</definedName>
    <definedName name="______________REC11150">#REF!</definedName>
    <definedName name="______________REC11165">#REF!</definedName>
    <definedName name="______________REC11170">#REF!</definedName>
    <definedName name="______________REC11180">#REF!</definedName>
    <definedName name="______________REC11185">#REF!</definedName>
    <definedName name="______________REC11220">#REF!</definedName>
    <definedName name="______________REC12105">#REF!</definedName>
    <definedName name="______________REC12555">#REF!</definedName>
    <definedName name="______________REC12570">#REF!</definedName>
    <definedName name="______________REC12575">#REF!</definedName>
    <definedName name="______________REC12580">#REF!</definedName>
    <definedName name="______________REC12600">#REF!</definedName>
    <definedName name="______________REC12610">#REF!</definedName>
    <definedName name="______________REC12630">#REF!</definedName>
    <definedName name="______________REC12631">#REF!</definedName>
    <definedName name="______________REC12640">#REF!</definedName>
    <definedName name="______________REC12645">#REF!</definedName>
    <definedName name="______________REC12665">#REF!</definedName>
    <definedName name="______________REC12690">#REF!</definedName>
    <definedName name="______________REC12700">#REF!</definedName>
    <definedName name="______________REC12710">#REF!</definedName>
    <definedName name="______________REC13111">#REF!</definedName>
    <definedName name="______________REC13112">#REF!</definedName>
    <definedName name="______________REC13121">#REF!</definedName>
    <definedName name="______________REC13720">#REF!</definedName>
    <definedName name="______________REC14100">#REF!</definedName>
    <definedName name="______________REC14161">#REF!</definedName>
    <definedName name="______________REC14195">#REF!</definedName>
    <definedName name="______________REC14205">#REF!</definedName>
    <definedName name="______________REC14260">#REF!</definedName>
    <definedName name="______________REC14500">#REF!</definedName>
    <definedName name="______________REC14515">#REF!</definedName>
    <definedName name="______________REC14555">#REF!</definedName>
    <definedName name="______________REC14565">#REF!</definedName>
    <definedName name="______________REC15135">#REF!</definedName>
    <definedName name="______________REC15140">#REF!</definedName>
    <definedName name="______________REC15195">#REF!</definedName>
    <definedName name="______________REC15225">#REF!</definedName>
    <definedName name="______________REC15230">#REF!</definedName>
    <definedName name="______________REC15515">#REF!</definedName>
    <definedName name="______________REC15560">#REF!</definedName>
    <definedName name="______________REC15565">#REF!</definedName>
    <definedName name="______________REC15570">#REF!</definedName>
    <definedName name="______________REC15575">#REF!</definedName>
    <definedName name="______________REC15583">#REF!</definedName>
    <definedName name="______________REC15590">#REF!</definedName>
    <definedName name="______________REC15591">#REF!</definedName>
    <definedName name="______________REC15610">#REF!</definedName>
    <definedName name="______________REC15625">#REF!</definedName>
    <definedName name="______________REC15635">#REF!</definedName>
    <definedName name="______________REC15655">#REF!</definedName>
    <definedName name="______________REC15665">#REF!</definedName>
    <definedName name="______________REC16515">#REF!</definedName>
    <definedName name="______________REC16535">#REF!</definedName>
    <definedName name="______________REC17140">#REF!</definedName>
    <definedName name="______________REC19500">#REF!</definedName>
    <definedName name="______________REC19501">#REF!</definedName>
    <definedName name="______________REC19502">#REF!</definedName>
    <definedName name="______________REC19503">#REF!</definedName>
    <definedName name="______________REC19504">#REF!</definedName>
    <definedName name="______________REC19505">#REF!</definedName>
    <definedName name="______________REC20100">#REF!</definedName>
    <definedName name="______________REC20105">#REF!</definedName>
    <definedName name="______________REC20110">#REF!</definedName>
    <definedName name="______________REC20115">#REF!</definedName>
    <definedName name="______________REC20130">#REF!</definedName>
    <definedName name="______________REC20135">#REF!</definedName>
    <definedName name="______________REC20140">#REF!</definedName>
    <definedName name="______________REC20145">#REF!</definedName>
    <definedName name="______________REC20150">#REF!</definedName>
    <definedName name="______________REC20155">#REF!</definedName>
    <definedName name="______________REC20175">#REF!</definedName>
    <definedName name="______________REC20185">#REF!</definedName>
    <definedName name="______________REC20190">#REF!</definedName>
    <definedName name="______________REC20195">#REF!</definedName>
    <definedName name="______________REC20210">#REF!</definedName>
    <definedName name="______________svi2">#REF!</definedName>
    <definedName name="______________UNI11100">#REF!</definedName>
    <definedName name="______________UNI11110">#REF!</definedName>
    <definedName name="______________UNI11115">#REF!</definedName>
    <definedName name="______________UNI11125">#REF!</definedName>
    <definedName name="______________UNI11130">#REF!</definedName>
    <definedName name="______________UNI11135">#REF!</definedName>
    <definedName name="______________UNI11145">#REF!</definedName>
    <definedName name="______________UNI11150">#REF!</definedName>
    <definedName name="______________UNI11165">#REF!</definedName>
    <definedName name="______________UNI11170">#REF!</definedName>
    <definedName name="______________UNI11180">#REF!</definedName>
    <definedName name="______________UNI11185">#REF!</definedName>
    <definedName name="______________UNI11220">#REF!</definedName>
    <definedName name="______________UNI12105">#REF!</definedName>
    <definedName name="______________UNI12555">#REF!</definedName>
    <definedName name="______________UNI12570">#REF!</definedName>
    <definedName name="______________UNI12575">#REF!</definedName>
    <definedName name="______________UNI12580">#REF!</definedName>
    <definedName name="______________UNI12600">#REF!</definedName>
    <definedName name="______________UNI12610">#REF!</definedName>
    <definedName name="______________UNI12630">#REF!</definedName>
    <definedName name="______________UNI12631">#REF!</definedName>
    <definedName name="______________UNI12640">#REF!</definedName>
    <definedName name="______________UNI12645">#REF!</definedName>
    <definedName name="______________UNI12665">#REF!</definedName>
    <definedName name="______________UNI12690">#REF!</definedName>
    <definedName name="______________UNI12700">#REF!</definedName>
    <definedName name="______________UNI12710">#REF!</definedName>
    <definedName name="______________UNI13111">#REF!</definedName>
    <definedName name="______________UNI13112">#REF!</definedName>
    <definedName name="______________UNI13121">#REF!</definedName>
    <definedName name="______________UNI13720">#REF!</definedName>
    <definedName name="______________UNI14100">#REF!</definedName>
    <definedName name="______________UNI14161">#REF!</definedName>
    <definedName name="______________UNI14195">#REF!</definedName>
    <definedName name="______________UNI14205">#REF!</definedName>
    <definedName name="______________UNI14260">#REF!</definedName>
    <definedName name="______________UNI14500">#REF!</definedName>
    <definedName name="______________UNI14515">#REF!</definedName>
    <definedName name="______________UNI14555">#REF!</definedName>
    <definedName name="______________UNI14565">#REF!</definedName>
    <definedName name="______________UNI15135">#REF!</definedName>
    <definedName name="______________UNI15140">#REF!</definedName>
    <definedName name="______________UNI15195">#REF!</definedName>
    <definedName name="______________UNI15225">#REF!</definedName>
    <definedName name="______________UNI15230">#REF!</definedName>
    <definedName name="______________UNI15515">#REF!</definedName>
    <definedName name="______________UNI15560">#REF!</definedName>
    <definedName name="______________UNI15565">#REF!</definedName>
    <definedName name="______________UNI15570">#REF!</definedName>
    <definedName name="______________UNI15575">#REF!</definedName>
    <definedName name="______________UNI15583">#REF!</definedName>
    <definedName name="______________UNI15590">#REF!</definedName>
    <definedName name="______________UNI15591">#REF!</definedName>
    <definedName name="______________UNI15610">#REF!</definedName>
    <definedName name="______________UNI15625">#REF!</definedName>
    <definedName name="______________UNI15635">#REF!</definedName>
    <definedName name="______________UNI15655">#REF!</definedName>
    <definedName name="______________UNI15665">#REF!</definedName>
    <definedName name="______________UNI16515">#REF!</definedName>
    <definedName name="______________UNI16535">#REF!</definedName>
    <definedName name="______________UNI17140">#REF!</definedName>
    <definedName name="______________UNI19500">#REF!</definedName>
    <definedName name="______________UNI19501">#REF!</definedName>
    <definedName name="______________UNI19502">#REF!</definedName>
    <definedName name="______________UNI19503">#REF!</definedName>
    <definedName name="______________UNI19504">#REF!</definedName>
    <definedName name="______________UNI19505">#REF!</definedName>
    <definedName name="______________UNI20100">#REF!</definedName>
    <definedName name="______________UNI20105">#REF!</definedName>
    <definedName name="______________UNI20110">#REF!</definedName>
    <definedName name="______________UNI20115">#REF!</definedName>
    <definedName name="______________UNI20130">#REF!</definedName>
    <definedName name="______________UNI20140">#REF!</definedName>
    <definedName name="______________UNI20145">#REF!</definedName>
    <definedName name="______________UNI20150">#REF!</definedName>
    <definedName name="______________UNI20155">#REF!</definedName>
    <definedName name="______________UNI20175">#REF!</definedName>
    <definedName name="______________UNI20185">#REF!</definedName>
    <definedName name="______________UNI20190">#REF!</definedName>
    <definedName name="______________UNI20195">#REF!</definedName>
    <definedName name="______________UNI20210">#REF!</definedName>
    <definedName name="______________VAL11100">#REF!</definedName>
    <definedName name="______________VAL11110">#REF!</definedName>
    <definedName name="______________VAL11115">#REF!</definedName>
    <definedName name="______________VAL11125">#REF!</definedName>
    <definedName name="______________VAL11130">#REF!</definedName>
    <definedName name="______________VAL11135">#REF!</definedName>
    <definedName name="______________VAL11145">#REF!</definedName>
    <definedName name="______________VAL11150">#REF!</definedName>
    <definedName name="______________VAL11165">#REF!</definedName>
    <definedName name="______________VAL11170">#REF!</definedName>
    <definedName name="______________VAL11180">#REF!</definedName>
    <definedName name="______________VAL11185">#REF!</definedName>
    <definedName name="______________VAL11220">#REF!</definedName>
    <definedName name="______________VAL12105">#REF!</definedName>
    <definedName name="______________VAL12555">#REF!</definedName>
    <definedName name="______________VAL12570">#REF!</definedName>
    <definedName name="______________VAL12575">#REF!</definedName>
    <definedName name="______________VAL12580">#REF!</definedName>
    <definedName name="______________VAL12600">#REF!</definedName>
    <definedName name="______________VAL12610">#REF!</definedName>
    <definedName name="______________VAL12630">#REF!</definedName>
    <definedName name="______________VAL12631">#REF!</definedName>
    <definedName name="______________VAL12640">#REF!</definedName>
    <definedName name="______________VAL12645">#REF!</definedName>
    <definedName name="______________VAL12665">#REF!</definedName>
    <definedName name="______________VAL12690">#REF!</definedName>
    <definedName name="______________VAL12700">#REF!</definedName>
    <definedName name="______________VAL12710">#REF!</definedName>
    <definedName name="______________VAL13111">#REF!</definedName>
    <definedName name="______________VAL13112">#REF!</definedName>
    <definedName name="______________VAL13121">#REF!</definedName>
    <definedName name="______________VAL13720">#REF!</definedName>
    <definedName name="______________VAL14100">#REF!</definedName>
    <definedName name="______________VAL14161">#REF!</definedName>
    <definedName name="______________VAL14195">#REF!</definedName>
    <definedName name="______________VAL14205">#REF!</definedName>
    <definedName name="______________VAL14260">#REF!</definedName>
    <definedName name="______________VAL14500">#REF!</definedName>
    <definedName name="______________VAL14515">#REF!</definedName>
    <definedName name="______________VAL14555">#REF!</definedName>
    <definedName name="______________VAL14565">#REF!</definedName>
    <definedName name="______________VAL15135">#REF!</definedName>
    <definedName name="______________VAL15140">#REF!</definedName>
    <definedName name="______________VAL15195">#REF!</definedName>
    <definedName name="______________VAL15225">#REF!</definedName>
    <definedName name="______________VAL15230">#REF!</definedName>
    <definedName name="______________VAL15515">#REF!</definedName>
    <definedName name="______________VAL15560">#REF!</definedName>
    <definedName name="______________VAL15565">#REF!</definedName>
    <definedName name="______________VAL15570">#REF!</definedName>
    <definedName name="______________VAL15575">#REF!</definedName>
    <definedName name="______________VAL15583">#REF!</definedName>
    <definedName name="______________VAL15590">#REF!</definedName>
    <definedName name="______________VAL15591">#REF!</definedName>
    <definedName name="______________VAL15610">#REF!</definedName>
    <definedName name="______________VAL15625">#REF!</definedName>
    <definedName name="______________VAL15635">#REF!</definedName>
    <definedName name="______________VAL15655">#REF!</definedName>
    <definedName name="______________VAL15665">#REF!</definedName>
    <definedName name="______________VAL16515">#REF!</definedName>
    <definedName name="______________VAL16535">#REF!</definedName>
    <definedName name="______________VAL17140">#REF!</definedName>
    <definedName name="______________VAL19500">#REF!</definedName>
    <definedName name="______________VAL19501">#REF!</definedName>
    <definedName name="______________VAL19502">#REF!</definedName>
    <definedName name="______________VAL19503">#REF!</definedName>
    <definedName name="______________VAL19504">#REF!</definedName>
    <definedName name="______________VAL19505">#REF!</definedName>
    <definedName name="______________VAL20100">#REF!</definedName>
    <definedName name="______________VAL20105">#REF!</definedName>
    <definedName name="______________VAL20110">#REF!</definedName>
    <definedName name="______________VAL20115">#REF!</definedName>
    <definedName name="______________VAL20130">#REF!</definedName>
    <definedName name="______________VAL20135">#REF!</definedName>
    <definedName name="______________VAL20140">#REF!</definedName>
    <definedName name="______________VAL20145">#REF!</definedName>
    <definedName name="______________VAL20150">#REF!</definedName>
    <definedName name="______________VAL20155">#REF!</definedName>
    <definedName name="______________VAL20175">#REF!</definedName>
    <definedName name="______________VAL20185">#REF!</definedName>
    <definedName name="______________VAL20190">#REF!</definedName>
    <definedName name="______________VAL20195">#REF!</definedName>
    <definedName name="______________VAL20210">#REF!</definedName>
    <definedName name="_____________UNI20135">#REF!</definedName>
    <definedName name="___A1">"$#REF!.$#REF!$#REF!"</definedName>
    <definedName name="___GLB2">"$#REF!.$B$5:$G$2380"</definedName>
    <definedName name="___svi2">"$#REF!.$B$5:$F$103"</definedName>
    <definedName name="__A1">#REF!</definedName>
    <definedName name="__cab1">#REF!</definedName>
    <definedName name="__COM010201">#REF!</definedName>
    <definedName name="__COM010202">#REF!</definedName>
    <definedName name="__COM010205">#REF!</definedName>
    <definedName name="__COM010206">#REF!</definedName>
    <definedName name="__COM010210">#REF!</definedName>
    <definedName name="__COM010301">#REF!</definedName>
    <definedName name="__COM010401">#REF!</definedName>
    <definedName name="__COM010402">#REF!</definedName>
    <definedName name="__COM010407">#REF!</definedName>
    <definedName name="__COM010413">#REF!</definedName>
    <definedName name="__COM010501">#REF!</definedName>
    <definedName name="__COM010503">#REF!</definedName>
    <definedName name="__COM010505">#REF!</definedName>
    <definedName name="__COM010509">#REF!</definedName>
    <definedName name="__COM010512">#REF!</definedName>
    <definedName name="__COM010518">#REF!</definedName>
    <definedName name="__COM010519">#REF!</definedName>
    <definedName name="__COM010521">#REF!</definedName>
    <definedName name="__COM010523">#REF!</definedName>
    <definedName name="__COM010532">#REF!</definedName>
    <definedName name="__COM010533">#REF!</definedName>
    <definedName name="__COM010536">#REF!</definedName>
    <definedName name="__COM010701">#REF!</definedName>
    <definedName name="__COM010703">#REF!</definedName>
    <definedName name="__COM010705">#REF!</definedName>
    <definedName name="__COM010708">#REF!</definedName>
    <definedName name="__COM010710">#REF!</definedName>
    <definedName name="__COM010712">#REF!</definedName>
    <definedName name="__COM010717">#REF!</definedName>
    <definedName name="__COM010718">#REF!</definedName>
    <definedName name="__COM020201">#REF!</definedName>
    <definedName name="__COM020205">#REF!</definedName>
    <definedName name="__COM020211">#REF!</definedName>
    <definedName name="__COM020217">#REF!</definedName>
    <definedName name="__COM030102">#REF!</definedName>
    <definedName name="__COM030201">#REF!</definedName>
    <definedName name="__COM030303">#REF!</definedName>
    <definedName name="__COM030317">#REF!</definedName>
    <definedName name="__COM040101">#REF!</definedName>
    <definedName name="__COM040202">#REF!</definedName>
    <definedName name="__COM050103">#REF!</definedName>
    <definedName name="__COM050207">#REF!</definedName>
    <definedName name="__COM060101">#REF!</definedName>
    <definedName name="__COM080101">#REF!</definedName>
    <definedName name="__COM080310">#REF!</definedName>
    <definedName name="__COM090101">#REF!</definedName>
    <definedName name="__COM100302">#REF!</definedName>
    <definedName name="__COM110101">#REF!</definedName>
    <definedName name="__COM110104">#REF!</definedName>
    <definedName name="__COM110107">#REF!</definedName>
    <definedName name="__COM120101">#REF!</definedName>
    <definedName name="__COM120105">#REF!</definedName>
    <definedName name="__COM120106">#REF!</definedName>
    <definedName name="__COM120107">#REF!</definedName>
    <definedName name="__COM120110">#REF!</definedName>
    <definedName name="__COM120150">#REF!</definedName>
    <definedName name="__COM130101">#REF!</definedName>
    <definedName name="__COM130103">#REF!</definedName>
    <definedName name="__COM130304">#REF!</definedName>
    <definedName name="__COM130401">#REF!</definedName>
    <definedName name="__COM140102">#REF!</definedName>
    <definedName name="__COM140109">#REF!</definedName>
    <definedName name="__COM140113">#REF!</definedName>
    <definedName name="__COM140122">#REF!</definedName>
    <definedName name="__COM140126">#REF!</definedName>
    <definedName name="__COM140129">#REF!</definedName>
    <definedName name="__COM140135">#REF!</definedName>
    <definedName name="__COM140143">#REF!</definedName>
    <definedName name="__COM140145">#REF!</definedName>
    <definedName name="__COM150130">#REF!</definedName>
    <definedName name="__COM170101">#REF!</definedName>
    <definedName name="__COM170102">#REF!</definedName>
    <definedName name="__COM170103">#REF!</definedName>
    <definedName name="__GLB2">#REF!</definedName>
    <definedName name="__i3">#REF!</definedName>
    <definedName name="__MAO010201">#REF!</definedName>
    <definedName name="__MAO010202">#REF!</definedName>
    <definedName name="__MAO010205">#REF!</definedName>
    <definedName name="__MAO010206">#REF!</definedName>
    <definedName name="__MAO010210">#REF!</definedName>
    <definedName name="__MAO010401">#REF!</definedName>
    <definedName name="__MAO010402">#REF!</definedName>
    <definedName name="__MAO010407">#REF!</definedName>
    <definedName name="__MAO010413">#REF!</definedName>
    <definedName name="__MAO010501">#REF!</definedName>
    <definedName name="__MAO010503">#REF!</definedName>
    <definedName name="__MAO010505">#REF!</definedName>
    <definedName name="__MAO010509">#REF!</definedName>
    <definedName name="__MAO010512">#REF!</definedName>
    <definedName name="__MAO010518">#REF!</definedName>
    <definedName name="__MAO010519">#REF!</definedName>
    <definedName name="__MAO010521">#REF!</definedName>
    <definedName name="__MAO010523">#REF!</definedName>
    <definedName name="__MAO010532">#REF!</definedName>
    <definedName name="__MAO010533">#REF!</definedName>
    <definedName name="__MAO010536">#REF!</definedName>
    <definedName name="__MAO010701">#REF!</definedName>
    <definedName name="__MAO010703">#REF!</definedName>
    <definedName name="__MAO010705">#REF!</definedName>
    <definedName name="__MAO010708">#REF!</definedName>
    <definedName name="__MAO010710">#REF!</definedName>
    <definedName name="__MAO010712">#REF!</definedName>
    <definedName name="__MAO010717">#REF!</definedName>
    <definedName name="__MAO020201">#REF!</definedName>
    <definedName name="__MAO020205">#REF!</definedName>
    <definedName name="__MAO020211">#REF!</definedName>
    <definedName name="__MAO020217">#REF!</definedName>
    <definedName name="__MAO030102">#REF!</definedName>
    <definedName name="__MAO030201">#REF!</definedName>
    <definedName name="__MAO030303">#REF!</definedName>
    <definedName name="__MAO030317">#REF!</definedName>
    <definedName name="__MAO040101">#REF!</definedName>
    <definedName name="__MAO040202">#REF!</definedName>
    <definedName name="__MAO050103">#REF!</definedName>
    <definedName name="__MAO050207">#REF!</definedName>
    <definedName name="__MAO060101">#REF!</definedName>
    <definedName name="__MAO080310">#REF!</definedName>
    <definedName name="__MAO090101">#REF!</definedName>
    <definedName name="__MAO110101">#REF!</definedName>
    <definedName name="__MAO110104">#REF!</definedName>
    <definedName name="__MAO110107">#REF!</definedName>
    <definedName name="__MAO120101">#REF!</definedName>
    <definedName name="__MAO120105">#REF!</definedName>
    <definedName name="__MAO120106">#REF!</definedName>
    <definedName name="__MAO120107">#REF!</definedName>
    <definedName name="__MAO120110">#REF!</definedName>
    <definedName name="__MAO120150">#REF!</definedName>
    <definedName name="__MAO130101">#REF!</definedName>
    <definedName name="__MAO130103">#REF!</definedName>
    <definedName name="__MAO130304">#REF!</definedName>
    <definedName name="__MAO130401">#REF!</definedName>
    <definedName name="__MAO140102">#REF!</definedName>
    <definedName name="__MAO140109">#REF!</definedName>
    <definedName name="__MAO140113">#REF!</definedName>
    <definedName name="__MAO140122">#REF!</definedName>
    <definedName name="__MAO140126">#REF!</definedName>
    <definedName name="__MAO140129">#REF!</definedName>
    <definedName name="__MAO140135">#REF!</definedName>
    <definedName name="__MAO140143">#REF!</definedName>
    <definedName name="__MAO140145">#REF!</definedName>
    <definedName name="__MAT010301">#REF!</definedName>
    <definedName name="__MAT010401">#REF!</definedName>
    <definedName name="__MAT010402">#REF!</definedName>
    <definedName name="__MAT010407">#REF!</definedName>
    <definedName name="__MAT010413">#REF!</definedName>
    <definedName name="__MAT010536">#REF!</definedName>
    <definedName name="__MAT010703">#REF!</definedName>
    <definedName name="__MAT010708">#REF!</definedName>
    <definedName name="__MAT010710">#REF!</definedName>
    <definedName name="__MAT010718">#REF!</definedName>
    <definedName name="__MAT020201">#REF!</definedName>
    <definedName name="__MAT020205">#REF!</definedName>
    <definedName name="__MAT020211">#REF!</definedName>
    <definedName name="__MAT030102">#REF!</definedName>
    <definedName name="__MAT030201">#REF!</definedName>
    <definedName name="__MAT030303">#REF!</definedName>
    <definedName name="__MAT030317">#REF!</definedName>
    <definedName name="__MAT040101">#REF!</definedName>
    <definedName name="__MAT040202">#REF!</definedName>
    <definedName name="__MAT050103">#REF!</definedName>
    <definedName name="__MAT050207">#REF!</definedName>
    <definedName name="__MAT060101">#REF!</definedName>
    <definedName name="__MAT080101">#REF!</definedName>
    <definedName name="__MAT080310">#REF!</definedName>
    <definedName name="__MAT090101">#REF!</definedName>
    <definedName name="__MAT100302">#REF!</definedName>
    <definedName name="__MAT110101">#REF!</definedName>
    <definedName name="__MAT110104">#REF!</definedName>
    <definedName name="__MAT110107">#REF!</definedName>
    <definedName name="__MAT120101">#REF!</definedName>
    <definedName name="__MAT120105">#REF!</definedName>
    <definedName name="__MAT120106">#REF!</definedName>
    <definedName name="__MAT120107">#REF!</definedName>
    <definedName name="__MAT120110">#REF!</definedName>
    <definedName name="__MAT120150">#REF!</definedName>
    <definedName name="__MAT130101">#REF!</definedName>
    <definedName name="__MAT130103">#REF!</definedName>
    <definedName name="__MAT130304">#REF!</definedName>
    <definedName name="__MAT130401">#REF!</definedName>
    <definedName name="__MAT140102">#REF!</definedName>
    <definedName name="__MAT140109">#REF!</definedName>
    <definedName name="__MAT140113">#REF!</definedName>
    <definedName name="__MAT140122">#REF!</definedName>
    <definedName name="__MAT140126">#REF!</definedName>
    <definedName name="__MAT140129">#REF!</definedName>
    <definedName name="__MAT140135">#REF!</definedName>
    <definedName name="__MAT140143">#REF!</definedName>
    <definedName name="__MAT140145">#REF!</definedName>
    <definedName name="__MAT150130">#REF!</definedName>
    <definedName name="__MAT170101">#REF!</definedName>
    <definedName name="__MAT170102">#REF!</definedName>
    <definedName name="__MAT170103">#REF!</definedName>
    <definedName name="__PRE010201">#REF!</definedName>
    <definedName name="__PRE010202">#REF!</definedName>
    <definedName name="__PRE010205">#REF!</definedName>
    <definedName name="__PRE010206">#REF!</definedName>
    <definedName name="__PRE010210">#REF!</definedName>
    <definedName name="__PRE010301">#REF!</definedName>
    <definedName name="__PRE010401">#REF!</definedName>
    <definedName name="__PRE010402">#REF!</definedName>
    <definedName name="__PRE010407">#REF!</definedName>
    <definedName name="__PRE010413">#REF!</definedName>
    <definedName name="__PRE010501">#REF!</definedName>
    <definedName name="__PRE010503">#REF!</definedName>
    <definedName name="__PRE010505">#REF!</definedName>
    <definedName name="__PRE010509">#REF!</definedName>
    <definedName name="__PRE010512">#REF!</definedName>
    <definedName name="__PRE010518">#REF!</definedName>
    <definedName name="__PRE010519">#REF!</definedName>
    <definedName name="__PRE010521">#REF!</definedName>
    <definedName name="__PRE010523">#REF!</definedName>
    <definedName name="__PRE010532">#REF!</definedName>
    <definedName name="__PRE010533">#REF!</definedName>
    <definedName name="__PRE010536">#REF!</definedName>
    <definedName name="__PRE010701">#REF!</definedName>
    <definedName name="__PRE010703">#REF!</definedName>
    <definedName name="__PRE010705">#REF!</definedName>
    <definedName name="__PRE010708">#REF!</definedName>
    <definedName name="__PRE010710">#REF!</definedName>
    <definedName name="__PRE010712">#REF!</definedName>
    <definedName name="__PRE010717">#REF!</definedName>
    <definedName name="__PRE010718">#REF!</definedName>
    <definedName name="__PRE020201">#REF!</definedName>
    <definedName name="__PRE020205">#REF!</definedName>
    <definedName name="__PRE020211">#REF!</definedName>
    <definedName name="__PRE020217">#REF!</definedName>
    <definedName name="__PRE030102">#REF!</definedName>
    <definedName name="__PRE030201">#REF!</definedName>
    <definedName name="__PRE030303">#REF!</definedName>
    <definedName name="__PRE030317">#REF!</definedName>
    <definedName name="__PRE040101">#REF!</definedName>
    <definedName name="__PRE040202">#REF!</definedName>
    <definedName name="__PRE050103">#REF!</definedName>
    <definedName name="__PRE050207">#REF!</definedName>
    <definedName name="__PRE060101">#REF!</definedName>
    <definedName name="__PRE080101">#REF!</definedName>
    <definedName name="__PRE080310">#REF!</definedName>
    <definedName name="__PRE090101">#REF!</definedName>
    <definedName name="__PRE100302">#REF!</definedName>
    <definedName name="__PRE110101">#REF!</definedName>
    <definedName name="__PRE110104">#REF!</definedName>
    <definedName name="__PRE110107">#REF!</definedName>
    <definedName name="__PRE120101">#REF!</definedName>
    <definedName name="__PRE120105">#REF!</definedName>
    <definedName name="__PRE120106">#REF!</definedName>
    <definedName name="__PRE120107">#REF!</definedName>
    <definedName name="__PRE120110">#REF!</definedName>
    <definedName name="__PRE120150">#REF!</definedName>
    <definedName name="__PRE130101">#REF!</definedName>
    <definedName name="__PRE130103">#REF!</definedName>
    <definedName name="__PRE130304">#REF!</definedName>
    <definedName name="__PRE130401">#REF!</definedName>
    <definedName name="__PRE140102">#REF!</definedName>
    <definedName name="__PRE140109">#REF!</definedName>
    <definedName name="__PRE140113">#REF!</definedName>
    <definedName name="__PRE140122">#REF!</definedName>
    <definedName name="__PRE140126">#REF!</definedName>
    <definedName name="__PRE140129">#REF!</definedName>
    <definedName name="__PRE140135">#REF!</definedName>
    <definedName name="__PRE140143">#REF!</definedName>
    <definedName name="__PRE140145">#REF!</definedName>
    <definedName name="__PRE150130">#REF!</definedName>
    <definedName name="__PRE170101">#REF!</definedName>
    <definedName name="__PRE170102">#REF!</definedName>
    <definedName name="__PRE170103">#REF!</definedName>
    <definedName name="__QUA010201">#REF!</definedName>
    <definedName name="__QUA010202">#REF!</definedName>
    <definedName name="__QUA010205">#REF!</definedName>
    <definedName name="__QUA010206">#REF!</definedName>
    <definedName name="__QUA010210">#REF!</definedName>
    <definedName name="__QUA010301">#REF!</definedName>
    <definedName name="__QUA010401">#REF!</definedName>
    <definedName name="__QUA010402">#REF!</definedName>
    <definedName name="__QUA010407">#REF!</definedName>
    <definedName name="__QUA010413">#REF!</definedName>
    <definedName name="__QUA010501">#REF!</definedName>
    <definedName name="__QUA010503">#REF!</definedName>
    <definedName name="__QUA010505">#REF!</definedName>
    <definedName name="__QUA010509">#REF!</definedName>
    <definedName name="__QUA010512">#REF!</definedName>
    <definedName name="__QUA010518">#REF!</definedName>
    <definedName name="__QUA010519">#REF!</definedName>
    <definedName name="__QUA010521">#REF!</definedName>
    <definedName name="__QUA010523">#REF!</definedName>
    <definedName name="__QUA010532">#REF!</definedName>
    <definedName name="__QUA010533">#REF!</definedName>
    <definedName name="__QUA010536">#REF!</definedName>
    <definedName name="__QUA010701">#REF!</definedName>
    <definedName name="__QUA010703">#REF!</definedName>
    <definedName name="__QUA010705">#REF!</definedName>
    <definedName name="__QUA010708">#REF!</definedName>
    <definedName name="__QUA010710">#REF!</definedName>
    <definedName name="__QUA010712">#REF!</definedName>
    <definedName name="__QUA010717">#REF!</definedName>
    <definedName name="__QUA010718">#REF!</definedName>
    <definedName name="__QUA020201">#REF!</definedName>
    <definedName name="__QUA020205">#REF!</definedName>
    <definedName name="__QUA020211">#REF!</definedName>
    <definedName name="__QUA020217">#REF!</definedName>
    <definedName name="__QUA030102">#REF!</definedName>
    <definedName name="__QUA030201">#REF!</definedName>
    <definedName name="__QUA030303">#REF!</definedName>
    <definedName name="__QUA030317">#REF!</definedName>
    <definedName name="__QUA040101">#REF!</definedName>
    <definedName name="__QUA040202">#REF!</definedName>
    <definedName name="__QUA050103">#REF!</definedName>
    <definedName name="__QUA050207">#REF!</definedName>
    <definedName name="__QUA060101">#REF!</definedName>
    <definedName name="__QUA080101">#REF!</definedName>
    <definedName name="__QUA080310">#REF!</definedName>
    <definedName name="__QUA090101">#REF!</definedName>
    <definedName name="__QUA100302">#REF!</definedName>
    <definedName name="__QUA110101">#REF!</definedName>
    <definedName name="__QUA110104">#REF!</definedName>
    <definedName name="__QUA110107">#REF!</definedName>
    <definedName name="__QUA120101">#REF!</definedName>
    <definedName name="__QUA120105">#REF!</definedName>
    <definedName name="__QUA120106">#REF!</definedName>
    <definedName name="__QUA120107">#REF!</definedName>
    <definedName name="__QUA120110">#REF!</definedName>
    <definedName name="__QUA120150">#REF!</definedName>
    <definedName name="__QUA130101">#REF!</definedName>
    <definedName name="__QUA130103">#REF!</definedName>
    <definedName name="__QUA130304">#REF!</definedName>
    <definedName name="__QUA130401">#REF!</definedName>
    <definedName name="__QUA140102">#REF!</definedName>
    <definedName name="__QUA140109">#REF!</definedName>
    <definedName name="__QUA140113">#REF!</definedName>
    <definedName name="__QUA140122">#REF!</definedName>
    <definedName name="__QUA140126">#REF!</definedName>
    <definedName name="__QUA140129">#REF!</definedName>
    <definedName name="__QUA140135">#REF!</definedName>
    <definedName name="__QUA140143">#REF!</definedName>
    <definedName name="__QUA140145">#REF!</definedName>
    <definedName name="__QUA150130">#REF!</definedName>
    <definedName name="__QUA170101">#REF!</definedName>
    <definedName name="__QUA170102">#REF!</definedName>
    <definedName name="__QUA170103">#REF!</definedName>
    <definedName name="__R">#REF!</definedName>
    <definedName name="__REC11100">#REF!</definedName>
    <definedName name="__REC11110">#REF!</definedName>
    <definedName name="__REC11115">#REF!</definedName>
    <definedName name="__REC11125">#REF!</definedName>
    <definedName name="__REC11130">#REF!</definedName>
    <definedName name="__REC11135">#REF!</definedName>
    <definedName name="__REC11145">#REF!</definedName>
    <definedName name="__REC11150">#REF!</definedName>
    <definedName name="__REC11165">#REF!</definedName>
    <definedName name="__REC11170">#REF!</definedName>
    <definedName name="__REC11180">#REF!</definedName>
    <definedName name="__REC11185">#REF!</definedName>
    <definedName name="__REC11220">#REF!</definedName>
    <definedName name="__REC12105">#REF!</definedName>
    <definedName name="__REC12555">#REF!</definedName>
    <definedName name="__REC12570">#REF!</definedName>
    <definedName name="__REC12575">#REF!</definedName>
    <definedName name="__REC12580">#REF!</definedName>
    <definedName name="__REC12600">#REF!</definedName>
    <definedName name="__REC12610">#REF!</definedName>
    <definedName name="__REC12630">#REF!</definedName>
    <definedName name="__REC12631">#REF!</definedName>
    <definedName name="__REC12640">#REF!</definedName>
    <definedName name="__REC12645">#REF!</definedName>
    <definedName name="__REC12665">#REF!</definedName>
    <definedName name="__REC12690">#REF!</definedName>
    <definedName name="__REC12700">#REF!</definedName>
    <definedName name="__REC12710">#REF!</definedName>
    <definedName name="__REC13111">#REF!</definedName>
    <definedName name="__REC13112">#REF!</definedName>
    <definedName name="__REC13121">#REF!</definedName>
    <definedName name="__REC13720">#REF!</definedName>
    <definedName name="__REC14100">#REF!</definedName>
    <definedName name="__REC14161">#REF!</definedName>
    <definedName name="__REC14195">#REF!</definedName>
    <definedName name="__REC14205">#REF!</definedName>
    <definedName name="__REC14260">#REF!</definedName>
    <definedName name="__REC14500">#REF!</definedName>
    <definedName name="__REC14515">#REF!</definedName>
    <definedName name="__REC14555">#REF!</definedName>
    <definedName name="__REC14565">#REF!</definedName>
    <definedName name="__REC15135">#REF!</definedName>
    <definedName name="__REC15140">#REF!</definedName>
    <definedName name="__REC15195">#REF!</definedName>
    <definedName name="__REC15225">#REF!</definedName>
    <definedName name="__REC15230">#REF!</definedName>
    <definedName name="__REC15515">#REF!</definedName>
    <definedName name="__REC15560">#REF!</definedName>
    <definedName name="__REC15565">#REF!</definedName>
    <definedName name="__REC15570">#REF!</definedName>
    <definedName name="__REC15575">#REF!</definedName>
    <definedName name="__REC15583">#REF!</definedName>
    <definedName name="__REC15590">#REF!</definedName>
    <definedName name="__REC15591">#REF!</definedName>
    <definedName name="__REC15610">#REF!</definedName>
    <definedName name="__REC15625">#REF!</definedName>
    <definedName name="__REC15635">#REF!</definedName>
    <definedName name="__REC15655">#REF!</definedName>
    <definedName name="__REC15665">#REF!</definedName>
    <definedName name="__REC16515">#REF!</definedName>
    <definedName name="__REC16535">#REF!</definedName>
    <definedName name="__REC17140">#REF!</definedName>
    <definedName name="__REC19500">#REF!</definedName>
    <definedName name="__REC19501">#REF!</definedName>
    <definedName name="__REC19502">#REF!</definedName>
    <definedName name="__REC19503">#REF!</definedName>
    <definedName name="__REC19504">#REF!</definedName>
    <definedName name="__REC19505">#REF!</definedName>
    <definedName name="__REC20100">#REF!</definedName>
    <definedName name="__REC20105">#REF!</definedName>
    <definedName name="__REC20110">#REF!</definedName>
    <definedName name="__REC20115">#REF!</definedName>
    <definedName name="__REC20130">#REF!</definedName>
    <definedName name="__REC20135">#REF!</definedName>
    <definedName name="__REC20140">#REF!</definedName>
    <definedName name="__REC20145">#REF!</definedName>
    <definedName name="__REC20150">#REF!</definedName>
    <definedName name="__REC20155">#REF!</definedName>
    <definedName name="__REC20175">#REF!</definedName>
    <definedName name="__REC20185">#REF!</definedName>
    <definedName name="__REC20190">#REF!</definedName>
    <definedName name="__REC20195">#REF!</definedName>
    <definedName name="__REC20210">#REF!</definedName>
    <definedName name="__svi2">#REF!</definedName>
    <definedName name="__UNI11100">#REF!</definedName>
    <definedName name="__UNI11110">#REF!</definedName>
    <definedName name="__UNI11115">#REF!</definedName>
    <definedName name="__UNI11125">#REF!</definedName>
    <definedName name="__UNI11130">#REF!</definedName>
    <definedName name="__UNI11135">#REF!</definedName>
    <definedName name="__UNI11145">#REF!</definedName>
    <definedName name="__UNI11150">#REF!</definedName>
    <definedName name="__UNI11165">#REF!</definedName>
    <definedName name="__UNI11170">#REF!</definedName>
    <definedName name="__UNI11180">#REF!</definedName>
    <definedName name="__UNI11185">#REF!</definedName>
    <definedName name="__UNI11220">#REF!</definedName>
    <definedName name="__UNI12105">#REF!</definedName>
    <definedName name="__UNI12555">#REF!</definedName>
    <definedName name="__UNI12570">#REF!</definedName>
    <definedName name="__UNI12575">#REF!</definedName>
    <definedName name="__UNI12580">#REF!</definedName>
    <definedName name="__UNI12600">#REF!</definedName>
    <definedName name="__UNI12610">#REF!</definedName>
    <definedName name="__UNI12630">#REF!</definedName>
    <definedName name="__UNI12631">#REF!</definedName>
    <definedName name="__UNI12640">#REF!</definedName>
    <definedName name="__UNI12645">#REF!</definedName>
    <definedName name="__UNI12665">#REF!</definedName>
    <definedName name="__UNI12690">#REF!</definedName>
    <definedName name="__UNI12700">#REF!</definedName>
    <definedName name="__UNI12710">#REF!</definedName>
    <definedName name="__UNI13111">#REF!</definedName>
    <definedName name="__UNI13112">#REF!</definedName>
    <definedName name="__UNI13121">#REF!</definedName>
    <definedName name="__UNI13720">#REF!</definedName>
    <definedName name="__UNI14100">#REF!</definedName>
    <definedName name="__UNI14161">#REF!</definedName>
    <definedName name="__UNI14195">#REF!</definedName>
    <definedName name="__UNI14205">#REF!</definedName>
    <definedName name="__UNI14260">#REF!</definedName>
    <definedName name="__UNI14500">#REF!</definedName>
    <definedName name="__UNI14515">#REF!</definedName>
    <definedName name="__UNI14555">#REF!</definedName>
    <definedName name="__UNI14565">#REF!</definedName>
    <definedName name="__UNI15135">#REF!</definedName>
    <definedName name="__UNI15140">#REF!</definedName>
    <definedName name="__UNI15195">#REF!</definedName>
    <definedName name="__UNI15225">#REF!</definedName>
    <definedName name="__UNI15230">#REF!</definedName>
    <definedName name="__UNI15515">#REF!</definedName>
    <definedName name="__UNI15560">#REF!</definedName>
    <definedName name="__UNI15565">#REF!</definedName>
    <definedName name="__UNI15570">#REF!</definedName>
    <definedName name="__UNI15575">#REF!</definedName>
    <definedName name="__UNI15583">#REF!</definedName>
    <definedName name="__UNI15590">#REF!</definedName>
    <definedName name="__UNI15591">#REF!</definedName>
    <definedName name="__UNI15610">#REF!</definedName>
    <definedName name="__UNI15625">#REF!</definedName>
    <definedName name="__UNI15635">#REF!</definedName>
    <definedName name="__UNI15655">#REF!</definedName>
    <definedName name="__UNI15665">#REF!</definedName>
    <definedName name="__UNI16515">#REF!</definedName>
    <definedName name="__UNI16535">#REF!</definedName>
    <definedName name="__UNI17140">#REF!</definedName>
    <definedName name="__UNI19500">#REF!</definedName>
    <definedName name="__UNI19501">#REF!</definedName>
    <definedName name="__UNI19502">#REF!</definedName>
    <definedName name="__UNI19503">#REF!</definedName>
    <definedName name="__UNI19504">#REF!</definedName>
    <definedName name="__UNI19505">#REF!</definedName>
    <definedName name="__UNI20100">#REF!</definedName>
    <definedName name="__UNI20105">#REF!</definedName>
    <definedName name="__UNI20110">#REF!</definedName>
    <definedName name="__UNI20115">#REF!</definedName>
    <definedName name="__UNI20130">#REF!</definedName>
    <definedName name="__UNI20135">#REF!</definedName>
    <definedName name="__UNI20140">#REF!</definedName>
    <definedName name="__UNI20145">#REF!</definedName>
    <definedName name="__UNI20150">#REF!</definedName>
    <definedName name="__UNI20155">#REF!</definedName>
    <definedName name="__UNI20175">#REF!</definedName>
    <definedName name="__UNI20185">#REF!</definedName>
    <definedName name="__UNI20190">#REF!</definedName>
    <definedName name="__UNI20195">#REF!</definedName>
    <definedName name="__UNI20210">#REF!</definedName>
    <definedName name="__VAL11100">#REF!</definedName>
    <definedName name="__VAL11110">#REF!</definedName>
    <definedName name="__VAL11115">#REF!</definedName>
    <definedName name="__VAL11125">#REF!</definedName>
    <definedName name="__VAL11130">#REF!</definedName>
    <definedName name="__VAL11135">#REF!</definedName>
    <definedName name="__VAL11145">#REF!</definedName>
    <definedName name="__VAL11150">#REF!</definedName>
    <definedName name="__VAL11165">#REF!</definedName>
    <definedName name="__VAL11170">#REF!</definedName>
    <definedName name="__VAL11180">#REF!</definedName>
    <definedName name="__VAL11185">#REF!</definedName>
    <definedName name="__VAL11220">#REF!</definedName>
    <definedName name="__VAL12105">#REF!</definedName>
    <definedName name="__VAL12555">#REF!</definedName>
    <definedName name="__VAL12570">#REF!</definedName>
    <definedName name="__VAL12575">#REF!</definedName>
    <definedName name="__VAL12580">#REF!</definedName>
    <definedName name="__VAL12600">#REF!</definedName>
    <definedName name="__VAL12610">#REF!</definedName>
    <definedName name="__VAL12630">#REF!</definedName>
    <definedName name="__VAL12631">#REF!</definedName>
    <definedName name="__VAL12640">#REF!</definedName>
    <definedName name="__VAL12645">#REF!</definedName>
    <definedName name="__VAL12665">#REF!</definedName>
    <definedName name="__VAL12690">#REF!</definedName>
    <definedName name="__VAL12700">#REF!</definedName>
    <definedName name="__VAL12710">#REF!</definedName>
    <definedName name="__VAL13111">#REF!</definedName>
    <definedName name="__VAL13112">#REF!</definedName>
    <definedName name="__VAL13121">#REF!</definedName>
    <definedName name="__VAL13720">#REF!</definedName>
    <definedName name="__VAL14100">#REF!</definedName>
    <definedName name="__VAL14161">#REF!</definedName>
    <definedName name="__VAL14195">#REF!</definedName>
    <definedName name="__VAL14205">#REF!</definedName>
    <definedName name="__VAL14260">#REF!</definedName>
    <definedName name="__VAL14500">#REF!</definedName>
    <definedName name="__VAL14515">#REF!</definedName>
    <definedName name="__VAL14555">#REF!</definedName>
    <definedName name="__VAL14565">#REF!</definedName>
    <definedName name="__VAL15135">#REF!</definedName>
    <definedName name="__VAL15140">#REF!</definedName>
    <definedName name="__VAL15195">#REF!</definedName>
    <definedName name="__VAL15225">#REF!</definedName>
    <definedName name="__VAL15230">#REF!</definedName>
    <definedName name="__VAL15515">#REF!</definedName>
    <definedName name="__VAL15560">#REF!</definedName>
    <definedName name="__VAL15565">#REF!</definedName>
    <definedName name="__VAL15570">#REF!</definedName>
    <definedName name="__VAL15575">#REF!</definedName>
    <definedName name="__VAL15583">#REF!</definedName>
    <definedName name="__VAL15590">#REF!</definedName>
    <definedName name="__VAL15591">#REF!</definedName>
    <definedName name="__VAL15610">#REF!</definedName>
    <definedName name="__VAL15625">#REF!</definedName>
    <definedName name="__VAL15635">#REF!</definedName>
    <definedName name="__VAL15655">#REF!</definedName>
    <definedName name="__VAL15665">#REF!</definedName>
    <definedName name="__VAL16515">#REF!</definedName>
    <definedName name="__VAL16535">#REF!</definedName>
    <definedName name="__VAL17140">#REF!</definedName>
    <definedName name="__VAL19500">#REF!</definedName>
    <definedName name="__VAL19501">#REF!</definedName>
    <definedName name="__VAL19502">#REF!</definedName>
    <definedName name="__VAL19503">#REF!</definedName>
    <definedName name="__VAL19504">#REF!</definedName>
    <definedName name="__VAL19505">#REF!</definedName>
    <definedName name="__VAL20100">#REF!</definedName>
    <definedName name="__VAL20105">#REF!</definedName>
    <definedName name="__VAL20110">#REF!</definedName>
    <definedName name="__VAL20115">#REF!</definedName>
    <definedName name="__VAL20130">#REF!</definedName>
    <definedName name="__VAL20135">#REF!</definedName>
    <definedName name="__VAL20140">#REF!</definedName>
    <definedName name="__VAL20145">#REF!</definedName>
    <definedName name="__VAL20150">#REF!</definedName>
    <definedName name="__VAL20155">#REF!</definedName>
    <definedName name="__VAL20175">#REF!</definedName>
    <definedName name="__VAL20185">#REF!</definedName>
    <definedName name="__VAL20190">#REF!</definedName>
    <definedName name="__VAL20195">#REF!</definedName>
    <definedName name="__VAL20210">#REF!</definedName>
    <definedName name="_1Excel_BuiltIn_Print_Area_4_1">"$#REF!.$A$1:$H$12"</definedName>
    <definedName name="_A1">"$#REF!.$#REF!$#REF!"</definedName>
    <definedName name="_cab1">#REF!</definedName>
    <definedName name="_COM010201">#REF!</definedName>
    <definedName name="_COM010202">#REF!</definedName>
    <definedName name="_COM010205">#REF!</definedName>
    <definedName name="_COM010206">#REF!</definedName>
    <definedName name="_COM010210">#REF!</definedName>
    <definedName name="_COM010301">#REF!</definedName>
    <definedName name="_COM010401">#REF!</definedName>
    <definedName name="_COM010402">#REF!</definedName>
    <definedName name="_COM010407">#REF!</definedName>
    <definedName name="_COM010413">#REF!</definedName>
    <definedName name="_COM010501">#REF!</definedName>
    <definedName name="_COM010503">#REF!</definedName>
    <definedName name="_COM010505">#REF!</definedName>
    <definedName name="_COM010509">#REF!</definedName>
    <definedName name="_COM010512">#REF!</definedName>
    <definedName name="_COM010518">#REF!</definedName>
    <definedName name="_COM010519">#REF!</definedName>
    <definedName name="_COM010521">#REF!</definedName>
    <definedName name="_COM010523">#REF!</definedName>
    <definedName name="_COM010532">#REF!</definedName>
    <definedName name="_COM010533">#REF!</definedName>
    <definedName name="_COM010536">#REF!</definedName>
    <definedName name="_COM010701">#REF!</definedName>
    <definedName name="_COM010703">#REF!</definedName>
    <definedName name="_COM010705">#REF!</definedName>
    <definedName name="_COM010708">#REF!</definedName>
    <definedName name="_COM010710">#REF!</definedName>
    <definedName name="_COM010712">#REF!</definedName>
    <definedName name="_COM010717">#REF!</definedName>
    <definedName name="_COM010718">#REF!</definedName>
    <definedName name="_COM020201">#REF!</definedName>
    <definedName name="_COM020205">#REF!</definedName>
    <definedName name="_COM020211">#REF!</definedName>
    <definedName name="_COM020217">#REF!</definedName>
    <definedName name="_COM030102">#REF!</definedName>
    <definedName name="_COM030201">#REF!</definedName>
    <definedName name="_COM030303">#REF!</definedName>
    <definedName name="_COM030317">#REF!</definedName>
    <definedName name="_COM040101">#REF!</definedName>
    <definedName name="_COM040202">#REF!</definedName>
    <definedName name="_COM050103">#REF!</definedName>
    <definedName name="_COM050207">#REF!</definedName>
    <definedName name="_COM060101">#REF!</definedName>
    <definedName name="_COM080101">#REF!</definedName>
    <definedName name="_COM080310">#REF!</definedName>
    <definedName name="_COM090101">#REF!</definedName>
    <definedName name="_COM100302">#REF!</definedName>
    <definedName name="_COM110101">#REF!</definedName>
    <definedName name="_COM110104">#REF!</definedName>
    <definedName name="_COM110107">#REF!</definedName>
    <definedName name="_COM120101">#REF!</definedName>
    <definedName name="_COM120105">#REF!</definedName>
    <definedName name="_COM120106">#REF!</definedName>
    <definedName name="_COM120107">#REF!</definedName>
    <definedName name="_COM120110">#REF!</definedName>
    <definedName name="_COM120150">#REF!</definedName>
    <definedName name="_COM130101">#REF!</definedName>
    <definedName name="_COM130103">#REF!</definedName>
    <definedName name="_COM130304">#REF!</definedName>
    <definedName name="_COM130401">#REF!</definedName>
    <definedName name="_COM140102">#REF!</definedName>
    <definedName name="_COM140109">#REF!</definedName>
    <definedName name="_COM140113">#REF!</definedName>
    <definedName name="_COM140122">#REF!</definedName>
    <definedName name="_COM140126">#REF!</definedName>
    <definedName name="_COM140129">#REF!</definedName>
    <definedName name="_COM140135">#REF!</definedName>
    <definedName name="_COM140143">#REF!</definedName>
    <definedName name="_COM140145">#REF!</definedName>
    <definedName name="_COM150130">#REF!</definedName>
    <definedName name="_COM170101">#REF!</definedName>
    <definedName name="_COM170102">#REF!</definedName>
    <definedName name="_COM170103">#REF!</definedName>
    <definedName name="_xlnm._FilterDatabase" localSheetId="18" hidden="1">'1.4-Serviços Eventuais'!$A$12:$I$68</definedName>
    <definedName name="_xlnm._FilterDatabase" localSheetId="19" hidden="1">'1.4-Serviços Eventuais exemplos'!$A$12:$H$625</definedName>
    <definedName name="_xlnm._FilterDatabase" localSheetId="34" hidden="1">'Ofic. Pedreiro'!$C$1:$C$4</definedName>
    <definedName name="_xlnm._FilterDatabase" localSheetId="36" hidden="1">'Ofic. Pintor'!$C$1:$C$4</definedName>
    <definedName name="_GLB2">"$#REF!.$B$5:$G$2380"</definedName>
    <definedName name="_i">#REF!</definedName>
    <definedName name="_i3">#REF!</definedName>
    <definedName name="_l">#REF!</definedName>
    <definedName name="_MAO010201">#REF!</definedName>
    <definedName name="_MAO010202">#REF!</definedName>
    <definedName name="_MAO010205">#REF!</definedName>
    <definedName name="_MAO010206">#REF!</definedName>
    <definedName name="_MAO010210">#REF!</definedName>
    <definedName name="_MAO010401">#REF!</definedName>
    <definedName name="_MAO010402">#REF!</definedName>
    <definedName name="_MAO010407">#REF!</definedName>
    <definedName name="_MAO010413">#REF!</definedName>
    <definedName name="_MAO010501">#REF!</definedName>
    <definedName name="_MAO010503">#REF!</definedName>
    <definedName name="_MAO010505">#REF!</definedName>
    <definedName name="_MAO010509">#REF!</definedName>
    <definedName name="_MAO010512">#REF!</definedName>
    <definedName name="_MAO010518">#REF!</definedName>
    <definedName name="_MAO010519">#REF!</definedName>
    <definedName name="_MAO010521">#REF!</definedName>
    <definedName name="_MAO010523">#REF!</definedName>
    <definedName name="_MAO010532">#REF!</definedName>
    <definedName name="_MAO010533">#REF!</definedName>
    <definedName name="_MAO010536">#REF!</definedName>
    <definedName name="_MAO010701">#REF!</definedName>
    <definedName name="_MAO010703">#REF!</definedName>
    <definedName name="_MAO010705">#REF!</definedName>
    <definedName name="_MAO010708">#REF!</definedName>
    <definedName name="_MAO010710">#REF!</definedName>
    <definedName name="_MAO010712">#REF!</definedName>
    <definedName name="_MAO010717">#REF!</definedName>
    <definedName name="_MAO020201">#REF!</definedName>
    <definedName name="_MAO020205">#REF!</definedName>
    <definedName name="_MAO020211">#REF!</definedName>
    <definedName name="_MAO020217">#REF!</definedName>
    <definedName name="_MAO030102">#REF!</definedName>
    <definedName name="_MAO030201">#REF!</definedName>
    <definedName name="_MAO030303">#REF!</definedName>
    <definedName name="_MAO030317">#REF!</definedName>
    <definedName name="_MAO040101">#REF!</definedName>
    <definedName name="_MAO040202">#REF!</definedName>
    <definedName name="_MAO050103">#REF!</definedName>
    <definedName name="_MAO050207">#REF!</definedName>
    <definedName name="_MAO060101">#REF!</definedName>
    <definedName name="_MAO080310">#REF!</definedName>
    <definedName name="_MAO090101">#REF!</definedName>
    <definedName name="_MAO110101">#REF!</definedName>
    <definedName name="_MAO110104">#REF!</definedName>
    <definedName name="_MAO110107">#REF!</definedName>
    <definedName name="_MAO120101">#REF!</definedName>
    <definedName name="_MAO120105">#REF!</definedName>
    <definedName name="_MAO120106">#REF!</definedName>
    <definedName name="_MAO120107">#REF!</definedName>
    <definedName name="_MAO120110">#REF!</definedName>
    <definedName name="_MAO120150">#REF!</definedName>
    <definedName name="_MAO130101">#REF!</definedName>
    <definedName name="_MAO130103">#REF!</definedName>
    <definedName name="_MAO130304">#REF!</definedName>
    <definedName name="_MAO130401">#REF!</definedName>
    <definedName name="_MAO140102">#REF!</definedName>
    <definedName name="_MAO140109">#REF!</definedName>
    <definedName name="_MAO140113">#REF!</definedName>
    <definedName name="_MAO140122">#REF!</definedName>
    <definedName name="_MAO140126">#REF!</definedName>
    <definedName name="_MAO140129">#REF!</definedName>
    <definedName name="_MAO140135">#REF!</definedName>
    <definedName name="_MAO140143">#REF!</definedName>
    <definedName name="_MAO140145">#REF!</definedName>
    <definedName name="_MAT010301">#REF!</definedName>
    <definedName name="_MAT010401">#REF!</definedName>
    <definedName name="_MAT010402">#REF!</definedName>
    <definedName name="_MAT010407">#REF!</definedName>
    <definedName name="_MAT010413">#REF!</definedName>
    <definedName name="_MAT010536">#REF!</definedName>
    <definedName name="_MAT010703">#REF!</definedName>
    <definedName name="_MAT010708">#REF!</definedName>
    <definedName name="_MAT010710">#REF!</definedName>
    <definedName name="_MAT010718">#REF!</definedName>
    <definedName name="_MAT020201">#REF!</definedName>
    <definedName name="_MAT020205">#REF!</definedName>
    <definedName name="_MAT020211">#REF!</definedName>
    <definedName name="_MAT030102">#REF!</definedName>
    <definedName name="_MAT030201">#REF!</definedName>
    <definedName name="_MAT030303">#REF!</definedName>
    <definedName name="_MAT030317">#REF!</definedName>
    <definedName name="_MAT040101">#REF!</definedName>
    <definedName name="_MAT040202">#REF!</definedName>
    <definedName name="_MAT050103">#REF!</definedName>
    <definedName name="_MAT050207">#REF!</definedName>
    <definedName name="_MAT060101">#REF!</definedName>
    <definedName name="_MAT080101">#REF!</definedName>
    <definedName name="_MAT080310">#REF!</definedName>
    <definedName name="_MAT090101">#REF!</definedName>
    <definedName name="_MAT100302">#REF!</definedName>
    <definedName name="_MAT110101">#REF!</definedName>
    <definedName name="_MAT110104">#REF!</definedName>
    <definedName name="_MAT110107">#REF!</definedName>
    <definedName name="_MAT120101">#REF!</definedName>
    <definedName name="_MAT120105">#REF!</definedName>
    <definedName name="_MAT120106">#REF!</definedName>
    <definedName name="_MAT120107">#REF!</definedName>
    <definedName name="_MAT120110">#REF!</definedName>
    <definedName name="_MAT120150">#REF!</definedName>
    <definedName name="_MAT130101">#REF!</definedName>
    <definedName name="_MAT130103">#REF!</definedName>
    <definedName name="_MAT130304">#REF!</definedName>
    <definedName name="_MAT130401">#REF!</definedName>
    <definedName name="_MAT140102">#REF!</definedName>
    <definedName name="_MAT140109">#REF!</definedName>
    <definedName name="_MAT140113">#REF!</definedName>
    <definedName name="_MAT140122">#REF!</definedName>
    <definedName name="_MAT140126">#REF!</definedName>
    <definedName name="_MAT140129">#REF!</definedName>
    <definedName name="_MAT140135">#REF!</definedName>
    <definedName name="_MAT140143">#REF!</definedName>
    <definedName name="_MAT140145">#REF!</definedName>
    <definedName name="_MAT150130">#REF!</definedName>
    <definedName name="_MAT170101">#REF!</definedName>
    <definedName name="_MAT170102">#REF!</definedName>
    <definedName name="_MAT170103">#REF!</definedName>
    <definedName name="_PRE010201">#REF!</definedName>
    <definedName name="_PRE010202">#REF!</definedName>
    <definedName name="_PRE010205">#REF!</definedName>
    <definedName name="_PRE010206">#REF!</definedName>
    <definedName name="_PRE010210">#REF!</definedName>
    <definedName name="_PRE010301">#REF!</definedName>
    <definedName name="_PRE010401">#REF!</definedName>
    <definedName name="_PRE010402">#REF!</definedName>
    <definedName name="_PRE010407">#REF!</definedName>
    <definedName name="_PRE010413">#REF!</definedName>
    <definedName name="_PRE010501">#REF!</definedName>
    <definedName name="_PRE010503">#REF!</definedName>
    <definedName name="_PRE010505">#REF!</definedName>
    <definedName name="_PRE010509">#REF!</definedName>
    <definedName name="_PRE010512">#REF!</definedName>
    <definedName name="_PRE010518">#REF!</definedName>
    <definedName name="_PRE010519">#REF!</definedName>
    <definedName name="_PRE010521">#REF!</definedName>
    <definedName name="_PRE010523">#REF!</definedName>
    <definedName name="_PRE010532">#REF!</definedName>
    <definedName name="_PRE010533">#REF!</definedName>
    <definedName name="_PRE010536">#REF!</definedName>
    <definedName name="_PRE010701">#REF!</definedName>
    <definedName name="_PRE010703">#REF!</definedName>
    <definedName name="_PRE010705">#REF!</definedName>
    <definedName name="_PRE010708">#REF!</definedName>
    <definedName name="_PRE010710">#REF!</definedName>
    <definedName name="_PRE010712">#REF!</definedName>
    <definedName name="_PRE010717">#REF!</definedName>
    <definedName name="_PRE010718">#REF!</definedName>
    <definedName name="_PRE020201">#REF!</definedName>
    <definedName name="_PRE020205">#REF!</definedName>
    <definedName name="_PRE020211">#REF!</definedName>
    <definedName name="_PRE020217">#REF!</definedName>
    <definedName name="_PRE030102">#REF!</definedName>
    <definedName name="_PRE030201">#REF!</definedName>
    <definedName name="_PRE030303">#REF!</definedName>
    <definedName name="_PRE030317">#REF!</definedName>
    <definedName name="_PRE040101">#REF!</definedName>
    <definedName name="_PRE040202">#REF!</definedName>
    <definedName name="_PRE050103">#REF!</definedName>
    <definedName name="_PRE050207">#REF!</definedName>
    <definedName name="_PRE060101">#REF!</definedName>
    <definedName name="_PRE080101">#REF!</definedName>
    <definedName name="_PRE080310">#REF!</definedName>
    <definedName name="_PRE090101">#REF!</definedName>
    <definedName name="_PRE100302">#REF!</definedName>
    <definedName name="_PRE110101">#REF!</definedName>
    <definedName name="_PRE110104">#REF!</definedName>
    <definedName name="_PRE110107">#REF!</definedName>
    <definedName name="_PRE120101">#REF!</definedName>
    <definedName name="_PRE120105">#REF!</definedName>
    <definedName name="_PRE120106">#REF!</definedName>
    <definedName name="_PRE120107">#REF!</definedName>
    <definedName name="_PRE120110">#REF!</definedName>
    <definedName name="_PRE120150">#REF!</definedName>
    <definedName name="_PRE130101">#REF!</definedName>
    <definedName name="_PRE130103">#REF!</definedName>
    <definedName name="_PRE130304">#REF!</definedName>
    <definedName name="_PRE130401">#REF!</definedName>
    <definedName name="_PRE140102">#REF!</definedName>
    <definedName name="_PRE140109">#REF!</definedName>
    <definedName name="_PRE140113">#REF!</definedName>
    <definedName name="_PRE140122">#REF!</definedName>
    <definedName name="_PRE140126">#REF!</definedName>
    <definedName name="_PRE140129">#REF!</definedName>
    <definedName name="_PRE140135">#REF!</definedName>
    <definedName name="_PRE140143">#REF!</definedName>
    <definedName name="_PRE140145">#REF!</definedName>
    <definedName name="_PRE150130">#REF!</definedName>
    <definedName name="_PRE170101">#REF!</definedName>
    <definedName name="_PRE170102">#REF!</definedName>
    <definedName name="_PRE170103">#REF!</definedName>
    <definedName name="_QUA010201">#REF!</definedName>
    <definedName name="_QUA010202">#REF!</definedName>
    <definedName name="_QUA010205">#REF!</definedName>
    <definedName name="_QUA010206">#REF!</definedName>
    <definedName name="_QUA010210">#REF!</definedName>
    <definedName name="_QUA010301">#REF!</definedName>
    <definedName name="_QUA010401">#REF!</definedName>
    <definedName name="_QUA010402">#REF!</definedName>
    <definedName name="_QUA010407">#REF!</definedName>
    <definedName name="_QUA010413">#REF!</definedName>
    <definedName name="_QUA010501">#REF!</definedName>
    <definedName name="_QUA010503">#REF!</definedName>
    <definedName name="_QUA010505">#REF!</definedName>
    <definedName name="_QUA010509">#REF!</definedName>
    <definedName name="_QUA010512">#REF!</definedName>
    <definedName name="_QUA010518">#REF!</definedName>
    <definedName name="_QUA010519">#REF!</definedName>
    <definedName name="_QUA010521">#REF!</definedName>
    <definedName name="_QUA010523">#REF!</definedName>
    <definedName name="_QUA010532">#REF!</definedName>
    <definedName name="_QUA010533">#REF!</definedName>
    <definedName name="_QUA010536">#REF!</definedName>
    <definedName name="_QUA010701">#REF!</definedName>
    <definedName name="_QUA010703">#REF!</definedName>
    <definedName name="_QUA010705">#REF!</definedName>
    <definedName name="_QUA010708">#REF!</definedName>
    <definedName name="_QUA010710">#REF!</definedName>
    <definedName name="_QUA010712">#REF!</definedName>
    <definedName name="_QUA010717">#REF!</definedName>
    <definedName name="_QUA010718">#REF!</definedName>
    <definedName name="_QUA020201">#REF!</definedName>
    <definedName name="_QUA020205">#REF!</definedName>
    <definedName name="_QUA020211">#REF!</definedName>
    <definedName name="_QUA020217">#REF!</definedName>
    <definedName name="_QUA030102">#REF!</definedName>
    <definedName name="_QUA030201">#REF!</definedName>
    <definedName name="_QUA030303">#REF!</definedName>
    <definedName name="_QUA030317">#REF!</definedName>
    <definedName name="_QUA040101">#REF!</definedName>
    <definedName name="_QUA040202">#REF!</definedName>
    <definedName name="_QUA050103">#REF!</definedName>
    <definedName name="_QUA050207">#REF!</definedName>
    <definedName name="_QUA060101">#REF!</definedName>
    <definedName name="_QUA080101">#REF!</definedName>
    <definedName name="_QUA080310">#REF!</definedName>
    <definedName name="_QUA090101">#REF!</definedName>
    <definedName name="_QUA100302">#REF!</definedName>
    <definedName name="_QUA110101">#REF!</definedName>
    <definedName name="_QUA110104">#REF!</definedName>
    <definedName name="_QUA110107">#REF!</definedName>
    <definedName name="_QUA120101">#REF!</definedName>
    <definedName name="_QUA120105">#REF!</definedName>
    <definedName name="_QUA120106">#REF!</definedName>
    <definedName name="_QUA120107">#REF!</definedName>
    <definedName name="_QUA120110">#REF!</definedName>
    <definedName name="_QUA120150">#REF!</definedName>
    <definedName name="_QUA130101">#REF!</definedName>
    <definedName name="_QUA130103">#REF!</definedName>
    <definedName name="_QUA130304">#REF!</definedName>
    <definedName name="_QUA130401">#REF!</definedName>
    <definedName name="_QUA140102">#REF!</definedName>
    <definedName name="_QUA140109">#REF!</definedName>
    <definedName name="_QUA140113">#REF!</definedName>
    <definedName name="_QUA140122">#REF!</definedName>
    <definedName name="_QUA140126">#REF!</definedName>
    <definedName name="_QUA140129">#REF!</definedName>
    <definedName name="_QUA140135">#REF!</definedName>
    <definedName name="_QUA140143">#REF!</definedName>
    <definedName name="_QUA140145">#REF!</definedName>
    <definedName name="_QUA150130">#REF!</definedName>
    <definedName name="_QUA170101">#REF!</definedName>
    <definedName name="_QUA170102">#REF!</definedName>
    <definedName name="_QUA170103">#REF!</definedName>
    <definedName name="_R">#REF!</definedName>
    <definedName name="_REC11100">#REF!</definedName>
    <definedName name="_REC11110">#REF!</definedName>
    <definedName name="_REC11115">#REF!</definedName>
    <definedName name="_REC11125">#REF!</definedName>
    <definedName name="_REC11130">#REF!</definedName>
    <definedName name="_REC11135">#REF!</definedName>
    <definedName name="_REC11145">#REF!</definedName>
    <definedName name="_REC11150">#REF!</definedName>
    <definedName name="_REC11165">#REF!</definedName>
    <definedName name="_REC11170">#REF!</definedName>
    <definedName name="_REC11180">#REF!</definedName>
    <definedName name="_REC11185">#REF!</definedName>
    <definedName name="_REC11220">#REF!</definedName>
    <definedName name="_REC12105">#REF!</definedName>
    <definedName name="_REC12555">#REF!</definedName>
    <definedName name="_REC12570">#REF!</definedName>
    <definedName name="_REC12575">#REF!</definedName>
    <definedName name="_REC12580">#REF!</definedName>
    <definedName name="_REC12600">#REF!</definedName>
    <definedName name="_REC12610">#REF!</definedName>
    <definedName name="_REC12630">#REF!</definedName>
    <definedName name="_REC12631">#REF!</definedName>
    <definedName name="_REC12640">#REF!</definedName>
    <definedName name="_REC12645">#REF!</definedName>
    <definedName name="_REC12665">#REF!</definedName>
    <definedName name="_REC12690">#REF!</definedName>
    <definedName name="_REC12700">#REF!</definedName>
    <definedName name="_REC12710">#REF!</definedName>
    <definedName name="_REC13111">#REF!</definedName>
    <definedName name="_REC13112">#REF!</definedName>
    <definedName name="_REC13121">#REF!</definedName>
    <definedName name="_REC13720">#REF!</definedName>
    <definedName name="_REC14100">#REF!</definedName>
    <definedName name="_REC14161">#REF!</definedName>
    <definedName name="_REC14195">#REF!</definedName>
    <definedName name="_REC14205">#REF!</definedName>
    <definedName name="_REC14260">#REF!</definedName>
    <definedName name="_REC14500">#REF!</definedName>
    <definedName name="_REC14515">#REF!</definedName>
    <definedName name="_REC14555">#REF!</definedName>
    <definedName name="_REC14565">#REF!</definedName>
    <definedName name="_REC15135">#REF!</definedName>
    <definedName name="_REC15140">#REF!</definedName>
    <definedName name="_REC15195">#REF!</definedName>
    <definedName name="_REC15225">#REF!</definedName>
    <definedName name="_REC15230">#REF!</definedName>
    <definedName name="_REC15515">#REF!</definedName>
    <definedName name="_REC15560">#REF!</definedName>
    <definedName name="_REC15565">#REF!</definedName>
    <definedName name="_REC15570">#REF!</definedName>
    <definedName name="_REC15575">#REF!</definedName>
    <definedName name="_REC15583">#REF!</definedName>
    <definedName name="_REC15590">#REF!</definedName>
    <definedName name="_REC15591">#REF!</definedName>
    <definedName name="_REC15610">#REF!</definedName>
    <definedName name="_REC15625">#REF!</definedName>
    <definedName name="_REC15635">#REF!</definedName>
    <definedName name="_REC15655">#REF!</definedName>
    <definedName name="_REC15665">#REF!</definedName>
    <definedName name="_REC16515">#REF!</definedName>
    <definedName name="_REC16535">#REF!</definedName>
    <definedName name="_REC17140">#REF!</definedName>
    <definedName name="_REC19500">#REF!</definedName>
    <definedName name="_REC19501">#REF!</definedName>
    <definedName name="_REC19502">#REF!</definedName>
    <definedName name="_REC19503">#REF!</definedName>
    <definedName name="_REC19504">#REF!</definedName>
    <definedName name="_REC19505">#REF!</definedName>
    <definedName name="_REC20100">#REF!</definedName>
    <definedName name="_REC20105">#REF!</definedName>
    <definedName name="_REC20110">#REF!</definedName>
    <definedName name="_REC20115">#REF!</definedName>
    <definedName name="_REC20130">#REF!</definedName>
    <definedName name="_REC20135">#REF!</definedName>
    <definedName name="_REC20140">#REF!</definedName>
    <definedName name="_REC20145">#REF!</definedName>
    <definedName name="_REC20150">#REF!</definedName>
    <definedName name="_REC20155">#REF!</definedName>
    <definedName name="_REC20175">#REF!</definedName>
    <definedName name="_REC20185">#REF!</definedName>
    <definedName name="_REC20190">#REF!</definedName>
    <definedName name="_REC20195">#REF!</definedName>
    <definedName name="_REC20210">#REF!</definedName>
    <definedName name="_s">#REF!</definedName>
    <definedName name="_svi2">"$#REF!.$B$5:$F$103"</definedName>
    <definedName name="_t">#REF!</definedName>
    <definedName name="_UNI11100">#REF!</definedName>
    <definedName name="_UNI11110">#REF!</definedName>
    <definedName name="_UNI11115">#REF!</definedName>
    <definedName name="_UNI11125">#REF!</definedName>
    <definedName name="_UNI11130">#REF!</definedName>
    <definedName name="_UNI11135">#REF!</definedName>
    <definedName name="_UNI11145">#REF!</definedName>
    <definedName name="_UNI11150">#REF!</definedName>
    <definedName name="_UNI11165">#REF!</definedName>
    <definedName name="_UNI11170">#REF!</definedName>
    <definedName name="_UNI11180">#REF!</definedName>
    <definedName name="_UNI11185">#REF!</definedName>
    <definedName name="_UNI11220">#REF!</definedName>
    <definedName name="_UNI12105">#REF!</definedName>
    <definedName name="_UNI12555">#REF!</definedName>
    <definedName name="_UNI12570">#REF!</definedName>
    <definedName name="_UNI12575">#REF!</definedName>
    <definedName name="_UNI12580">#REF!</definedName>
    <definedName name="_UNI12600">#REF!</definedName>
    <definedName name="_UNI12610">#REF!</definedName>
    <definedName name="_UNI12630">#REF!</definedName>
    <definedName name="_UNI12631">#REF!</definedName>
    <definedName name="_UNI12640">#REF!</definedName>
    <definedName name="_UNI12645">#REF!</definedName>
    <definedName name="_UNI12665">#REF!</definedName>
    <definedName name="_UNI12690">#REF!</definedName>
    <definedName name="_UNI12700">#REF!</definedName>
    <definedName name="_UNI12710">#REF!</definedName>
    <definedName name="_UNI13111">#REF!</definedName>
    <definedName name="_UNI13112">#REF!</definedName>
    <definedName name="_UNI13121">#REF!</definedName>
    <definedName name="_UNI13720">#REF!</definedName>
    <definedName name="_UNI14100">#REF!</definedName>
    <definedName name="_UNI14161">#REF!</definedName>
    <definedName name="_UNI14195">#REF!</definedName>
    <definedName name="_UNI14205">#REF!</definedName>
    <definedName name="_UNI14260">#REF!</definedName>
    <definedName name="_UNI14500">#REF!</definedName>
    <definedName name="_UNI14515">#REF!</definedName>
    <definedName name="_UNI14555">#REF!</definedName>
    <definedName name="_UNI14565">#REF!</definedName>
    <definedName name="_UNI15135">#REF!</definedName>
    <definedName name="_UNI15140">#REF!</definedName>
    <definedName name="_UNI15195">#REF!</definedName>
    <definedName name="_UNI15225">#REF!</definedName>
    <definedName name="_UNI15230">#REF!</definedName>
    <definedName name="_UNI15515">#REF!</definedName>
    <definedName name="_UNI15560">#REF!</definedName>
    <definedName name="_UNI15565">#REF!</definedName>
    <definedName name="_UNI15570">#REF!</definedName>
    <definedName name="_UNI15575">#REF!</definedName>
    <definedName name="_UNI15583">#REF!</definedName>
    <definedName name="_UNI15590">#REF!</definedName>
    <definedName name="_UNI15591">#REF!</definedName>
    <definedName name="_UNI15610">#REF!</definedName>
    <definedName name="_UNI15625">#REF!</definedName>
    <definedName name="_UNI15635">#REF!</definedName>
    <definedName name="_UNI15655">#REF!</definedName>
    <definedName name="_UNI15665">#REF!</definedName>
    <definedName name="_UNI16515">#REF!</definedName>
    <definedName name="_UNI16535">#REF!</definedName>
    <definedName name="_UNI17140">#REF!</definedName>
    <definedName name="_UNI19500">#REF!</definedName>
    <definedName name="_UNI19501">#REF!</definedName>
    <definedName name="_UNI19502">#REF!</definedName>
    <definedName name="_UNI19503">#REF!</definedName>
    <definedName name="_UNI19504">#REF!</definedName>
    <definedName name="_UNI19505">#REF!</definedName>
    <definedName name="_UNI20100">#REF!</definedName>
    <definedName name="_UNI20105">#REF!</definedName>
    <definedName name="_UNI20110">#REF!</definedName>
    <definedName name="_UNI20115">#REF!</definedName>
    <definedName name="_UNI20130">#REF!</definedName>
    <definedName name="_UNI20135">#REF!</definedName>
    <definedName name="_UNI20140">#REF!</definedName>
    <definedName name="_UNI20145">#REF!</definedName>
    <definedName name="_UNI20150">#REF!</definedName>
    <definedName name="_UNI20155">#REF!</definedName>
    <definedName name="_UNI20175">#REF!</definedName>
    <definedName name="_UNI20190">#REF!</definedName>
    <definedName name="_UNI20195">#REF!</definedName>
    <definedName name="_UNI20210">#REF!</definedName>
    <definedName name="_VAL11100">#REF!</definedName>
    <definedName name="_VAL11110">#REF!</definedName>
    <definedName name="_VAL11115">#REF!</definedName>
    <definedName name="_VAL11125">#REF!</definedName>
    <definedName name="_VAL11130">#REF!</definedName>
    <definedName name="_VAL11135">#REF!</definedName>
    <definedName name="_VAL11145">#REF!</definedName>
    <definedName name="_VAL11150">#REF!</definedName>
    <definedName name="_VAL11165">#REF!</definedName>
    <definedName name="_VAL11170">#REF!</definedName>
    <definedName name="_VAL11180">#REF!</definedName>
    <definedName name="_VAL11185">#REF!</definedName>
    <definedName name="_VAL11220">#REF!</definedName>
    <definedName name="_VAL12105">#REF!</definedName>
    <definedName name="_VAL12555">#REF!</definedName>
    <definedName name="_VAL12570">#REF!</definedName>
    <definedName name="_VAL12575">#REF!</definedName>
    <definedName name="_VAL12580">#REF!</definedName>
    <definedName name="_VAL12600">#REF!</definedName>
    <definedName name="_VAL12610">#REF!</definedName>
    <definedName name="_VAL12630">#REF!</definedName>
    <definedName name="_VAL12631">#REF!</definedName>
    <definedName name="_VAL12640">#REF!</definedName>
    <definedName name="_VAL12645">#REF!</definedName>
    <definedName name="_VAL12665">#REF!</definedName>
    <definedName name="_VAL12690">#REF!</definedName>
    <definedName name="_VAL12700">#REF!</definedName>
    <definedName name="_VAL12710">#REF!</definedName>
    <definedName name="_VAL13111">#REF!</definedName>
    <definedName name="_VAL13112">#REF!</definedName>
    <definedName name="_VAL13121">#REF!</definedName>
    <definedName name="_VAL13720">#REF!</definedName>
    <definedName name="_VAL14100">#REF!</definedName>
    <definedName name="_VAL14161">#REF!</definedName>
    <definedName name="_VAL14195">#REF!</definedName>
    <definedName name="_VAL14205">#REF!</definedName>
    <definedName name="_VAL14260">#REF!</definedName>
    <definedName name="_VAL14500">#REF!</definedName>
    <definedName name="_VAL14515">#REF!</definedName>
    <definedName name="_VAL14555">#REF!</definedName>
    <definedName name="_VAL14565">#REF!</definedName>
    <definedName name="_VAL15135">#REF!</definedName>
    <definedName name="_VAL15140">#REF!</definedName>
    <definedName name="_VAL15195">#REF!</definedName>
    <definedName name="_VAL15225">#REF!</definedName>
    <definedName name="_VAL15230">#REF!</definedName>
    <definedName name="_VAL15515">#REF!</definedName>
    <definedName name="_VAL15560">#REF!</definedName>
    <definedName name="_VAL15565">#REF!</definedName>
    <definedName name="_VAL15570">#REF!</definedName>
    <definedName name="_VAL15575">#REF!</definedName>
    <definedName name="_VAL15583">#REF!</definedName>
    <definedName name="_VAL15590">#REF!</definedName>
    <definedName name="_VAL15591">#REF!</definedName>
    <definedName name="_VAL15610">#REF!</definedName>
    <definedName name="_VAL15625">#REF!</definedName>
    <definedName name="_VAL15635">#REF!</definedName>
    <definedName name="_VAL15655">#REF!</definedName>
    <definedName name="_VAL15665">#REF!</definedName>
    <definedName name="_VAL16515">#REF!</definedName>
    <definedName name="_VAL16535">#REF!</definedName>
    <definedName name="_VAL17140">#REF!</definedName>
    <definedName name="_VAL19500">#REF!</definedName>
    <definedName name="_VAL19501">#REF!</definedName>
    <definedName name="_VAL19502">#REF!</definedName>
    <definedName name="_VAL19503">#REF!</definedName>
    <definedName name="_VAL19504">#REF!</definedName>
    <definedName name="_VAL19505">#REF!</definedName>
    <definedName name="_VAL20100">#REF!</definedName>
    <definedName name="_VAL20105">#REF!</definedName>
    <definedName name="_VAL20110">#REF!</definedName>
    <definedName name="_VAL20115">#REF!</definedName>
    <definedName name="_VAL20130">#REF!</definedName>
    <definedName name="_VAL20135">#REF!</definedName>
    <definedName name="_VAL20140">#REF!</definedName>
    <definedName name="_VAL20145">#REF!</definedName>
    <definedName name="_VAL20150">#REF!</definedName>
    <definedName name="_VAL20155">#REF!</definedName>
    <definedName name="_VAL20175">#REF!</definedName>
    <definedName name="_VAL20185">#REF!</definedName>
    <definedName name="_VAL20190">#REF!</definedName>
    <definedName name="_VAL20195">#REF!</definedName>
    <definedName name="_VAL20210">#REF!</definedName>
    <definedName name="A">"$#REF!.$#REF!$#REF!"</definedName>
    <definedName name="A_10">"$#REF!.$#REF!$#REF!"</definedName>
    <definedName name="A_15">#REF!</definedName>
    <definedName name="A_16">#REF!</definedName>
    <definedName name="A_17">#REF!</definedName>
    <definedName name="A_18">#REF!</definedName>
    <definedName name="A_19">#REF!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30">#REF!</definedName>
    <definedName name="A_31">#REF!</definedName>
    <definedName name="A_32">#REF!</definedName>
    <definedName name="A_33">#REF!</definedName>
    <definedName name="A_34">#REF!</definedName>
    <definedName name="A_35">#REF!</definedName>
    <definedName name="A_36">#REF!</definedName>
    <definedName name="A_38">#REF!</definedName>
    <definedName name="A1_36">#REF!</definedName>
    <definedName name="AA">#REF!</definedName>
    <definedName name="AA_36">#REF!</definedName>
    <definedName name="ANTIGA">"$#REF!.$A$4:$F$2050"</definedName>
    <definedName name="ANTIGA_10">"$#REF!.$A$4:$F$2050"</definedName>
    <definedName name="ANTIGA_15">#REF!</definedName>
    <definedName name="ANTIGA_16">#REF!</definedName>
    <definedName name="ANTIGA_17">#REF!</definedName>
    <definedName name="ANTIGA_18">#REF!</definedName>
    <definedName name="ANTIGA_19">#REF!</definedName>
    <definedName name="ANTIGA_20">#REF!</definedName>
    <definedName name="ANTIGA_21">#REF!</definedName>
    <definedName name="ANTIGA_22">#REF!</definedName>
    <definedName name="ANTIGA_23">#REF!</definedName>
    <definedName name="ANTIGA_24">#REF!</definedName>
    <definedName name="ANTIGA_25">#REF!</definedName>
    <definedName name="ANTIGA_26">#REF!</definedName>
    <definedName name="ANTIGA_27">#REF!</definedName>
    <definedName name="ANTIGA_28">#REF!</definedName>
    <definedName name="ANTIGA_29">#REF!</definedName>
    <definedName name="ANTIGA_30">#REF!</definedName>
    <definedName name="ANTIGA_31">#REF!</definedName>
    <definedName name="ANTIGA_32">#REF!</definedName>
    <definedName name="ANTIGA_33">#REF!</definedName>
    <definedName name="ANTIGA_34">#REF!</definedName>
    <definedName name="ANTIGA_35">#REF!</definedName>
    <definedName name="ANTIGA_36">#REF!</definedName>
    <definedName name="ANTIGA_38">#REF!</definedName>
    <definedName name="AR">#REF!</definedName>
    <definedName name="_xlnm.Print_Area" localSheetId="14">'1.3-Insumos'!$A$1:$J$13</definedName>
    <definedName name="_xlnm.Print_Area" localSheetId="15">'1.3-Insumos (exemplos)'!$A$1:$J$780</definedName>
    <definedName name="_xlnm.Print_Area" localSheetId="18">'1.4-Serviços Eventuais'!$A$1:$I$69</definedName>
    <definedName name="_xlnm.Print_Area" localSheetId="19">'1.4-Serviços Eventuais exemplos'!$A$1:$H$626</definedName>
    <definedName name="_xlnm.Print_Area" localSheetId="28">'Ajud. Eletricista'!$A$1:$O$47</definedName>
    <definedName name="_xlnm.Print_Area" localSheetId="23">'Assistente Eng.'!$A$1:$O$47</definedName>
    <definedName name="_xlnm.Print_Area" localSheetId="20">'BDI Comum - 1.4'!$A$1:$I$36</definedName>
    <definedName name="_xlnm.Print_Area" localSheetId="16">'BDI Diferenciado 1.2 E 1.3'!$A$1:$I$35</definedName>
    <definedName name="_xlnm.Print_Area" localSheetId="17">'BDI Equipamentos 1.3'!$A$1:$I$36</definedName>
    <definedName name="_xlnm.Print_Area" localSheetId="6">CCT!$A$1:$Z$30</definedName>
    <definedName name="_xlnm.Print_Area" localSheetId="13">'CPUs 1.2'!$A$1:$R$187</definedName>
    <definedName name="_xlnm.Print_Area" localSheetId="37">'Custo Estimativo Substituto'!$A$1:$U$36</definedName>
    <definedName name="_xlnm.Print_Area" localSheetId="7">Dados!$A$1:$S$113</definedName>
    <definedName name="_xlnm.Print_Area" localSheetId="8">Encargos!$A$1:$C$60</definedName>
    <definedName name="_xlnm.Print_Area" localSheetId="21">Engenheiro!$A$1:$O$47</definedName>
    <definedName name="_xlnm.Print_Area" localSheetId="11">EPI!$A$1:$E$268</definedName>
    <definedName name="_xlnm.Print_Area" localSheetId="10">Ferramentas!$A$1:$J$176</definedName>
    <definedName name="_xlnm.Print_Area" localSheetId="1">INSTRUÇÕES!$A$1:$Z$81</definedName>
    <definedName name="_xlnm.Print_Area" localSheetId="22">Lider!$A$1:$O$47</definedName>
    <definedName name="_xlnm.Print_Area" localSheetId="33">'Ofic Marceneiro'!$A$1:$O$47</definedName>
    <definedName name="_xlnm.Print_Area" localSheetId="27">'Ofic. Eletricista'!$A$1:$O$47</definedName>
    <definedName name="_xlnm.Print_Area" localSheetId="31">'Ofic. Eletrônico'!$A$1:$O$47</definedName>
    <definedName name="_xlnm.Print_Area" localSheetId="32">'Ofic. Encanador'!$A$1:$O$47</definedName>
    <definedName name="_xlnm.Print_Area" localSheetId="29">'Ofic. Manutenção'!$A$1:$O$47</definedName>
    <definedName name="_xlnm.Print_Area" localSheetId="36">'Ofic. Pintor'!$A$1:$O$47</definedName>
    <definedName name="_xlnm.Print_Area" localSheetId="35">'Ofic. Serralheiro'!$A$1:$O$47</definedName>
    <definedName name="_xlnm.Print_Area" localSheetId="2">'Proposta LICITANTE'!$B$2:$K$33</definedName>
    <definedName name="_xlnm.Print_Area" localSheetId="5">'Resumo_1.1'!$A$1:$AI$57</definedName>
    <definedName name="_xlnm.Print_Area" localSheetId="12">'Resumo_1.2'!$A$1:$L$59</definedName>
    <definedName name="_xlnm.Print_Area" localSheetId="4">'Salário base considerado'!$B$1:$J$24</definedName>
    <definedName name="_xlnm.Print_Area" localSheetId="3">'Tabelas de Taxonomia'!$B$1:$F$24</definedName>
    <definedName name="_xlnm.Print_Area" localSheetId="24">'Técnico Edif.'!$A$1:$O$47</definedName>
    <definedName name="_xlnm.Print_Area" localSheetId="25">'Técnico Elet. Diurno'!$A$1:$O$47</definedName>
    <definedName name="_xlnm.Print_Area" localSheetId="26">'Técnico Elet. Noturno'!$A$1:$O$47</definedName>
    <definedName name="_xlnm.Print_Area" localSheetId="9">Uniforme!$A$1:$F$33</definedName>
    <definedName name="_xlnm.Print_Area">#REF!</definedName>
    <definedName name="Área_impressão_IM">#REF!</definedName>
    <definedName name="AT">#REF!</definedName>
    <definedName name="aux">"$#REF!.$A$3:$D$235"</definedName>
    <definedName name="aux_10">"$#REF!.$A$3:$D$235"</definedName>
    <definedName name="aux_15">#REF!</definedName>
    <definedName name="aux_16">#REF!</definedName>
    <definedName name="aux_17">#REF!</definedName>
    <definedName name="aux_18">#REF!</definedName>
    <definedName name="aux_19">#REF!</definedName>
    <definedName name="aux_20">#REF!</definedName>
    <definedName name="aux_21">#REF!</definedName>
    <definedName name="aux_22">#REF!</definedName>
    <definedName name="aux_23">#REF!</definedName>
    <definedName name="aux_24">#REF!</definedName>
    <definedName name="aux_25">#REF!</definedName>
    <definedName name="aux_26">#REF!</definedName>
    <definedName name="aux_27">#REF!</definedName>
    <definedName name="aux_28">#REF!</definedName>
    <definedName name="aux_29">#REF!</definedName>
    <definedName name="aux_30">#REF!</definedName>
    <definedName name="aux_31">#REF!</definedName>
    <definedName name="aux_32">#REF!</definedName>
    <definedName name="aux_33">#REF!</definedName>
    <definedName name="aux_34">#REF!</definedName>
    <definedName name="aux_35">#REF!</definedName>
    <definedName name="aux_36">#REF!</definedName>
    <definedName name="aux_38">#REF!</definedName>
    <definedName name="auxiliar">"$#REF!.$A$1:$D$240"</definedName>
    <definedName name="auxiliar_10">"$#REF!.$A$1:$D$240"</definedName>
    <definedName name="auxiliar_15">#REF!</definedName>
    <definedName name="auxiliar_16">#REF!</definedName>
    <definedName name="auxiliar_17">#REF!</definedName>
    <definedName name="auxiliar_18">#REF!</definedName>
    <definedName name="auxiliar_19">#REF!</definedName>
    <definedName name="auxiliar_20">#REF!</definedName>
    <definedName name="auxiliar_21">#REF!</definedName>
    <definedName name="auxiliar_22">#REF!</definedName>
    <definedName name="auxiliar_23">#REF!</definedName>
    <definedName name="auxiliar_24">#REF!</definedName>
    <definedName name="auxiliar_25">#REF!</definedName>
    <definedName name="auxiliar_26">#REF!</definedName>
    <definedName name="auxiliar_27">#REF!</definedName>
    <definedName name="auxiliar_28">#REF!</definedName>
    <definedName name="auxiliar_29">#REF!</definedName>
    <definedName name="auxiliar_30">#REF!</definedName>
    <definedName name="auxiliar_31">#REF!</definedName>
    <definedName name="auxiliar_32">#REF!</definedName>
    <definedName name="auxiliar_33">#REF!</definedName>
    <definedName name="auxiliar_34">#REF!</definedName>
    <definedName name="auxiliar_35">#REF!</definedName>
    <definedName name="auxiliar_36">#REF!</definedName>
    <definedName name="auxiliar_38">#REF!</definedName>
    <definedName name="B">"$#REF!.$#REF!$#REF!"</definedName>
    <definedName name="B_10">"$#REF!.$#REF!$#REF!"</definedName>
    <definedName name="B_15">#REF!</definedName>
    <definedName name="B_16">#REF!</definedName>
    <definedName name="B_17">#REF!</definedName>
    <definedName name="B_18">#REF!</definedName>
    <definedName name="B_19">#REF!</definedName>
    <definedName name="B_20">#REF!</definedName>
    <definedName name="B_21">#REF!</definedName>
    <definedName name="B_22">#REF!</definedName>
    <definedName name="B_23">#REF!</definedName>
    <definedName name="B_36">#REF!</definedName>
    <definedName name="B_38">#REF!</definedName>
    <definedName name="BASE">#REF!</definedName>
    <definedName name="bdi">"$#REF!.$D$#REF!"</definedName>
    <definedName name="BDI.">#REF!</definedName>
    <definedName name="BDI._36">#REF!</definedName>
    <definedName name="bdi_10">"$#REF!.$D$#REF!"</definedName>
    <definedName name="bdi_15">#REF!</definedName>
    <definedName name="bdi_16">#REF!</definedName>
    <definedName name="bdi_17">#REF!</definedName>
    <definedName name="bdi_18">#REF!</definedName>
    <definedName name="bdi_19">#REF!</definedName>
    <definedName name="bdi_20">#REF!</definedName>
    <definedName name="bdi_21">#REF!</definedName>
    <definedName name="bdi_22">#REF!</definedName>
    <definedName name="bdi_23">#REF!</definedName>
    <definedName name="bdi_24">#REF!</definedName>
    <definedName name="bdi_25">#REF!</definedName>
    <definedName name="bdi_26">#REF!</definedName>
    <definedName name="bdi_27">#REF!</definedName>
    <definedName name="bdi_28">#REF!</definedName>
    <definedName name="bdi_29">#REF!</definedName>
    <definedName name="bdi_30">#REF!</definedName>
    <definedName name="bdi_31">#REF!</definedName>
    <definedName name="bdi_32">#REF!</definedName>
    <definedName name="bdi_33">#REF!</definedName>
    <definedName name="bdi_34">#REF!</definedName>
    <definedName name="bdi_35">#REF!</definedName>
    <definedName name="bdi_36">#REF!</definedName>
    <definedName name="bdi_38">#REF!</definedName>
    <definedName name="Bomba_putzmeister">"$#REF!.$B$3:$B$690"</definedName>
    <definedName name="Bomba_putzmeister_10">"$#REF!.$B$3:$B$690"</definedName>
    <definedName name="Bomba_putzmeister_15">#REF!</definedName>
    <definedName name="Bomba_putzmeister_16">#REF!</definedName>
    <definedName name="Bomba_putzmeister_17">#REF!</definedName>
    <definedName name="Bomba_putzmeister_18">#REF!</definedName>
    <definedName name="Bomba_putzmeister_19">#REF!</definedName>
    <definedName name="Bomba_putzmeister_20">#REF!</definedName>
    <definedName name="Bomba_putzmeister_21">#REF!</definedName>
    <definedName name="Bomba_putzmeister_22">#REF!</definedName>
    <definedName name="Bomba_putzmeister_23">#REF!</definedName>
    <definedName name="Bomba_putzmeister_24">#REF!</definedName>
    <definedName name="Bomba_putzmeister_25">#REF!</definedName>
    <definedName name="Bomba_putzmeister_26">#REF!</definedName>
    <definedName name="Bomba_putzmeister_27">#REF!</definedName>
    <definedName name="Bomba_putzmeister_28">#REF!</definedName>
    <definedName name="Bomba_putzmeister_29">#REF!</definedName>
    <definedName name="Bomba_putzmeister_30">#REF!</definedName>
    <definedName name="Bomba_putzmeister_31">#REF!</definedName>
    <definedName name="Bomba_putzmeister_32">#REF!</definedName>
    <definedName name="Bomba_putzmeister_33">#REF!</definedName>
    <definedName name="Bomba_putzmeister_34">#REF!</definedName>
    <definedName name="Bomba_putzmeister_35">#REF!</definedName>
    <definedName name="Bomba_putzmeister_36">#REF!</definedName>
    <definedName name="Bomba_putzmeister_38">#REF!</definedName>
    <definedName name="BS">NA()</definedName>
    <definedName name="BT">NA()</definedName>
    <definedName name="cab_cortes">#REF!</definedName>
    <definedName name="cab_dmt">#REF!</definedName>
    <definedName name="cab_limpeza">#REF!</definedName>
    <definedName name="cabmeio">#REF!</definedName>
    <definedName name="CH">#REF!</definedName>
    <definedName name="Cid">#REF!</definedName>
    <definedName name="Cidad">#REF!</definedName>
    <definedName name="CIDADE">NA()</definedName>
    <definedName name="CIDADES">NA()</definedName>
    <definedName name="Código">"$#REF!.$A$3:$A$690"</definedName>
    <definedName name="Código.">#REF!</definedName>
    <definedName name="Código._36">#REF!</definedName>
    <definedName name="Código_10">"$#REF!.$A$3:$A$690"</definedName>
    <definedName name="Código_15">#REF!</definedName>
    <definedName name="Código_16">#REF!</definedName>
    <definedName name="Código_17">#REF!</definedName>
    <definedName name="Código_18">#REF!</definedName>
    <definedName name="Código_19">#REF!</definedName>
    <definedName name="Código_20">#REF!</definedName>
    <definedName name="Código_21">#REF!</definedName>
    <definedName name="Código_22">#REF!</definedName>
    <definedName name="Código_23">#REF!</definedName>
    <definedName name="Código_24">#REF!</definedName>
    <definedName name="Código_25">#REF!</definedName>
    <definedName name="Código_26">#REF!</definedName>
    <definedName name="Código_27">#REF!</definedName>
    <definedName name="Código_28">#REF!</definedName>
    <definedName name="Código_29">#REF!</definedName>
    <definedName name="Código_30">#REF!</definedName>
    <definedName name="Código_31">#REF!</definedName>
    <definedName name="Código_32">#REF!</definedName>
    <definedName name="Código_33">#REF!</definedName>
    <definedName name="Código_34">#REF!</definedName>
    <definedName name="Código_35">#REF!</definedName>
    <definedName name="Código_36">#REF!</definedName>
    <definedName name="Código_38">#REF!</definedName>
    <definedName name="COM010201_36">#REF!</definedName>
    <definedName name="COM010202_36">#REF!</definedName>
    <definedName name="COM010205_36">#REF!</definedName>
    <definedName name="COM010206_36">#REF!</definedName>
    <definedName name="COM010210_36">#REF!</definedName>
    <definedName name="COM010301_36">#REF!</definedName>
    <definedName name="COM010401_36">#REF!</definedName>
    <definedName name="COM010402_36">#REF!</definedName>
    <definedName name="COM010407_36">#REF!</definedName>
    <definedName name="COM010413_36">#REF!</definedName>
    <definedName name="COM010501_36">#REF!</definedName>
    <definedName name="COM010503_36">#REF!</definedName>
    <definedName name="COM010505_36">#REF!</definedName>
    <definedName name="COM010509_36">#REF!</definedName>
    <definedName name="COM010512_36">#REF!</definedName>
    <definedName name="COM010518_36">#REF!</definedName>
    <definedName name="COM010519_36">#REF!</definedName>
    <definedName name="COM010521_36">#REF!</definedName>
    <definedName name="COM010523_36">#REF!</definedName>
    <definedName name="COM010532_36">#REF!</definedName>
    <definedName name="COM010533_36">#REF!</definedName>
    <definedName name="COM010536_36">#REF!</definedName>
    <definedName name="COM010701_36">#REF!</definedName>
    <definedName name="COM010703_36">#REF!</definedName>
    <definedName name="COM010705_36">#REF!</definedName>
    <definedName name="COM010708_36">#REF!</definedName>
    <definedName name="COM010710_36">#REF!</definedName>
    <definedName name="COM010712_36">#REF!</definedName>
    <definedName name="COM010717_36">#REF!</definedName>
    <definedName name="COM010718_36">#REF!</definedName>
    <definedName name="COM020201_36">#REF!</definedName>
    <definedName name="COM020205_36">#REF!</definedName>
    <definedName name="COM020211_36">#REF!</definedName>
    <definedName name="COM020217_36">#REF!</definedName>
    <definedName name="COM030102_36">#REF!</definedName>
    <definedName name="COM030201_36">#REF!</definedName>
    <definedName name="COM030303_36">#REF!</definedName>
    <definedName name="COM030317_36">#REF!</definedName>
    <definedName name="COM040101_36">#REF!</definedName>
    <definedName name="COM040202_36">#REF!</definedName>
    <definedName name="COM050103_36">#REF!</definedName>
    <definedName name="COM050207_36">#REF!</definedName>
    <definedName name="COM060101_36">#REF!</definedName>
    <definedName name="COM080101_36">#REF!</definedName>
    <definedName name="COM080310_36">#REF!</definedName>
    <definedName name="COM090101_36">#REF!</definedName>
    <definedName name="COM100302_36">#REF!</definedName>
    <definedName name="COM110101_36">#REF!</definedName>
    <definedName name="COM110104_36">#REF!</definedName>
    <definedName name="COM110107_36">#REF!</definedName>
    <definedName name="COM120101_36">#REF!</definedName>
    <definedName name="COM120105_36">#REF!</definedName>
    <definedName name="COM120106_36">#REF!</definedName>
    <definedName name="COM120107_36">#REF!</definedName>
    <definedName name="COM120110_36">#REF!</definedName>
    <definedName name="COM120150_36">#REF!</definedName>
    <definedName name="COM130101_36">#REF!</definedName>
    <definedName name="COM130103_36">#REF!</definedName>
    <definedName name="COM130304_36">#REF!</definedName>
    <definedName name="COM130401_36">#REF!</definedName>
    <definedName name="COM140102_36">#REF!</definedName>
    <definedName name="COM140109_36">#REF!</definedName>
    <definedName name="COM140113_36">#REF!</definedName>
    <definedName name="COM140122_36">#REF!</definedName>
    <definedName name="COM140126_36">#REF!</definedName>
    <definedName name="COM140129_36">#REF!</definedName>
    <definedName name="COM140135_36">#REF!</definedName>
    <definedName name="COM140143_36">#REF!</definedName>
    <definedName name="COM140145_36">#REF!</definedName>
    <definedName name="COM150130_36">#REF!</definedName>
    <definedName name="COM170101_36">#REF!</definedName>
    <definedName name="COM170102_36">#REF!</definedName>
    <definedName name="COM170103_36">#REF!</definedName>
    <definedName name="corte">"$#REF!.$B$7:$J$2380"</definedName>
    <definedName name="corte_10">"$#REF!.$B$7:$J$2380"</definedName>
    <definedName name="corte_15">#REF!</definedName>
    <definedName name="corte_16">#REF!</definedName>
    <definedName name="corte_17">#REF!</definedName>
    <definedName name="corte_18">#REF!</definedName>
    <definedName name="corte_19">#REF!</definedName>
    <definedName name="corte_20">#REF!</definedName>
    <definedName name="corte_21">#REF!</definedName>
    <definedName name="corte_22">#REF!</definedName>
    <definedName name="corte_23">#REF!</definedName>
    <definedName name="corte_24">#REF!</definedName>
    <definedName name="corte_25">#REF!</definedName>
    <definedName name="corte_26">#REF!</definedName>
    <definedName name="corte_27">#REF!</definedName>
    <definedName name="corte_28">#REF!</definedName>
    <definedName name="corte_29">#REF!</definedName>
    <definedName name="corte_30">#REF!</definedName>
    <definedName name="corte_31">#REF!</definedName>
    <definedName name="corte_32">#REF!</definedName>
    <definedName name="corte_33">#REF!</definedName>
    <definedName name="corte_34">#REF!</definedName>
    <definedName name="corte_35">#REF!</definedName>
    <definedName name="corte_36">#REF!</definedName>
    <definedName name="corte_38">#REF!</definedName>
    <definedName name="CPMF">NA()</definedName>
    <definedName name="d">NA()</definedName>
    <definedName name="data">#REF!</definedName>
    <definedName name="datasource">#REF!</definedName>
    <definedName name="datasource_36">#REF!</definedName>
    <definedName name="densidade_cap">#REF!</definedName>
    <definedName name="DES">#REF!</definedName>
    <definedName name="DES_36">#REF!</definedName>
    <definedName name="DF">#REF!</definedName>
    <definedName name="DMT_0_50">#REF!</definedName>
    <definedName name="DMT_1000">#REF!</definedName>
    <definedName name="DMT_200">#REF!</definedName>
    <definedName name="DMT_200_400">#REF!</definedName>
    <definedName name="DMT_400">#REF!</definedName>
    <definedName name="DMT_400_600">#REF!</definedName>
    <definedName name="DMT_50">#REF!</definedName>
    <definedName name="DMT_50_200">#REF!</definedName>
    <definedName name="DMT_600">#REF!</definedName>
    <definedName name="DMT_800">#REF!</definedName>
    <definedName name="drena">#REF!</definedName>
    <definedName name="Empolamento">#REF!</definedName>
    <definedName name="ENCARGOS">NA()</definedName>
    <definedName name="eprd_cod">#REF!</definedName>
    <definedName name="eprd_cod_36">#REF!</definedName>
    <definedName name="EPVT">"$#REF!.$B$5:$G$2408"</definedName>
    <definedName name="EPVT_10">"$#REF!.$B$5:$G$2408"</definedName>
    <definedName name="EPVT_15">#REF!</definedName>
    <definedName name="EPVT_16">#REF!</definedName>
    <definedName name="EPVT_17">#REF!</definedName>
    <definedName name="EPVT_18">#REF!</definedName>
    <definedName name="EPVT_19">#REF!</definedName>
    <definedName name="EPVT_20">#REF!</definedName>
    <definedName name="EPVT_21">#REF!</definedName>
    <definedName name="EPVT_22">#REF!</definedName>
    <definedName name="EPVT_23">#REF!</definedName>
    <definedName name="EPVT_24">#REF!</definedName>
    <definedName name="EPVT_25">#REF!</definedName>
    <definedName name="EPVT_26">#REF!</definedName>
    <definedName name="EPVT_27">#REF!</definedName>
    <definedName name="EPVT_28">#REF!</definedName>
    <definedName name="EPVT_29">#REF!</definedName>
    <definedName name="EPVT_30">#REF!</definedName>
    <definedName name="EPVT_31">#REF!</definedName>
    <definedName name="EPVT_32">#REF!</definedName>
    <definedName name="EPVT_33">#REF!</definedName>
    <definedName name="EPVT_34">#REF!</definedName>
    <definedName name="EPVT_35">#REF!</definedName>
    <definedName name="EPVT_36">#REF!</definedName>
    <definedName name="EPVT_38">#REF!</definedName>
    <definedName name="EQPTO">"$#REF!.$A$10:$M$14"</definedName>
    <definedName name="EQPTO_10">"$#REF!.$A$10:$M$14"</definedName>
    <definedName name="EQPTO_15">#REF!</definedName>
    <definedName name="EQPTO_16">#REF!</definedName>
    <definedName name="EQPTO_17">#REF!</definedName>
    <definedName name="EQPTO_18">#REF!</definedName>
    <definedName name="EQPTO_19">#REF!</definedName>
    <definedName name="EQPTO_20">#REF!</definedName>
    <definedName name="EQPTO_21">#REF!</definedName>
    <definedName name="EQPTO_22">#REF!</definedName>
    <definedName name="EQPTO_23">#REF!</definedName>
    <definedName name="EQPTO_24">#REF!</definedName>
    <definedName name="EQPTO_25">#REF!</definedName>
    <definedName name="EQPTO_26">#REF!</definedName>
    <definedName name="EQPTO_27">#REF!</definedName>
    <definedName name="EQPTO_28">#REF!</definedName>
    <definedName name="EQPTO_29">#REF!</definedName>
    <definedName name="EQPTO_30">#REF!</definedName>
    <definedName name="EQPTO_31">#REF!</definedName>
    <definedName name="EQPTO_32">#REF!</definedName>
    <definedName name="EQPTO_33">#REF!</definedName>
    <definedName name="EQPTO_34">#REF!</definedName>
    <definedName name="EQPTO_35">#REF!</definedName>
    <definedName name="EQPTO_36">#REF!</definedName>
    <definedName name="EQPTO_38">#REF!</definedName>
    <definedName name="est">"$#REF!.$B$5:$G$133"</definedName>
    <definedName name="est_10">"$#REF!.$B$5:$G$133"</definedName>
    <definedName name="est_15">#REF!</definedName>
    <definedName name="est_16">#REF!</definedName>
    <definedName name="est_17">#REF!</definedName>
    <definedName name="est_18">#REF!</definedName>
    <definedName name="est_19">#REF!</definedName>
    <definedName name="est_20">#REF!</definedName>
    <definedName name="est_21">#REF!</definedName>
    <definedName name="est_22">#REF!</definedName>
    <definedName name="est_23">#REF!</definedName>
    <definedName name="est_24">#REF!</definedName>
    <definedName name="est_25">#REF!</definedName>
    <definedName name="est_26">#REF!</definedName>
    <definedName name="est_27">#REF!</definedName>
    <definedName name="est_28">#REF!</definedName>
    <definedName name="est_29">#REF!</definedName>
    <definedName name="est_30">#REF!</definedName>
    <definedName name="est_31">#REF!</definedName>
    <definedName name="est_32">#REF!</definedName>
    <definedName name="est_33">#REF!</definedName>
    <definedName name="est_34">#REF!</definedName>
    <definedName name="est_35">#REF!</definedName>
    <definedName name="est_36">#REF!</definedName>
    <definedName name="est_38">#REF!</definedName>
    <definedName name="Excel_BuiltIn__FilterDatabase_14">#REF!</definedName>
    <definedName name="Excel_BuiltIn__FilterDatabase_3">#REF!</definedName>
    <definedName name="Excel_BuiltIn__FilterDatabase_4">"$#REF!.$A$1:$K$9"</definedName>
    <definedName name="Excel_BuiltIn_Print_Area">#REF!</definedName>
    <definedName name="Excel_BuiltIn_Print_Area_1">#REF!</definedName>
    <definedName name="Excel_BuiltIn_Print_Area_1_1">"$#REF!.$A$2:$C$99"</definedName>
    <definedName name="Excel_BuiltIn_Print_Area_2">"$#REF!.$A$1:$AO$54"</definedName>
    <definedName name="Excel_BuiltIn_Print_Area_4_1">"$#REF!.$A$1:$H$12"</definedName>
    <definedName name="Excel_BuiltIn_Print_Area_6_1">NA()</definedName>
    <definedName name="Excel_BuiltIn_Print_Area_7_1">NA()</definedName>
    <definedName name="Excel_BuiltIn_Print_Area_8_1">NA()</definedName>
    <definedName name="Excel_BuiltIn_Print_Area_9_1">NA()</definedName>
    <definedName name="Excel_BuiltIn_Print_Titles_26">"$'PLACA DE OBRA _2_'.$#REF!$#REF!:$#REF!$#REF!"</definedName>
    <definedName name="Excel_BuiltIn_Print_Titles_27">"$'AUX_CONC ESTRUTURAL _2_'.$#REF!$#REF!:$#REF!$#REF!"</definedName>
    <definedName name="Excel_BuiltIn_Print_Titles_4">"$#REF!.$A$1:$IV$9"</definedName>
    <definedName name="Excel_BuiltIn_Print_Titles_5">"$CANTEIRO.$#REF!$#REF!:$#REF!$#REF!"</definedName>
    <definedName name="Excel_BuiltIn_Print_Titles_6">"$'PLACA DE OBRA'.$#REF!$#REF!:$#REF!$#REF!"</definedName>
    <definedName name="Excel_BuiltIn_Print_Titles_7">"$'AUX_CONC ESTRUTURAL'.$#REF!$#REF!:$#REF!$#REF!"</definedName>
    <definedName name="Excel_BuiltIn_Print_Titles_8">"$PROJETOS.$#REF!$#REF!:$#REF!$#REF!"</definedName>
    <definedName name="Férias">#REF!</definedName>
    <definedName name="FINAL">"$#REF!.$B$8:$G$2045"</definedName>
    <definedName name="FINAL_10">"$#REF!.$B$8:$G$2045"</definedName>
    <definedName name="FINAL_15">#REF!</definedName>
    <definedName name="FINAL_16">#REF!</definedName>
    <definedName name="FINAL_17">#REF!</definedName>
    <definedName name="FINAL_18">#REF!</definedName>
    <definedName name="FINAL_19">#REF!</definedName>
    <definedName name="FINAL_20">#REF!</definedName>
    <definedName name="FINAL_21">#REF!</definedName>
    <definedName name="FINAL_22">#REF!</definedName>
    <definedName name="FINAL_23">#REF!</definedName>
    <definedName name="FINAL_24">#REF!</definedName>
    <definedName name="FINAL_25">#REF!</definedName>
    <definedName name="FINAL_26">#REF!</definedName>
    <definedName name="FINAL_27">#REF!</definedName>
    <definedName name="FINAL_28">#REF!</definedName>
    <definedName name="FINAL_29">#REF!</definedName>
    <definedName name="FINAL_30">#REF!</definedName>
    <definedName name="FINAL_31">#REF!</definedName>
    <definedName name="FINAL_32">#REF!</definedName>
    <definedName name="FINAL_33">#REF!</definedName>
    <definedName name="FINAL_34">#REF!</definedName>
    <definedName name="FINAL_35">#REF!</definedName>
    <definedName name="FINAL_36">#REF!</definedName>
    <definedName name="FINAL_38">#REF!</definedName>
    <definedName name="Func">#REF!</definedName>
    <definedName name="gg">#REF!</definedName>
    <definedName name="gg_36">#REF!</definedName>
    <definedName name="gipl_cod">#REF!</definedName>
    <definedName name="gipl_cod_36">#REF!</definedName>
    <definedName name="GLB2_10">"$#REF!.$B$5:$G$2380"</definedName>
    <definedName name="GLB2_15">#REF!</definedName>
    <definedName name="GLB2_16">#REF!</definedName>
    <definedName name="GLB2_17">#REF!</definedName>
    <definedName name="GLB2_18">#REF!</definedName>
    <definedName name="GLB2_19">#REF!</definedName>
    <definedName name="GLB2_20">#REF!</definedName>
    <definedName name="GLB2_21">#REF!</definedName>
    <definedName name="GLB2_22">#REF!</definedName>
    <definedName name="GLB2_23">#REF!</definedName>
    <definedName name="GLB2_24">#REF!</definedName>
    <definedName name="GLB2_25">#REF!</definedName>
    <definedName name="GLB2_26">#REF!</definedName>
    <definedName name="GLB2_27">#REF!</definedName>
    <definedName name="GLB2_28">#REF!</definedName>
    <definedName name="GLB2_29">#REF!</definedName>
    <definedName name="GLB2_30">#REF!</definedName>
    <definedName name="GLB2_31">#REF!</definedName>
    <definedName name="GLB2_32">#REF!</definedName>
    <definedName name="GLB2_33">#REF!</definedName>
    <definedName name="GLB2_34">#REF!</definedName>
    <definedName name="GLB2_35">#REF!</definedName>
    <definedName name="GLB2_36">#REF!</definedName>
    <definedName name="GLB2_38">#REF!</definedName>
    <definedName name="grt">"$#REF!.$B$5:$G$14"</definedName>
    <definedName name="grt_10">"$#REF!.$B$5:$G$14"</definedName>
    <definedName name="grt_15">#REF!</definedName>
    <definedName name="grt_16">#REF!</definedName>
    <definedName name="grt_17">#REF!</definedName>
    <definedName name="grt_18">#REF!</definedName>
    <definedName name="grt_19">#REF!</definedName>
    <definedName name="grt_20">#REF!</definedName>
    <definedName name="grt_21">#REF!</definedName>
    <definedName name="grt_22">#REF!</definedName>
    <definedName name="grt_23">#REF!</definedName>
    <definedName name="grt_24">#REF!</definedName>
    <definedName name="grt_25">#REF!</definedName>
    <definedName name="grt_26">#REF!</definedName>
    <definedName name="grt_27">#REF!</definedName>
    <definedName name="grt_28">#REF!</definedName>
    <definedName name="grt_29">#REF!</definedName>
    <definedName name="grt_30">#REF!</definedName>
    <definedName name="grt_31">#REF!</definedName>
    <definedName name="grt_32">#REF!</definedName>
    <definedName name="grt_33">#REF!</definedName>
    <definedName name="grt_34">#REF!</definedName>
    <definedName name="grt_35">#REF!</definedName>
    <definedName name="grt_36">#REF!</definedName>
    <definedName name="grt_38">#REF!</definedName>
    <definedName name="H_PCI81101_000023304_28">#REF!</definedName>
    <definedName name="i3_36">#REF!</definedName>
    <definedName name="INSAL">#REF!</definedName>
    <definedName name="INSALU">#REF!</definedName>
    <definedName name="insumos">"$#REF!.$A$3:$D$690"</definedName>
    <definedName name="insumos_10">"$#REF!.$A$3:$D$690"</definedName>
    <definedName name="insumos_15">#REF!</definedName>
    <definedName name="insumos_16">#REF!</definedName>
    <definedName name="insumos_17">#REF!</definedName>
    <definedName name="insumos_18">#REF!</definedName>
    <definedName name="insumos_19">#REF!</definedName>
    <definedName name="insumos_20">#REF!</definedName>
    <definedName name="insumos_21">#REF!</definedName>
    <definedName name="insumos_22">#REF!</definedName>
    <definedName name="insumos_23">#REF!</definedName>
    <definedName name="insumos_24">#REF!</definedName>
    <definedName name="insumos_25">#REF!</definedName>
    <definedName name="insumos_26">#REF!</definedName>
    <definedName name="insumos_27">#REF!</definedName>
    <definedName name="insumos_28">#REF!</definedName>
    <definedName name="insumos_29">#REF!</definedName>
    <definedName name="insumos_30">#REF!</definedName>
    <definedName name="insumos_31">#REF!</definedName>
    <definedName name="insumos_32">#REF!</definedName>
    <definedName name="insumos_33">#REF!</definedName>
    <definedName name="insumos_34">#REF!</definedName>
    <definedName name="insumos_35">#REF!</definedName>
    <definedName name="insumos_36">#REF!</definedName>
    <definedName name="insumos_38">#REF!</definedName>
    <definedName name="INTRA">#REF!</definedName>
    <definedName name="ISS">NA()</definedName>
    <definedName name="ITEM">"$#REF!.$A$8:$A$153"</definedName>
    <definedName name="ITEM_10">"$#REF!.$A$8:$A$153"</definedName>
    <definedName name="ITEM_15">#REF!</definedName>
    <definedName name="ITEM_16">#REF!</definedName>
    <definedName name="ITEM_17">#REF!</definedName>
    <definedName name="ITEM_18">#REF!</definedName>
    <definedName name="ITEM_19">#REF!</definedName>
    <definedName name="ITEM_20">#REF!</definedName>
    <definedName name="ITEM_21">#REF!</definedName>
    <definedName name="ITEM_22">#REF!</definedName>
    <definedName name="ITEM_23">#REF!</definedName>
    <definedName name="ITEM_24">#REF!</definedName>
    <definedName name="ITEM_25">#REF!</definedName>
    <definedName name="ITEM_26">#REF!</definedName>
    <definedName name="ITEM_27">#REF!</definedName>
    <definedName name="ITEM_28">#REF!</definedName>
    <definedName name="ITEM_29">#REF!</definedName>
    <definedName name="ITEM_30">#REF!</definedName>
    <definedName name="ITEM_31">#REF!</definedName>
    <definedName name="ITEM_32">#REF!</definedName>
    <definedName name="ITEM_33">#REF!</definedName>
    <definedName name="ITEM_34">#REF!</definedName>
    <definedName name="ITEM_35">#REF!</definedName>
    <definedName name="ITEM_36">#REF!</definedName>
    <definedName name="ITEM_38">#REF!</definedName>
    <definedName name="item10">"'file:///C:/EXCEL/CECAV/ORÇCILNI.XLS'#$Plan1.$#REF!$#REF!"</definedName>
    <definedName name="item10_10">"'file:///C:/EXCEL/CECAV/ORÇCILNI.XLS'#$Plan1.$#REF!$#REF!"</definedName>
    <definedName name="item11">"'file:///C:/EXCEL/CECAV/ORÇCILNI.XLS'#$Plan1.$#REF!$#REF!"</definedName>
    <definedName name="item11_10">"'file:///C:/EXCEL/CECAV/ORÇCILNI.XLS'#$Plan1.$#REF!$#REF!"</definedName>
    <definedName name="item13">"'file:///C:/EXCEL/CECAV/ORÇCILNI.XLS'#$Plan1.$#REF!$#REF!"</definedName>
    <definedName name="item13_10">"'file:///C:/EXCEL/CECAV/ORÇCILNI.XLS'#$Plan1.$#REF!$#REF!"</definedName>
    <definedName name="item2">"'file:///C:/EXCEL/CECAV/ORÇCILNI.XLS'#$Plan1.$#REF!$#REF!"</definedName>
    <definedName name="item2_10">"'file:///C:/EXCEL/CECAV/ORÇCILNI.XLS'#$Plan1.$#REF!$#REF!"</definedName>
    <definedName name="item5">"'file:///C:/EXCEL/CECAV/ORÇCILNI.XLS'#$Plan1.$#REF!$#REF!"</definedName>
    <definedName name="item5_10">"'file:///C:/EXCEL/CECAV/ORÇCILNI.XLS'#$Plan1.$#REF!$#REF!"</definedName>
    <definedName name="item6">"'file:///C:/EXCEL/CECAV/ORÇCILNI.XLS'#$Plan1.$#REF!$#REF!"</definedName>
    <definedName name="item6_10">"'file:///C:/EXCEL/CECAV/ORÇCILNI.XLS'#$Plan1.$#REF!$#REF!"</definedName>
    <definedName name="item9">"'file:///C:/EXCEL/CECAV/ORÇCILNI.XLS'#$Plan1.$#REF!$#REF!"</definedName>
    <definedName name="item9_10">"'file:///C:/EXCEL/CECAV/ORÇCILNI.XLS'#$Plan1.$#REF!$#REF!"</definedName>
    <definedName name="Jornada">NA()</definedName>
    <definedName name="koae">#REF!</definedName>
    <definedName name="kpavi">#REF!</definedName>
    <definedName name="kterra">#REF!</definedName>
    <definedName name="LEIS">#REF!</definedName>
    <definedName name="LEIS_36">#REF!</definedName>
    <definedName name="leis2">#REF!</definedName>
    <definedName name="MACROS">#REF!</definedName>
    <definedName name="MAO010201_36">#REF!</definedName>
    <definedName name="MAO010202_36">#REF!</definedName>
    <definedName name="MAO010205_36">#REF!</definedName>
    <definedName name="MAO010206_36">#REF!</definedName>
    <definedName name="MAO010210_36">#REF!</definedName>
    <definedName name="MAO010401_36">#REF!</definedName>
    <definedName name="MAO010402_36">#REF!</definedName>
    <definedName name="MAO010407_36">#REF!</definedName>
    <definedName name="MAO010413_36">#REF!</definedName>
    <definedName name="MAO010501_36">#REF!</definedName>
    <definedName name="MAO010503_36">#REF!</definedName>
    <definedName name="MAO010505_36">#REF!</definedName>
    <definedName name="MAO010509_36">#REF!</definedName>
    <definedName name="MAO010512_36">#REF!</definedName>
    <definedName name="MAO010518_36">#REF!</definedName>
    <definedName name="MAO010519_36">#REF!</definedName>
    <definedName name="MAO010521_36">#REF!</definedName>
    <definedName name="MAO010523_36">#REF!</definedName>
    <definedName name="MAO010532_36">#REF!</definedName>
    <definedName name="MAO010533_36">#REF!</definedName>
    <definedName name="MAO010536_36">#REF!</definedName>
    <definedName name="MAO010701_36">#REF!</definedName>
    <definedName name="MAO010703_36">#REF!</definedName>
    <definedName name="MAO010705_36">#REF!</definedName>
    <definedName name="MAO010708_36">#REF!</definedName>
    <definedName name="MAO010710_36">#REF!</definedName>
    <definedName name="MAO010712_36">#REF!</definedName>
    <definedName name="MAO010717_36">#REF!</definedName>
    <definedName name="MAO020201_36">#REF!</definedName>
    <definedName name="MAO020205_36">#REF!</definedName>
    <definedName name="MAO020211_36">#REF!</definedName>
    <definedName name="MAO020217_36">#REF!</definedName>
    <definedName name="MAO030102_36">#REF!</definedName>
    <definedName name="MAO030201_36">#REF!</definedName>
    <definedName name="MAO030303_36">#REF!</definedName>
    <definedName name="MAO030317_36">#REF!</definedName>
    <definedName name="MAO040101_36">#REF!</definedName>
    <definedName name="MAO040202_36">#REF!</definedName>
    <definedName name="MAO050103_36">#REF!</definedName>
    <definedName name="MAO050207_36">#REF!</definedName>
    <definedName name="MAO060101_36">#REF!</definedName>
    <definedName name="MAO080310_36">#REF!</definedName>
    <definedName name="MAO090101_36">#REF!</definedName>
    <definedName name="MAO110101_36">#REF!</definedName>
    <definedName name="MAO110104_36">#REF!</definedName>
    <definedName name="MAO110107_36">#REF!</definedName>
    <definedName name="MAO120101_36">#REF!</definedName>
    <definedName name="MAO120105_36">#REF!</definedName>
    <definedName name="MAO120106_36">#REF!</definedName>
    <definedName name="MAO120107_36">#REF!</definedName>
    <definedName name="MAO120110_36">#REF!</definedName>
    <definedName name="MAO120150_36">#REF!</definedName>
    <definedName name="MAO130101_36">#REF!</definedName>
    <definedName name="MAO130103_36">#REF!</definedName>
    <definedName name="MAO130304_36">#REF!</definedName>
    <definedName name="MAO130401_36">#REF!</definedName>
    <definedName name="MAO140102_36">#REF!</definedName>
    <definedName name="MAO140109_36">#REF!</definedName>
    <definedName name="MAO140113_36">#REF!</definedName>
    <definedName name="MAO140122_36">#REF!</definedName>
    <definedName name="MAO140126_36">#REF!</definedName>
    <definedName name="MAO140129_36">#REF!</definedName>
    <definedName name="MAO140135_36">#REF!</definedName>
    <definedName name="MAO140143_36">#REF!</definedName>
    <definedName name="MAO140145_36">#REF!</definedName>
    <definedName name="MAT">"$#REF!.$A$95:$D$119"</definedName>
    <definedName name="MAT_10">"$#REF!.$A$95:$D$119"</definedName>
    <definedName name="MAT_15">#REF!</definedName>
    <definedName name="MAT_16">#REF!</definedName>
    <definedName name="MAT_17">#REF!</definedName>
    <definedName name="MAT_18">#REF!</definedName>
    <definedName name="MAT_19">#REF!</definedName>
    <definedName name="MAT_20">#REF!</definedName>
    <definedName name="MAT_21">#REF!</definedName>
    <definedName name="MAT_22">#REF!</definedName>
    <definedName name="MAT_23">#REF!</definedName>
    <definedName name="MAT_24">#REF!</definedName>
    <definedName name="MAT_25">#REF!</definedName>
    <definedName name="MAT_26">#REF!</definedName>
    <definedName name="MAT_27">#REF!</definedName>
    <definedName name="MAT_28">#REF!</definedName>
    <definedName name="MAT_29">#REF!</definedName>
    <definedName name="MAT_30">#REF!</definedName>
    <definedName name="MAT_31">#REF!</definedName>
    <definedName name="MAT_32">#REF!</definedName>
    <definedName name="MAT_33">#REF!</definedName>
    <definedName name="MAT_34">#REF!</definedName>
    <definedName name="MAT_35">#REF!</definedName>
    <definedName name="MAT_36">#REF!</definedName>
    <definedName name="MAT_38">#REF!</definedName>
    <definedName name="MAT010301_36">#REF!</definedName>
    <definedName name="MAT010401_36">#REF!</definedName>
    <definedName name="MAT010402_36">#REF!</definedName>
    <definedName name="MAT010407_36">#REF!</definedName>
    <definedName name="MAT010413_36">#REF!</definedName>
    <definedName name="MAT010536_36">#REF!</definedName>
    <definedName name="MAT010703_36">#REF!</definedName>
    <definedName name="MAT010708_36">#REF!</definedName>
    <definedName name="MAT010710_36">#REF!</definedName>
    <definedName name="MAT010718_36">#REF!</definedName>
    <definedName name="MAT020201_36">#REF!</definedName>
    <definedName name="MAT020205_36">#REF!</definedName>
    <definedName name="MAT020211_36">#REF!</definedName>
    <definedName name="MAT030102_36">#REF!</definedName>
    <definedName name="MAT030201_36">#REF!</definedName>
    <definedName name="MAT030303_36">#REF!</definedName>
    <definedName name="MAT030317_36">#REF!</definedName>
    <definedName name="MAT040101_36">#REF!</definedName>
    <definedName name="MAT040202_36">#REF!</definedName>
    <definedName name="MAT050103_36">#REF!</definedName>
    <definedName name="MAT050207_36">#REF!</definedName>
    <definedName name="MAT060101_36">#REF!</definedName>
    <definedName name="MAT080101_36">#REF!</definedName>
    <definedName name="MAT080310_36">#REF!</definedName>
    <definedName name="MAT090101_36">#REF!</definedName>
    <definedName name="MAT100302_36">#REF!</definedName>
    <definedName name="MAT110101_36">#REF!</definedName>
    <definedName name="MAT110104_36">#REF!</definedName>
    <definedName name="MAT110107_36">#REF!</definedName>
    <definedName name="MAT120101_36">#REF!</definedName>
    <definedName name="MAT120105_36">#REF!</definedName>
    <definedName name="MAT120106_36">#REF!</definedName>
    <definedName name="MAT120107_36">#REF!</definedName>
    <definedName name="MAT120110_36">#REF!</definedName>
    <definedName name="MAT120150_36">#REF!</definedName>
    <definedName name="MAT130101_36">#REF!</definedName>
    <definedName name="MAT130103_36">#REF!</definedName>
    <definedName name="MAT130304_36">#REF!</definedName>
    <definedName name="MAT130401_36">#REF!</definedName>
    <definedName name="MAT140102_36">#REF!</definedName>
    <definedName name="MAT140109_36">#REF!</definedName>
    <definedName name="MAT140113_36">#REF!</definedName>
    <definedName name="MAT140122_36">#REF!</definedName>
    <definedName name="MAT140126_36">#REF!</definedName>
    <definedName name="MAT140129_36">#REF!</definedName>
    <definedName name="MAT140135_36">#REF!</definedName>
    <definedName name="MAT140143_36">#REF!</definedName>
    <definedName name="MAT140145_36">#REF!</definedName>
    <definedName name="MAT150130_36">#REF!</definedName>
    <definedName name="MAT170101_36">#REF!</definedName>
    <definedName name="MAT170102_36">#REF!</definedName>
    <definedName name="MAT170103_36">#REF!</definedName>
    <definedName name="MEIO_FIO">#REF!</definedName>
    <definedName name="MO">"$#REF!.$A$16:$M$34"</definedName>
    <definedName name="MO_10">"$#REF!.$A$16:$M$34"</definedName>
    <definedName name="MO_15">#REF!</definedName>
    <definedName name="MO_16">#REF!</definedName>
    <definedName name="MO_17">#REF!</definedName>
    <definedName name="MO_18">#REF!</definedName>
    <definedName name="MO_19">#REF!</definedName>
    <definedName name="MO_20">#REF!</definedName>
    <definedName name="MO_21">#REF!</definedName>
    <definedName name="MO_22">#REF!</definedName>
    <definedName name="MO_23">#REF!</definedName>
    <definedName name="MO_24">#REF!</definedName>
    <definedName name="MO_25">#REF!</definedName>
    <definedName name="MO_26">#REF!</definedName>
    <definedName name="MO_27">#REF!</definedName>
    <definedName name="MO_28">#REF!</definedName>
    <definedName name="MO_29">#REF!</definedName>
    <definedName name="MO_30">#REF!</definedName>
    <definedName name="MO_31">#REF!</definedName>
    <definedName name="MO_32">#REF!</definedName>
    <definedName name="MO_33">#REF!</definedName>
    <definedName name="MO_34">#REF!</definedName>
    <definedName name="MO_35">#REF!</definedName>
    <definedName name="MO_36">#REF!</definedName>
    <definedName name="MO_38">#REF!</definedName>
    <definedName name="MOE">#REF!</definedName>
    <definedName name="MOE_36">#REF!</definedName>
    <definedName name="MOH">#REF!</definedName>
    <definedName name="MOH_36">#REF!</definedName>
    <definedName name="num_linhas">#REF!</definedName>
    <definedName name="num_linhas_36">#REF!</definedName>
    <definedName name="oac">#REF!</definedName>
    <definedName name="oae">#REF!</definedName>
    <definedName name="ocom">#REF!</definedName>
    <definedName name="pavi">#REF!</definedName>
    <definedName name="Per">#REF!</definedName>
    <definedName name="PL_ABC">"$#REF!.$B$3:$B$692"</definedName>
    <definedName name="PL_ABC_10">"$#REF!.$B$3:$B$692"</definedName>
    <definedName name="PL_ABC_15">#REF!</definedName>
    <definedName name="PL_ABC_16">#REF!</definedName>
    <definedName name="PL_ABC_17">#REF!</definedName>
    <definedName name="PL_ABC_18">#REF!</definedName>
    <definedName name="PL_ABC_19">#REF!</definedName>
    <definedName name="PL_ABC_20">#REF!</definedName>
    <definedName name="PL_ABC_21">#REF!</definedName>
    <definedName name="PL_ABC_22">#REF!</definedName>
    <definedName name="PL_ABC_23">#REF!</definedName>
    <definedName name="PL_ABC_24">#REF!</definedName>
    <definedName name="PL_ABC_25">#REF!</definedName>
    <definedName name="PL_ABC_26">#REF!</definedName>
    <definedName name="PL_ABC_27">#REF!</definedName>
    <definedName name="PL_ABC_28">#REF!</definedName>
    <definedName name="PL_ABC_29">#REF!</definedName>
    <definedName name="PL_ABC_30">#REF!</definedName>
    <definedName name="PL_ABC_31">#REF!</definedName>
    <definedName name="PL_ABC_32">#REF!</definedName>
    <definedName name="PL_ABC_33">#REF!</definedName>
    <definedName name="PL_ABC_34">#REF!</definedName>
    <definedName name="PL_ABC_35">#REF!</definedName>
    <definedName name="PL_ABC_36">#REF!</definedName>
    <definedName name="PL_ABC_38">#REF!</definedName>
    <definedName name="plan275">"$#REF!.$B$5:$G$2381"</definedName>
    <definedName name="plan275_10">"$#REF!.$B$5:$G$2381"</definedName>
    <definedName name="plan275_15">#REF!</definedName>
    <definedName name="plan275_16">#REF!</definedName>
    <definedName name="plan275_17">#REF!</definedName>
    <definedName name="plan275_18">#REF!</definedName>
    <definedName name="plan275_19">#REF!</definedName>
    <definedName name="plan275_20">#REF!</definedName>
    <definedName name="plan275_21">#REF!</definedName>
    <definedName name="plan275_22">#REF!</definedName>
    <definedName name="plan275_23">#REF!</definedName>
    <definedName name="plan275_24">#REF!</definedName>
    <definedName name="plan275_25">#REF!</definedName>
    <definedName name="plan275_26">#REF!</definedName>
    <definedName name="plan275_27">#REF!</definedName>
    <definedName name="plan275_28">#REF!</definedName>
    <definedName name="plan275_29">#REF!</definedName>
    <definedName name="plan275_30">#REF!</definedName>
    <definedName name="plan275_31">#REF!</definedName>
    <definedName name="plan275_32">#REF!</definedName>
    <definedName name="plan275_33">#REF!</definedName>
    <definedName name="plan275_34">#REF!</definedName>
    <definedName name="plan275_35">#REF!</definedName>
    <definedName name="plan275_36">#REF!</definedName>
    <definedName name="plan275_38">#REF!</definedName>
    <definedName name="planilha">"$#REF!.$A$8:$H$153"</definedName>
    <definedName name="planilha_10">"$#REF!.$A$8:$H$153"</definedName>
    <definedName name="planilha_15">#REF!</definedName>
    <definedName name="planilha_16">#REF!</definedName>
    <definedName name="planilha_17">#REF!</definedName>
    <definedName name="planilha_18">#REF!</definedName>
    <definedName name="planilha_19">#REF!</definedName>
    <definedName name="planilha_20">#REF!</definedName>
    <definedName name="planilha_21">#REF!</definedName>
    <definedName name="planilha_22">#REF!</definedName>
    <definedName name="planilha_23">#REF!</definedName>
    <definedName name="planilha_24">#REF!</definedName>
    <definedName name="planilha_25">#REF!</definedName>
    <definedName name="planilha_26">#REF!</definedName>
    <definedName name="planilha_27">#REF!</definedName>
    <definedName name="planilha_28">#REF!</definedName>
    <definedName name="planilha_29">#REF!</definedName>
    <definedName name="planilha_30">#REF!</definedName>
    <definedName name="planilha_31">#REF!</definedName>
    <definedName name="planilha_32">#REF!</definedName>
    <definedName name="planilha_33">#REF!</definedName>
    <definedName name="planilha_34">#REF!</definedName>
    <definedName name="planilha_35">#REF!</definedName>
    <definedName name="planilha_36">#REF!</definedName>
    <definedName name="planilha_38">#REF!</definedName>
    <definedName name="plano">#REF!</definedName>
    <definedName name="ppt_pistas_e_patios">"$#REF!.$B$5:$G$186"</definedName>
    <definedName name="ppt_pistas_e_patios_10">"$#REF!.$B$5:$G$186"</definedName>
    <definedName name="ppt_pistas_e_patios_15">#REF!</definedName>
    <definedName name="ppt_pistas_e_patios_16">#REF!</definedName>
    <definedName name="ppt_pistas_e_patios_17">#REF!</definedName>
    <definedName name="ppt_pistas_e_patios_18">#REF!</definedName>
    <definedName name="ppt_pistas_e_patios_19">#REF!</definedName>
    <definedName name="ppt_pistas_e_patios_20">#REF!</definedName>
    <definedName name="ppt_pistas_e_patios_21">#REF!</definedName>
    <definedName name="ppt_pistas_e_patios_22">#REF!</definedName>
    <definedName name="ppt_pistas_e_patios_23">#REF!</definedName>
    <definedName name="ppt_pistas_e_patios_24">#REF!</definedName>
    <definedName name="ppt_pistas_e_patios_25">#REF!</definedName>
    <definedName name="ppt_pistas_e_patios_26">#REF!</definedName>
    <definedName name="ppt_pistas_e_patios_27">#REF!</definedName>
    <definedName name="ppt_pistas_e_patios_28">#REF!</definedName>
    <definedName name="ppt_pistas_e_patios_29">#REF!</definedName>
    <definedName name="ppt_pistas_e_patios_30">#REF!</definedName>
    <definedName name="ppt_pistas_e_patios_31">#REF!</definedName>
    <definedName name="ppt_pistas_e_patios_32">#REF!</definedName>
    <definedName name="ppt_pistas_e_patios_33">#REF!</definedName>
    <definedName name="ppt_pistas_e_patios_34">#REF!</definedName>
    <definedName name="ppt_pistas_e_patios_35">#REF!</definedName>
    <definedName name="ppt_pistas_e_patios_36">#REF!</definedName>
    <definedName name="ppt_pistas_e_patios_38">#REF!</definedName>
    <definedName name="PRE010201_36">#REF!</definedName>
    <definedName name="PRE010202_36">#REF!</definedName>
    <definedName name="PRE010205_36">#REF!</definedName>
    <definedName name="PRE010206_36">#REF!</definedName>
    <definedName name="PRE010210_36">#REF!</definedName>
    <definedName name="PRE010301_36">#REF!</definedName>
    <definedName name="PRE010401_36">#REF!</definedName>
    <definedName name="PRE010402_36">#REF!</definedName>
    <definedName name="PRE010407_36">#REF!</definedName>
    <definedName name="PRE010413_36">#REF!</definedName>
    <definedName name="PRE010501_36">#REF!</definedName>
    <definedName name="PRE010503_36">#REF!</definedName>
    <definedName name="PRE010505_36">#REF!</definedName>
    <definedName name="PRE010509_36">#REF!</definedName>
    <definedName name="PRE010512_36">#REF!</definedName>
    <definedName name="PRE010518_36">#REF!</definedName>
    <definedName name="PRE010519_36">#REF!</definedName>
    <definedName name="PRE010521_36">#REF!</definedName>
    <definedName name="PRE010523_36">#REF!</definedName>
    <definedName name="PRE010532_36">#REF!</definedName>
    <definedName name="PRE010533_36">#REF!</definedName>
    <definedName name="PRE010536_36">#REF!</definedName>
    <definedName name="PRE010701_36">#REF!</definedName>
    <definedName name="PRE010703_36">#REF!</definedName>
    <definedName name="PRE010705_36">#REF!</definedName>
    <definedName name="PRE010708_36">#REF!</definedName>
    <definedName name="PRE010710_36">#REF!</definedName>
    <definedName name="PRE010712_36">#REF!</definedName>
    <definedName name="PRE010717_36">#REF!</definedName>
    <definedName name="PRE010718_36">#REF!</definedName>
    <definedName name="PRE020201_36">#REF!</definedName>
    <definedName name="PRE020205_36">#REF!</definedName>
    <definedName name="PRE020211_36">#REF!</definedName>
    <definedName name="PRE020217_36">#REF!</definedName>
    <definedName name="PRE030102_36">#REF!</definedName>
    <definedName name="PRE030201_36">#REF!</definedName>
    <definedName name="PRE030303_36">#REF!</definedName>
    <definedName name="PRE030317_36">#REF!</definedName>
    <definedName name="PRE040101_36">#REF!</definedName>
    <definedName name="PRE040202_36">#REF!</definedName>
    <definedName name="PRE050103_36">#REF!</definedName>
    <definedName name="PRE050207_36">#REF!</definedName>
    <definedName name="PRE060101_36">#REF!</definedName>
    <definedName name="PRE080101_36">#REF!</definedName>
    <definedName name="PRE080310_36">#REF!</definedName>
    <definedName name="PRE090101_36">#REF!</definedName>
    <definedName name="PRE100302_36">#REF!</definedName>
    <definedName name="PRE110101_36">#REF!</definedName>
    <definedName name="PRE110104_36">#REF!</definedName>
    <definedName name="PRE110107_36">#REF!</definedName>
    <definedName name="PRE120101_36">#REF!</definedName>
    <definedName name="PRE120105_36">#REF!</definedName>
    <definedName name="PRE120106_36">#REF!</definedName>
    <definedName name="PRE120107_36">#REF!</definedName>
    <definedName name="PRE120110_36">#REF!</definedName>
    <definedName name="PRE120150_36">#REF!</definedName>
    <definedName name="PRE130101_36">#REF!</definedName>
    <definedName name="PRE130103_36">#REF!</definedName>
    <definedName name="PRE130304_36">#REF!</definedName>
    <definedName name="PRE130401_36">#REF!</definedName>
    <definedName name="PRE140102_36">#REF!</definedName>
    <definedName name="PRE140109_36">#REF!</definedName>
    <definedName name="PRE140113_36">#REF!</definedName>
    <definedName name="PRE140122_36">#REF!</definedName>
    <definedName name="PRE140126_36">#REF!</definedName>
    <definedName name="PRE140129_36">#REF!</definedName>
    <definedName name="PRE140135_36">#REF!</definedName>
    <definedName name="PRE140143_36">#REF!</definedName>
    <definedName name="PRE140145_36">#REF!</definedName>
    <definedName name="PRE150130_36">#REF!</definedName>
    <definedName name="PRE170101_36">#REF!</definedName>
    <definedName name="PRE170102_36">#REF!</definedName>
    <definedName name="PRE170103_36">#REF!</definedName>
    <definedName name="QUA010201_36">#REF!</definedName>
    <definedName name="QUA010202_36">#REF!</definedName>
    <definedName name="QUA010205_36">#REF!</definedName>
    <definedName name="QUA010206_36">#REF!</definedName>
    <definedName name="QUA010210_36">#REF!</definedName>
    <definedName name="QUA010301_36">#REF!</definedName>
    <definedName name="QUA010401_36">#REF!</definedName>
    <definedName name="QUA010402_36">#REF!</definedName>
    <definedName name="QUA010407_36">#REF!</definedName>
    <definedName name="QUA010413_36">#REF!</definedName>
    <definedName name="QUA010501_36">#REF!</definedName>
    <definedName name="QUA010503_36">#REF!</definedName>
    <definedName name="QUA010505_36">#REF!</definedName>
    <definedName name="QUA010509_36">#REF!</definedName>
    <definedName name="QUA010512_36">#REF!</definedName>
    <definedName name="QUA010518_36">#REF!</definedName>
    <definedName name="QUA010519_36">#REF!</definedName>
    <definedName name="QUA010521_36">#REF!</definedName>
    <definedName name="QUA010523_36">#REF!</definedName>
    <definedName name="QUA010532_36">#REF!</definedName>
    <definedName name="QUA010533_36">#REF!</definedName>
    <definedName name="QUA010536_36">#REF!</definedName>
    <definedName name="QUA010701_36">#REF!</definedName>
    <definedName name="QUA010703_36">#REF!</definedName>
    <definedName name="QUA010705_36">#REF!</definedName>
    <definedName name="QUA010708_36">#REF!</definedName>
    <definedName name="QUA010710_36">#REF!</definedName>
    <definedName name="QUA010712_36">#REF!</definedName>
    <definedName name="QUA010717_36">#REF!</definedName>
    <definedName name="QUA010718_36">#REF!</definedName>
    <definedName name="QUA020201_36">#REF!</definedName>
    <definedName name="QUA020205_36">#REF!</definedName>
    <definedName name="QUA020211_36">#REF!</definedName>
    <definedName name="QUA020217_36">#REF!</definedName>
    <definedName name="QUA030102_36">#REF!</definedName>
    <definedName name="QUA030201_36">#REF!</definedName>
    <definedName name="QUA030303_36">#REF!</definedName>
    <definedName name="QUA030317_36">#REF!</definedName>
    <definedName name="QUA040101_36">#REF!</definedName>
    <definedName name="QUA040202_36">#REF!</definedName>
    <definedName name="QUA050103_36">#REF!</definedName>
    <definedName name="QUA050207_36">#REF!</definedName>
    <definedName name="QUA060101_36">#REF!</definedName>
    <definedName name="QUA080101_36">#REF!</definedName>
    <definedName name="QUA080310_36">#REF!</definedName>
    <definedName name="QUA090101_36">#REF!</definedName>
    <definedName name="QUA100302_36">#REF!</definedName>
    <definedName name="QUA110101_36">#REF!</definedName>
    <definedName name="QUA110104_36">#REF!</definedName>
    <definedName name="QUA110107_36">#REF!</definedName>
    <definedName name="QUA120101_36">#REF!</definedName>
    <definedName name="QUA120105_36">#REF!</definedName>
    <definedName name="QUA120106_36">#REF!</definedName>
    <definedName name="QUA120107_36">#REF!</definedName>
    <definedName name="QUA120110_36">#REF!</definedName>
    <definedName name="QUA120150_36">#REF!</definedName>
    <definedName name="QUA130101_36">#REF!</definedName>
    <definedName name="QUA130103_36">#REF!</definedName>
    <definedName name="QUA130304_36">#REF!</definedName>
    <definedName name="QUA130401_36">#REF!</definedName>
    <definedName name="QUA140102_36">#REF!</definedName>
    <definedName name="QUA140109_36">#REF!</definedName>
    <definedName name="QUA140113_36">#REF!</definedName>
    <definedName name="QUA140122_36">#REF!</definedName>
    <definedName name="QUA140126_36">#REF!</definedName>
    <definedName name="QUA140129_36">#REF!</definedName>
    <definedName name="QUA140135_36">#REF!</definedName>
    <definedName name="QUA140143_36">#REF!</definedName>
    <definedName name="QUA140145_36">#REF!</definedName>
    <definedName name="QUA150130_36">#REF!</definedName>
    <definedName name="QUA170101_36">#REF!</definedName>
    <definedName name="QUA170102_36">#REF!</definedName>
    <definedName name="QUA170103_36">#REF!</definedName>
    <definedName name="QUANT_acumu">#REF!</definedName>
    <definedName name="rea">#REF!</definedName>
    <definedName name="REC11100_36">#REF!</definedName>
    <definedName name="REC11110_36">#REF!</definedName>
    <definedName name="REC11115_36">#REF!</definedName>
    <definedName name="REC11125_36">#REF!</definedName>
    <definedName name="REC11130_36">#REF!</definedName>
    <definedName name="REC11135_36">#REF!</definedName>
    <definedName name="REC11145_36">#REF!</definedName>
    <definedName name="REC11150_36">#REF!</definedName>
    <definedName name="REC11165_36">#REF!</definedName>
    <definedName name="REC11170_36">#REF!</definedName>
    <definedName name="REC11180_36">#REF!</definedName>
    <definedName name="REC11185_36">#REF!</definedName>
    <definedName name="REC11220_36">#REF!</definedName>
    <definedName name="REC12105_36">#REF!</definedName>
    <definedName name="REC12555_36">#REF!</definedName>
    <definedName name="REC12570_36">#REF!</definedName>
    <definedName name="REC12575_36">#REF!</definedName>
    <definedName name="REC12580_36">#REF!</definedName>
    <definedName name="REC12600_36">#REF!</definedName>
    <definedName name="REC12610_36">#REF!</definedName>
    <definedName name="REC12630_36">#REF!</definedName>
    <definedName name="REC12631_36">#REF!</definedName>
    <definedName name="REC12640_36">#REF!</definedName>
    <definedName name="REC12645_36">#REF!</definedName>
    <definedName name="REC12665_36">#REF!</definedName>
    <definedName name="REC12690_36">#REF!</definedName>
    <definedName name="REC12700_36">#REF!</definedName>
    <definedName name="REC12710_36">#REF!</definedName>
    <definedName name="REC13111_36">#REF!</definedName>
    <definedName name="REC13112_36">#REF!</definedName>
    <definedName name="REC13121_36">#REF!</definedName>
    <definedName name="REC13720_36">#REF!</definedName>
    <definedName name="REC14100_36">#REF!</definedName>
    <definedName name="REC14161_36">#REF!</definedName>
    <definedName name="REC14195_36">#REF!</definedName>
    <definedName name="REC14205_36">#REF!</definedName>
    <definedName name="REC14260_36">#REF!</definedName>
    <definedName name="REC14500_36">#REF!</definedName>
    <definedName name="REC14515_36">#REF!</definedName>
    <definedName name="REC14555_36">#REF!</definedName>
    <definedName name="REC14565_36">#REF!</definedName>
    <definedName name="REC15135_36">#REF!</definedName>
    <definedName name="REC15140_36">#REF!</definedName>
    <definedName name="REC15195_36">#REF!</definedName>
    <definedName name="REC15225_36">#REF!</definedName>
    <definedName name="REC15230_36">#REF!</definedName>
    <definedName name="REC15515_36">#REF!</definedName>
    <definedName name="REC15560_36">#REF!</definedName>
    <definedName name="REC15565_36">#REF!</definedName>
    <definedName name="REC15570_36">#REF!</definedName>
    <definedName name="REC15575_36">#REF!</definedName>
    <definedName name="REC15583_36">#REF!</definedName>
    <definedName name="REC15590_36">#REF!</definedName>
    <definedName name="REC15591_36">#REF!</definedName>
    <definedName name="REC15610_36">#REF!</definedName>
    <definedName name="REC15625_36">#REF!</definedName>
    <definedName name="REC15635_36">#REF!</definedName>
    <definedName name="REC15655_36">#REF!</definedName>
    <definedName name="REC15665_36">#REF!</definedName>
    <definedName name="REC16515_36">#REF!</definedName>
    <definedName name="REC16535_36">#REF!</definedName>
    <definedName name="REC17140_36">#REF!</definedName>
    <definedName name="REC19500_36">#REF!</definedName>
    <definedName name="REC19501_36">#REF!</definedName>
    <definedName name="REC19502_36">#REF!</definedName>
    <definedName name="REC19503_36">#REF!</definedName>
    <definedName name="REC19504_36">#REF!</definedName>
    <definedName name="REC19505_36">#REF!</definedName>
    <definedName name="REC20100_36">#REF!</definedName>
    <definedName name="REC20105_36">#REF!</definedName>
    <definedName name="REC20110_36">#REF!</definedName>
    <definedName name="REC20115_36">#REF!</definedName>
    <definedName name="REC20130_36">#REF!</definedName>
    <definedName name="REC20135_36">#REF!</definedName>
    <definedName name="REC20140_36">#REF!</definedName>
    <definedName name="REC20145_36">#REF!</definedName>
    <definedName name="REC20150_36">#REF!</definedName>
    <definedName name="REC20155_36">#REF!</definedName>
    <definedName name="REC20175_36">#REF!</definedName>
    <definedName name="REC20185_36">#REF!</definedName>
    <definedName name="REC20190_36">#REF!</definedName>
    <definedName name="REC20195_36">#REF!</definedName>
    <definedName name="REC20210_36">#REF!</definedName>
    <definedName name="resumo">"$#REF!.$B$10:$F$2338"</definedName>
    <definedName name="resumo_10">"$#REF!.$B$10:$F$2338"</definedName>
    <definedName name="resumo_15">#REF!</definedName>
    <definedName name="resumo_16">#REF!</definedName>
    <definedName name="resumo_17">#REF!</definedName>
    <definedName name="resumo_18">#REF!</definedName>
    <definedName name="resumo_19">#REF!</definedName>
    <definedName name="resumo_20">#REF!</definedName>
    <definedName name="resumo_21">#REF!</definedName>
    <definedName name="resumo_22">#REF!</definedName>
    <definedName name="resumo_23">#REF!</definedName>
    <definedName name="resumo_24">#REF!</definedName>
    <definedName name="resumo_25">#REF!</definedName>
    <definedName name="resumo_26">#REF!</definedName>
    <definedName name="resumo_27">#REF!</definedName>
    <definedName name="resumo_28">#REF!</definedName>
    <definedName name="resumo_29">#REF!</definedName>
    <definedName name="resumo_30">#REF!</definedName>
    <definedName name="resumo_31">#REF!</definedName>
    <definedName name="resumo_32">#REF!</definedName>
    <definedName name="resumo_33">#REF!</definedName>
    <definedName name="resumo_34">#REF!</definedName>
    <definedName name="resumo_35">#REF!</definedName>
    <definedName name="resumo_36">#REF!</definedName>
    <definedName name="resumo_38">#REF!</definedName>
    <definedName name="Serv">#REF!</definedName>
    <definedName name="SIM">#REF!</definedName>
    <definedName name="SL">#REF!</definedName>
    <definedName name="svi2_10">"$#REF!.$B$5:$F$103"</definedName>
    <definedName name="svi2_15">#REF!</definedName>
    <definedName name="svi2_16">#REF!</definedName>
    <definedName name="svi2_17">#REF!</definedName>
    <definedName name="svi2_18">#REF!</definedName>
    <definedName name="svi2_19">#REF!</definedName>
    <definedName name="svi2_20">#REF!</definedName>
    <definedName name="svi2_21">#REF!</definedName>
    <definedName name="svi2_22">#REF!</definedName>
    <definedName name="svi2_23">#REF!</definedName>
    <definedName name="svi2_24">#REF!</definedName>
    <definedName name="svi2_25">#REF!</definedName>
    <definedName name="svi2_26">#REF!</definedName>
    <definedName name="svi2_27">#REF!</definedName>
    <definedName name="svi2_28">#REF!</definedName>
    <definedName name="svi2_29">#REF!</definedName>
    <definedName name="svi2_30">#REF!</definedName>
    <definedName name="svi2_31">#REF!</definedName>
    <definedName name="svi2_32">#REF!</definedName>
    <definedName name="svi2_33">#REF!</definedName>
    <definedName name="svi2_34">#REF!</definedName>
    <definedName name="svi2_35">#REF!</definedName>
    <definedName name="svi2_36">#REF!</definedName>
    <definedName name="svi2_38">#REF!</definedName>
    <definedName name="t">#REF!</definedName>
    <definedName name="t_36">#REF!</definedName>
    <definedName name="tabelão">#REF!</definedName>
    <definedName name="tabelão1">#REF!</definedName>
    <definedName name="tabelão2">#REF!</definedName>
    <definedName name="taxa_cap">#REF!</definedName>
    <definedName name="terra">#REF!</definedName>
    <definedName name="TERRIT">NA()</definedName>
    <definedName name="TESTE">#REF!</definedName>
    <definedName name="Tipo_de_Joranda_de_Trabalho">NA()</definedName>
    <definedName name="_xlnm.Print_Titles" localSheetId="14">'1.3-Insumos'!$12:$12</definedName>
    <definedName name="_xlnm.Print_Titles" localSheetId="15">'1.3-Insumos (exemplos)'!$12:$12</definedName>
    <definedName name="_xlnm.Print_Titles" localSheetId="18">'1.4-Serviços Eventuais'!$12:$12</definedName>
    <definedName name="_xlnm.Print_Titles" localSheetId="19">'1.4-Serviços Eventuais exemplos'!$12:$12</definedName>
    <definedName name="_xlnm.Print_Titles" localSheetId="10">Ferramentas!$7:$9</definedName>
    <definedName name="TOTA">#REF!</definedName>
    <definedName name="total">"$#REF!.$A$5:$E$2333"</definedName>
    <definedName name="total_10">"$#REF!.$A$5:$E$2333"</definedName>
    <definedName name="total_15">#REF!</definedName>
    <definedName name="total_16">#REF!</definedName>
    <definedName name="total_17">#REF!</definedName>
    <definedName name="total_18">#REF!</definedName>
    <definedName name="total_19">#REF!</definedName>
    <definedName name="total_20">#REF!</definedName>
    <definedName name="total_21">#REF!</definedName>
    <definedName name="total_22">#REF!</definedName>
    <definedName name="total_23">#REF!</definedName>
    <definedName name="total_24">#REF!</definedName>
    <definedName name="total_25">#REF!</definedName>
    <definedName name="total_26">#REF!</definedName>
    <definedName name="total_27">#REF!</definedName>
    <definedName name="total_28">#REF!</definedName>
    <definedName name="total_29">#REF!</definedName>
    <definedName name="total_30">#REF!</definedName>
    <definedName name="total_31">#REF!</definedName>
    <definedName name="total_32">#REF!</definedName>
    <definedName name="total_33">#REF!</definedName>
    <definedName name="total_34">#REF!</definedName>
    <definedName name="total_35">#REF!</definedName>
    <definedName name="total_36">#REF!</definedName>
    <definedName name="total_38">#REF!</definedName>
    <definedName name="TOTB">#REF!</definedName>
    <definedName name="TOTC">#REF!</definedName>
    <definedName name="TOTD">#REF!</definedName>
    <definedName name="TOTE">#REF!</definedName>
    <definedName name="TOTF">#REF!</definedName>
    <definedName name="TOTG">#REF!</definedName>
    <definedName name="TOTH">#REF!</definedName>
    <definedName name="TOTI">#REF!</definedName>
    <definedName name="TOTJ">#REF!</definedName>
    <definedName name="TOTK">#REF!</definedName>
    <definedName name="TOTL">#REF!</definedName>
    <definedName name="TOTM">#REF!</definedName>
    <definedName name="TOTN">#REF!</definedName>
    <definedName name="TOTP">#REF!</definedName>
    <definedName name="TOTQ">#REF!</definedName>
    <definedName name="TOTRES">#REF!</definedName>
    <definedName name="TP_SERV">NA()</definedName>
    <definedName name="TP_SERVPERC">NA()</definedName>
    <definedName name="UNI11100_36">#REF!</definedName>
    <definedName name="UNI11110_36">#REF!</definedName>
    <definedName name="UNI11115_36">#REF!</definedName>
    <definedName name="UNI11125_36">#REF!</definedName>
    <definedName name="UNI11130_36">#REF!</definedName>
    <definedName name="UNI11135_36">#REF!</definedName>
    <definedName name="UNI11145_36">#REF!</definedName>
    <definedName name="UNI11150_36">#REF!</definedName>
    <definedName name="UNI11165_36">#REF!</definedName>
    <definedName name="UNI11170_36">#REF!</definedName>
    <definedName name="UNI11180_36">#REF!</definedName>
    <definedName name="UNI11185_36">#REF!</definedName>
    <definedName name="UNI11220_36">#REF!</definedName>
    <definedName name="UNI12105_36">#REF!</definedName>
    <definedName name="UNI12555_36">#REF!</definedName>
    <definedName name="UNI12570_36">#REF!</definedName>
    <definedName name="UNI12575_36">#REF!</definedName>
    <definedName name="UNI12580_36">#REF!</definedName>
    <definedName name="UNI12600_36">#REF!</definedName>
    <definedName name="UNI12610_36">#REF!</definedName>
    <definedName name="UNI12630_36">#REF!</definedName>
    <definedName name="UNI12631_36">#REF!</definedName>
    <definedName name="UNI12640_36">#REF!</definedName>
    <definedName name="UNI12645_36">#REF!</definedName>
    <definedName name="UNI12665_36">#REF!</definedName>
    <definedName name="UNI12690_36">#REF!</definedName>
    <definedName name="UNI12700_36">#REF!</definedName>
    <definedName name="UNI12710_36">#REF!</definedName>
    <definedName name="UNI13111_36">#REF!</definedName>
    <definedName name="UNI13112_36">#REF!</definedName>
    <definedName name="UNI13121_36">#REF!</definedName>
    <definedName name="UNI13720_36">#REF!</definedName>
    <definedName name="UNI14100_36">#REF!</definedName>
    <definedName name="UNI14161_36">#REF!</definedName>
    <definedName name="UNI14195_36">#REF!</definedName>
    <definedName name="UNI14205_36">#REF!</definedName>
    <definedName name="UNI14260_36">#REF!</definedName>
    <definedName name="UNI14500_36">#REF!</definedName>
    <definedName name="UNI14515_36">#REF!</definedName>
    <definedName name="UNI14555_36">#REF!</definedName>
    <definedName name="UNI14565_36">#REF!</definedName>
    <definedName name="UNI15135_36">#REF!</definedName>
    <definedName name="UNI15140_36">#REF!</definedName>
    <definedName name="UNI15195_36">#REF!</definedName>
    <definedName name="UNI15225_36">#REF!</definedName>
    <definedName name="UNI15230_36">#REF!</definedName>
    <definedName name="UNI15515_36">#REF!</definedName>
    <definedName name="UNI15560_36">#REF!</definedName>
    <definedName name="UNI15565_36">#REF!</definedName>
    <definedName name="UNI15570_36">#REF!</definedName>
    <definedName name="UNI15575_36">#REF!</definedName>
    <definedName name="UNI15583_36">#REF!</definedName>
    <definedName name="UNI15590_36">#REF!</definedName>
    <definedName name="UNI15591_36">#REF!</definedName>
    <definedName name="UNI15610_36">#REF!</definedName>
    <definedName name="UNI15625_36">#REF!</definedName>
    <definedName name="UNI15635_36">#REF!</definedName>
    <definedName name="UNI15655_36">#REF!</definedName>
    <definedName name="UNI15665_36">#REF!</definedName>
    <definedName name="UNI16515_36">#REF!</definedName>
    <definedName name="UNI16535_36">#REF!</definedName>
    <definedName name="UNI17140_36">#REF!</definedName>
    <definedName name="UNI19500_36">#REF!</definedName>
    <definedName name="UNI19501_36">#REF!</definedName>
    <definedName name="UNI19502_36">#REF!</definedName>
    <definedName name="UNI19503_36">#REF!</definedName>
    <definedName name="UNI19504_36">#REF!</definedName>
    <definedName name="UNI19505_36">#REF!</definedName>
    <definedName name="UNI20100_36">#REF!</definedName>
    <definedName name="UNI20105_36">#REF!</definedName>
    <definedName name="UNI20110_36">#REF!</definedName>
    <definedName name="UNI20115_36">#REF!</definedName>
    <definedName name="UNI20130_36">#REF!</definedName>
    <definedName name="UNI20135_36">#REF!</definedName>
    <definedName name="UNI20140_36">#REF!</definedName>
    <definedName name="UNI20145_36">#REF!</definedName>
    <definedName name="UNI20150_36">#REF!</definedName>
    <definedName name="UNI20155_36">#REF!</definedName>
    <definedName name="UNI20175_36">#REF!</definedName>
    <definedName name="UNI20185_36">#REF!</definedName>
    <definedName name="UNI20190_36">#REF!</definedName>
    <definedName name="UNI20195_36">#REF!</definedName>
    <definedName name="UNI20210_36">#REF!</definedName>
    <definedName name="VAL11100_36">#REF!</definedName>
    <definedName name="VAL11110_36">#REF!</definedName>
    <definedName name="VAL11115_36">#REF!</definedName>
    <definedName name="VAL11125_36">#REF!</definedName>
    <definedName name="VAL11130_36">#REF!</definedName>
    <definedName name="VAL11135_36">#REF!</definedName>
    <definedName name="VAL11145_36">#REF!</definedName>
    <definedName name="VAL11150_36">#REF!</definedName>
    <definedName name="VAL11165_36">#REF!</definedName>
    <definedName name="VAL11170_36">#REF!</definedName>
    <definedName name="VAL11180_36">#REF!</definedName>
    <definedName name="VAL11185_36">#REF!</definedName>
    <definedName name="VAL11220_36">#REF!</definedName>
    <definedName name="VAL12105_36">#REF!</definedName>
    <definedName name="VAL12555_36">#REF!</definedName>
    <definedName name="VAL12570_36">#REF!</definedName>
    <definedName name="VAL12575_36">#REF!</definedName>
    <definedName name="VAL12580_36">#REF!</definedName>
    <definedName name="VAL12600_36">#REF!</definedName>
    <definedName name="VAL12610_36">#REF!</definedName>
    <definedName name="VAL12630_36">#REF!</definedName>
    <definedName name="VAL12631_36">#REF!</definedName>
    <definedName name="VAL12640_36">#REF!</definedName>
    <definedName name="VAL12645_36">#REF!</definedName>
    <definedName name="VAL12665_36">#REF!</definedName>
    <definedName name="VAL12690_36">#REF!</definedName>
    <definedName name="VAL12700_36">#REF!</definedName>
    <definedName name="VAL12710_36">#REF!</definedName>
    <definedName name="VAL13111_36">#REF!</definedName>
    <definedName name="VAL13112_36">#REF!</definedName>
    <definedName name="VAL13121_36">#REF!</definedName>
    <definedName name="VAL13720_36">#REF!</definedName>
    <definedName name="VAL14100_36">#REF!</definedName>
    <definedName name="VAL14161_36">#REF!</definedName>
    <definedName name="VAL14195_36">#REF!</definedName>
    <definedName name="VAL14205_36">#REF!</definedName>
    <definedName name="VAL14260_36">#REF!</definedName>
    <definedName name="VAL14500_36">#REF!</definedName>
    <definedName name="VAL14515_36">#REF!</definedName>
    <definedName name="VAL14555_36">#REF!</definedName>
    <definedName name="VAL14565_36">#REF!</definedName>
    <definedName name="VAL15135_36">#REF!</definedName>
    <definedName name="VAL15140_36">#REF!</definedName>
    <definedName name="VAL15195_36">#REF!</definedName>
    <definedName name="VAL15225_36">#REF!</definedName>
    <definedName name="VAL15230_36">#REF!</definedName>
    <definedName name="VAL15515_36">#REF!</definedName>
    <definedName name="VAL15560_36">#REF!</definedName>
    <definedName name="VAL15565_36">#REF!</definedName>
    <definedName name="VAL15570_36">#REF!</definedName>
    <definedName name="VAL15575_36">#REF!</definedName>
    <definedName name="VAL15583_36">#REF!</definedName>
    <definedName name="VAL15590_36">#REF!</definedName>
    <definedName name="VAL15591_36">#REF!</definedName>
    <definedName name="VAL15610_36">#REF!</definedName>
    <definedName name="VAL15625_36">#REF!</definedName>
    <definedName name="VAL15635_36">#REF!</definedName>
    <definedName name="VAL15655_36">#REF!</definedName>
    <definedName name="VAL15665_36">#REF!</definedName>
    <definedName name="VAL16515_36">#REF!</definedName>
    <definedName name="VAL16535_36">#REF!</definedName>
    <definedName name="VAL17140_36">#REF!</definedName>
    <definedName name="VAL19500_36">#REF!</definedName>
    <definedName name="VAL19501_36">#REF!</definedName>
    <definedName name="VAL19502_36">#REF!</definedName>
    <definedName name="VAL19503_36">#REF!</definedName>
    <definedName name="VAL19504_36">#REF!</definedName>
    <definedName name="VAL19505_36">#REF!</definedName>
    <definedName name="VAL20100_36">#REF!</definedName>
    <definedName name="VAL20105_36">#REF!</definedName>
    <definedName name="VAL20110_36">#REF!</definedName>
    <definedName name="VAL20115_36">#REF!</definedName>
    <definedName name="VAL20130_36">#REF!</definedName>
    <definedName name="VAL20135_36">#REF!</definedName>
    <definedName name="VAL20140_36">#REF!</definedName>
    <definedName name="VAL20145_36">#REF!</definedName>
    <definedName name="VAL20150_36">#REF!</definedName>
    <definedName name="VAL20155_36">#REF!</definedName>
    <definedName name="VAL20175_36">#REF!</definedName>
    <definedName name="VAL20185_36">#REF!</definedName>
    <definedName name="VAL20190_36">#REF!</definedName>
    <definedName name="VAL20195_36">#REF!</definedName>
    <definedName name="VAL20210_36">#REF!</definedName>
    <definedName name="VRSELEC">NA()</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0" i="45" l="1"/>
  <c r="R180" i="45" s="1"/>
  <c r="O179" i="45"/>
  <c r="O178" i="45"/>
  <c r="O177" i="45"/>
  <c r="O176" i="45"/>
  <c r="O72" i="45"/>
  <c r="O38" i="45"/>
  <c r="V10" i="30"/>
  <c r="V24" i="30" s="1"/>
  <c r="V11" i="30"/>
  <c r="V12" i="30"/>
  <c r="V9" i="30"/>
  <c r="C25" i="24" s="1"/>
  <c r="O10" i="30"/>
  <c r="O30" i="30" s="1"/>
  <c r="O11" i="30"/>
  <c r="O12" i="30"/>
  <c r="O9" i="30"/>
  <c r="C28" i="31"/>
  <c r="E264" i="8"/>
  <c r="E250" i="8"/>
  <c r="E231" i="8"/>
  <c r="E216" i="8"/>
  <c r="E198" i="8"/>
  <c r="E179" i="8"/>
  <c r="E165" i="8"/>
  <c r="E151" i="8"/>
  <c r="E134" i="8"/>
  <c r="E117" i="8"/>
  <c r="E99" i="8"/>
  <c r="E79" i="8"/>
  <c r="E59" i="8"/>
  <c r="E45" i="8"/>
  <c r="E31" i="8"/>
  <c r="E17" i="8"/>
  <c r="E194" i="8"/>
  <c r="E243" i="8"/>
  <c r="E244" i="8"/>
  <c r="E245" i="8"/>
  <c r="E246" i="8"/>
  <c r="E242" i="8"/>
  <c r="E227" i="8"/>
  <c r="E210" i="8"/>
  <c r="E211" i="8"/>
  <c r="E212" i="8"/>
  <c r="E213" i="8"/>
  <c r="E209" i="8"/>
  <c r="E146" i="8"/>
  <c r="E147" i="8"/>
  <c r="E145" i="8"/>
  <c r="E129" i="8"/>
  <c r="E130" i="8"/>
  <c r="E128" i="8"/>
  <c r="E111" i="8"/>
  <c r="E112" i="8"/>
  <c r="E110" i="8"/>
  <c r="E91" i="8"/>
  <c r="E92" i="8"/>
  <c r="E90" i="8"/>
  <c r="E71" i="8"/>
  <c r="E72" i="8"/>
  <c r="E70" i="8"/>
  <c r="E191" i="8"/>
  <c r="E192" i="8"/>
  <c r="E193" i="8"/>
  <c r="E190" i="8"/>
  <c r="E262" i="8"/>
  <c r="E261" i="8"/>
  <c r="E260" i="8"/>
  <c r="E259" i="8"/>
  <c r="E258" i="8"/>
  <c r="E257" i="8"/>
  <c r="E248" i="8"/>
  <c r="E247" i="8"/>
  <c r="E241" i="8"/>
  <c r="E240" i="8"/>
  <c r="E239" i="8"/>
  <c r="E238" i="8"/>
  <c r="E229" i="8"/>
  <c r="E228" i="8"/>
  <c r="E226" i="8"/>
  <c r="E225" i="8"/>
  <c r="E224" i="8"/>
  <c r="E223" i="8"/>
  <c r="E214" i="8"/>
  <c r="E208" i="8"/>
  <c r="E207" i="8"/>
  <c r="E206" i="8"/>
  <c r="E205" i="8"/>
  <c r="E196" i="8"/>
  <c r="E195" i="8"/>
  <c r="E189" i="8"/>
  <c r="E188" i="8"/>
  <c r="E187" i="8"/>
  <c r="E186" i="8"/>
  <c r="E177" i="8"/>
  <c r="E176" i="8"/>
  <c r="E175" i="8"/>
  <c r="E174" i="8"/>
  <c r="E173" i="8"/>
  <c r="E172" i="8"/>
  <c r="E163" i="8"/>
  <c r="E162" i="8"/>
  <c r="E161" i="8"/>
  <c r="E160" i="8"/>
  <c r="E159" i="8"/>
  <c r="E158" i="8"/>
  <c r="E149" i="8"/>
  <c r="E148" i="8"/>
  <c r="E144" i="8"/>
  <c r="E143" i="8"/>
  <c r="E142" i="8"/>
  <c r="E141" i="8"/>
  <c r="E150" i="8" s="1"/>
  <c r="E154" i="8" s="1"/>
  <c r="Q19" i="4" s="1"/>
  <c r="D19" i="22" s="1"/>
  <c r="F19" i="22" s="1"/>
  <c r="E132" i="8"/>
  <c r="E131" i="8"/>
  <c r="E127" i="8"/>
  <c r="E126" i="8"/>
  <c r="E125" i="8"/>
  <c r="E124" i="8"/>
  <c r="E115" i="8"/>
  <c r="E114" i="8"/>
  <c r="E113" i="8"/>
  <c r="E109" i="8"/>
  <c r="E108" i="8"/>
  <c r="E107" i="8"/>
  <c r="E106" i="8"/>
  <c r="E97" i="8"/>
  <c r="E96" i="8"/>
  <c r="E95" i="8"/>
  <c r="E94" i="8"/>
  <c r="E93" i="8"/>
  <c r="E89" i="8"/>
  <c r="E88" i="8"/>
  <c r="E87" i="8"/>
  <c r="E86" i="8"/>
  <c r="E77" i="8"/>
  <c r="E76" i="8"/>
  <c r="E75" i="8"/>
  <c r="E74" i="8"/>
  <c r="E73" i="8"/>
  <c r="E69" i="8"/>
  <c r="E68" i="8"/>
  <c r="E67" i="8"/>
  <c r="E66" i="8"/>
  <c r="E57" i="8"/>
  <c r="E56" i="8"/>
  <c r="E55" i="8"/>
  <c r="E54" i="8"/>
  <c r="E53" i="8"/>
  <c r="E52" i="8"/>
  <c r="E43" i="8"/>
  <c r="E42" i="8"/>
  <c r="E41" i="8"/>
  <c r="E40" i="8"/>
  <c r="E39" i="8"/>
  <c r="E38" i="8"/>
  <c r="E29" i="8"/>
  <c r="E28" i="8"/>
  <c r="E27" i="8"/>
  <c r="E26" i="8"/>
  <c r="E25" i="8"/>
  <c r="E24" i="8"/>
  <c r="E30" i="8" s="1"/>
  <c r="E34" i="8" s="1"/>
  <c r="P12" i="4" s="1"/>
  <c r="D19" i="10" s="1"/>
  <c r="E15" i="8"/>
  <c r="E14" i="8"/>
  <c r="E13" i="8"/>
  <c r="E12" i="8"/>
  <c r="E11" i="8"/>
  <c r="E10" i="8"/>
  <c r="I11" i="51"/>
  <c r="G69" i="51" s="1"/>
  <c r="I10" i="51"/>
  <c r="H15" i="49"/>
  <c r="H22" i="49"/>
  <c r="H12" i="49"/>
  <c r="H17" i="49" s="1"/>
  <c r="T14" i="3"/>
  <c r="T15" i="3"/>
  <c r="T16" i="3"/>
  <c r="T17" i="3"/>
  <c r="T18" i="3"/>
  <c r="T19" i="3"/>
  <c r="T20" i="3"/>
  <c r="T21" i="3"/>
  <c r="T22" i="3"/>
  <c r="T23" i="3"/>
  <c r="T24" i="3"/>
  <c r="T25" i="3"/>
  <c r="T26" i="3"/>
  <c r="T27" i="3"/>
  <c r="T28" i="3"/>
  <c r="T13" i="3"/>
  <c r="E27" i="25"/>
  <c r="O30" i="9"/>
  <c r="N30" i="9"/>
  <c r="O30" i="10"/>
  <c r="N30" i="10"/>
  <c r="O30" i="13"/>
  <c r="N30" i="13"/>
  <c r="O30" i="14"/>
  <c r="N30" i="14"/>
  <c r="O30" i="12"/>
  <c r="N30" i="12"/>
  <c r="O30" i="11"/>
  <c r="N30" i="11"/>
  <c r="O30" i="17"/>
  <c r="N30" i="17"/>
  <c r="O30" i="16"/>
  <c r="N30" i="16"/>
  <c r="O30" i="22"/>
  <c r="N30" i="22"/>
  <c r="O30" i="24"/>
  <c r="N30" i="24"/>
  <c r="O30" i="15"/>
  <c r="N30" i="15"/>
  <c r="O30" i="18"/>
  <c r="N30" i="18"/>
  <c r="O30" i="19"/>
  <c r="N30" i="19"/>
  <c r="O30" i="20"/>
  <c r="N30" i="20"/>
  <c r="O30" i="21"/>
  <c r="N30" i="21"/>
  <c r="O30" i="23"/>
  <c r="N30" i="23"/>
  <c r="K9" i="9"/>
  <c r="Y16" i="30"/>
  <c r="Z16" i="30"/>
  <c r="Y17" i="30"/>
  <c r="Z17" i="30"/>
  <c r="Y18" i="30"/>
  <c r="Z18" i="30"/>
  <c r="Y19" i="30"/>
  <c r="Z19" i="30"/>
  <c r="Y20" i="30"/>
  <c r="Z20" i="30"/>
  <c r="Y21" i="30"/>
  <c r="Z21" i="30"/>
  <c r="Y22" i="30"/>
  <c r="Z22" i="30"/>
  <c r="Y23" i="30"/>
  <c r="Z23" i="30"/>
  <c r="Y24" i="30"/>
  <c r="Z24" i="30"/>
  <c r="Y25" i="30"/>
  <c r="Z25" i="30"/>
  <c r="Y26" i="30"/>
  <c r="Z26" i="30"/>
  <c r="Y27" i="30"/>
  <c r="Z27" i="30"/>
  <c r="Y28" i="30"/>
  <c r="Z28" i="30"/>
  <c r="Y29" i="30"/>
  <c r="Z29" i="30"/>
  <c r="Y30" i="30"/>
  <c r="Z30" i="30"/>
  <c r="Z15" i="30"/>
  <c r="Y15" i="30"/>
  <c r="X16" i="30"/>
  <c r="X17" i="30"/>
  <c r="X18" i="30"/>
  <c r="X19" i="30"/>
  <c r="X20" i="30"/>
  <c r="X21" i="30"/>
  <c r="X22" i="30"/>
  <c r="X23" i="30"/>
  <c r="X24" i="30"/>
  <c r="X25" i="30"/>
  <c r="X26" i="30"/>
  <c r="X27" i="30"/>
  <c r="X28" i="30"/>
  <c r="X29" i="30"/>
  <c r="X30" i="30"/>
  <c r="X15" i="30"/>
  <c r="V16" i="30"/>
  <c r="V17" i="30"/>
  <c r="V18" i="30"/>
  <c r="V21" i="30"/>
  <c r="V22" i="30"/>
  <c r="V23" i="30"/>
  <c r="V25" i="30"/>
  <c r="V29" i="30"/>
  <c r="V30" i="30"/>
  <c r="V15" i="30"/>
  <c r="U16" i="30"/>
  <c r="U17" i="30"/>
  <c r="U18" i="30"/>
  <c r="U19" i="30"/>
  <c r="U20" i="30"/>
  <c r="U21" i="30"/>
  <c r="U22" i="30"/>
  <c r="U23" i="30"/>
  <c r="U24" i="30"/>
  <c r="U25" i="30"/>
  <c r="U26" i="30"/>
  <c r="U27" i="30"/>
  <c r="U28" i="30"/>
  <c r="U29" i="30"/>
  <c r="U30" i="30"/>
  <c r="U15" i="30"/>
  <c r="T16" i="30"/>
  <c r="T17" i="30"/>
  <c r="T18" i="30"/>
  <c r="T19" i="30"/>
  <c r="T20" i="30"/>
  <c r="T21" i="30"/>
  <c r="T22" i="30"/>
  <c r="W22" i="30"/>
  <c r="T23" i="30"/>
  <c r="T24" i="30"/>
  <c r="W24" i="30"/>
  <c r="T25" i="30"/>
  <c r="T26" i="30"/>
  <c r="T27" i="30"/>
  <c r="T28" i="30"/>
  <c r="T29" i="30"/>
  <c r="T30" i="30"/>
  <c r="T15" i="30"/>
  <c r="R16" i="30"/>
  <c r="R17" i="30"/>
  <c r="R18" i="30"/>
  <c r="R19" i="30"/>
  <c r="R20" i="30"/>
  <c r="R21" i="30"/>
  <c r="R22" i="30"/>
  <c r="R23" i="30"/>
  <c r="R24" i="30"/>
  <c r="R25" i="30"/>
  <c r="R26" i="30"/>
  <c r="R27" i="30"/>
  <c r="R28" i="30"/>
  <c r="R29" i="30"/>
  <c r="R30" i="30"/>
  <c r="R15" i="30"/>
  <c r="Q16" i="30"/>
  <c r="S16" i="30" s="1"/>
  <c r="Q17" i="30"/>
  <c r="Q18" i="30"/>
  <c r="Q19" i="30"/>
  <c r="Q20" i="30"/>
  <c r="Q21" i="30"/>
  <c r="Q22" i="30"/>
  <c r="Q23" i="30"/>
  <c r="Q24" i="30"/>
  <c r="S24" i="30" s="1"/>
  <c r="Q25" i="30"/>
  <c r="Q26" i="30"/>
  <c r="Q27" i="30"/>
  <c r="Q28" i="30"/>
  <c r="Q29" i="30"/>
  <c r="S29" i="30" s="1"/>
  <c r="Q30" i="30"/>
  <c r="Q15" i="30"/>
  <c r="O16" i="30"/>
  <c r="O17" i="30"/>
  <c r="O18" i="30"/>
  <c r="O21" i="30"/>
  <c r="O22" i="30"/>
  <c r="O23" i="30"/>
  <c r="O24" i="30"/>
  <c r="O25" i="30"/>
  <c r="O26" i="30"/>
  <c r="O27" i="30"/>
  <c r="O28" i="30"/>
  <c r="O29" i="30"/>
  <c r="O15" i="30"/>
  <c r="N16" i="30"/>
  <c r="N17" i="30"/>
  <c r="N18" i="30"/>
  <c r="N19" i="30"/>
  <c r="N20" i="30"/>
  <c r="N21" i="30"/>
  <c r="N22" i="30"/>
  <c r="N23" i="30"/>
  <c r="P23" i="30" s="1"/>
  <c r="N24" i="30"/>
  <c r="N25" i="30"/>
  <c r="N26" i="30"/>
  <c r="N27" i="30"/>
  <c r="N28" i="30"/>
  <c r="N29" i="30"/>
  <c r="N30" i="30"/>
  <c r="N15" i="30"/>
  <c r="M16" i="30"/>
  <c r="M17" i="30"/>
  <c r="M18" i="30"/>
  <c r="M19" i="30"/>
  <c r="M20" i="30"/>
  <c r="M21" i="30"/>
  <c r="P21" i="30"/>
  <c r="M22" i="30"/>
  <c r="M23" i="30"/>
  <c r="M24" i="30"/>
  <c r="M25" i="30"/>
  <c r="M26" i="30"/>
  <c r="M27" i="30"/>
  <c r="M28" i="30"/>
  <c r="M29" i="30"/>
  <c r="M30" i="30"/>
  <c r="M15" i="30"/>
  <c r="K16" i="30"/>
  <c r="K17" i="30"/>
  <c r="K18" i="30"/>
  <c r="K19" i="30"/>
  <c r="K20" i="30"/>
  <c r="K21" i="30"/>
  <c r="K22" i="30"/>
  <c r="K23" i="30"/>
  <c r="K24" i="30"/>
  <c r="K25" i="30"/>
  <c r="K26" i="30"/>
  <c r="K27" i="30"/>
  <c r="K28" i="30"/>
  <c r="K29" i="30"/>
  <c r="K30" i="30"/>
  <c r="K15" i="30"/>
  <c r="J16" i="30"/>
  <c r="J17" i="30"/>
  <c r="L17" i="30" s="1"/>
  <c r="J18" i="30"/>
  <c r="J19" i="30"/>
  <c r="J20" i="30"/>
  <c r="J21" i="30"/>
  <c r="L21" i="30" s="1"/>
  <c r="J22" i="30"/>
  <c r="L22" i="30"/>
  <c r="J23" i="30"/>
  <c r="L23" i="30" s="1"/>
  <c r="J24" i="30"/>
  <c r="L24" i="30" s="1"/>
  <c r="J25" i="30"/>
  <c r="L25" i="30" s="1"/>
  <c r="J26" i="30"/>
  <c r="J27" i="30"/>
  <c r="J28" i="30"/>
  <c r="J29" i="30"/>
  <c r="L29" i="30" s="1"/>
  <c r="J30" i="30"/>
  <c r="L30" i="30" s="1"/>
  <c r="J15" i="30"/>
  <c r="I16" i="30"/>
  <c r="I17" i="30"/>
  <c r="I18" i="30"/>
  <c r="I19" i="30"/>
  <c r="I20" i="30"/>
  <c r="I21" i="30"/>
  <c r="I22" i="30"/>
  <c r="I23" i="30"/>
  <c r="I24" i="30"/>
  <c r="I25" i="30"/>
  <c r="I26" i="30"/>
  <c r="I27" i="30"/>
  <c r="I28" i="30"/>
  <c r="I29" i="30"/>
  <c r="I30" i="30"/>
  <c r="I15" i="30"/>
  <c r="H16" i="30"/>
  <c r="K9" i="10"/>
  <c r="H17" i="30"/>
  <c r="K9" i="13" s="1"/>
  <c r="H18" i="30"/>
  <c r="K9" i="14" s="1"/>
  <c r="H19" i="30"/>
  <c r="K9" i="12" s="1"/>
  <c r="H20" i="30"/>
  <c r="K9" i="11" s="1"/>
  <c r="H21" i="30"/>
  <c r="K9" i="17"/>
  <c r="H22" i="30"/>
  <c r="K9" i="16"/>
  <c r="H23" i="30"/>
  <c r="K9" i="22"/>
  <c r="H24" i="30"/>
  <c r="K9" i="24"/>
  <c r="H25" i="30"/>
  <c r="K9" i="15"/>
  <c r="H26" i="30"/>
  <c r="K9" i="18" s="1"/>
  <c r="H27" i="30"/>
  <c r="K9" i="19" s="1"/>
  <c r="H28" i="30"/>
  <c r="K9" i="20" s="1"/>
  <c r="H29" i="30"/>
  <c r="K9" i="21" s="1"/>
  <c r="H30" i="30"/>
  <c r="K9" i="23"/>
  <c r="E17" i="30"/>
  <c r="H10" i="4"/>
  <c r="H23" i="4"/>
  <c r="I10" i="4"/>
  <c r="I22" i="4" s="1"/>
  <c r="P25" i="30"/>
  <c r="H21" i="42"/>
  <c r="I63" i="45"/>
  <c r="C144" i="45"/>
  <c r="C125" i="45"/>
  <c r="C107" i="45"/>
  <c r="C88" i="45"/>
  <c r="C65" i="45"/>
  <c r="C35" i="45"/>
  <c r="C12" i="45"/>
  <c r="H15" i="42"/>
  <c r="H14" i="42"/>
  <c r="H13" i="42"/>
  <c r="H16" i="35"/>
  <c r="H15" i="35"/>
  <c r="H14" i="35"/>
  <c r="H13" i="35"/>
  <c r="H12" i="35"/>
  <c r="G82" i="4"/>
  <c r="H19" i="35"/>
  <c r="G83" i="4"/>
  <c r="H20" i="49" s="1"/>
  <c r="H22" i="35"/>
  <c r="G74" i="4"/>
  <c r="G73" i="4"/>
  <c r="G68" i="4"/>
  <c r="H12" i="42" s="1"/>
  <c r="G72" i="4"/>
  <c r="H16" i="42"/>
  <c r="H19" i="49"/>
  <c r="H23" i="49" s="1"/>
  <c r="C169" i="45"/>
  <c r="A169" i="45"/>
  <c r="A144" i="45"/>
  <c r="G34" i="43"/>
  <c r="F34" i="43"/>
  <c r="M153" i="45"/>
  <c r="R153" i="45" s="1"/>
  <c r="M152" i="45"/>
  <c r="R152" i="45"/>
  <c r="M151" i="45"/>
  <c r="M155" i="45" s="1"/>
  <c r="R155" i="45" s="1"/>
  <c r="R151" i="45"/>
  <c r="F33" i="43"/>
  <c r="A125" i="45"/>
  <c r="A107" i="45"/>
  <c r="A88" i="45"/>
  <c r="A65" i="45"/>
  <c r="A35" i="45"/>
  <c r="A12" i="45"/>
  <c r="B167" i="45"/>
  <c r="B142" i="45"/>
  <c r="B123" i="45"/>
  <c r="B105" i="45"/>
  <c r="B86" i="45"/>
  <c r="B63" i="45"/>
  <c r="B33" i="45"/>
  <c r="B10" i="45"/>
  <c r="M156" i="45"/>
  <c r="R156" i="45"/>
  <c r="M154" i="45"/>
  <c r="R154" i="45" s="1"/>
  <c r="M157" i="45"/>
  <c r="R157" i="45" s="1"/>
  <c r="R15" i="45"/>
  <c r="R16" i="45" s="1"/>
  <c r="R20" i="45"/>
  <c r="R23" i="45"/>
  <c r="R25" i="45"/>
  <c r="R38" i="45"/>
  <c r="R39" i="45" s="1"/>
  <c r="R42" i="45"/>
  <c r="R43" i="45"/>
  <c r="R44" i="45"/>
  <c r="R45" i="45"/>
  <c r="R46" i="45"/>
  <c r="R47" i="45"/>
  <c r="R48" i="45"/>
  <c r="R49" i="45"/>
  <c r="R50" i="45"/>
  <c r="R51" i="45"/>
  <c r="R52" i="45"/>
  <c r="R53" i="45"/>
  <c r="R54" i="45"/>
  <c r="R55" i="45"/>
  <c r="R68" i="45"/>
  <c r="R69" i="45" s="1"/>
  <c r="R72" i="45"/>
  <c r="M73" i="45"/>
  <c r="R73" i="45"/>
  <c r="M74" i="45"/>
  <c r="R74" i="45" s="1"/>
  <c r="R91" i="45"/>
  <c r="R92" i="45"/>
  <c r="R95" i="45"/>
  <c r="R96" i="45"/>
  <c r="R110" i="45"/>
  <c r="R111" i="45" s="1"/>
  <c r="R114" i="45"/>
  <c r="R129" i="45"/>
  <c r="R132" i="45"/>
  <c r="R134" i="45"/>
  <c r="R148" i="45"/>
  <c r="R173" i="45"/>
  <c r="R176" i="45"/>
  <c r="R177" i="45"/>
  <c r="R178" i="45"/>
  <c r="R179" i="45"/>
  <c r="I54" i="43"/>
  <c r="B19" i="43"/>
  <c r="C11" i="43"/>
  <c r="H22" i="42"/>
  <c r="H20" i="42"/>
  <c r="H23" i="42" s="1"/>
  <c r="H19" i="42"/>
  <c r="L780" i="40"/>
  <c r="L779" i="40"/>
  <c r="L778" i="40"/>
  <c r="L777" i="40"/>
  <c r="L776" i="40"/>
  <c r="L775" i="40"/>
  <c r="L774" i="40"/>
  <c r="E11" i="4"/>
  <c r="E12" i="4"/>
  <c r="M12" i="4" s="1"/>
  <c r="E13" i="4"/>
  <c r="E14" i="4"/>
  <c r="F14" i="4"/>
  <c r="D8" i="14" s="1"/>
  <c r="E15" i="4"/>
  <c r="E16" i="4"/>
  <c r="E17" i="4"/>
  <c r="E18" i="4"/>
  <c r="E19" i="4"/>
  <c r="F19" i="4"/>
  <c r="E20" i="4"/>
  <c r="E21" i="4"/>
  <c r="E22" i="4"/>
  <c r="F22" i="4"/>
  <c r="D8" i="18"/>
  <c r="E23" i="4"/>
  <c r="F23" i="4" s="1"/>
  <c r="E24" i="4"/>
  <c r="F24" i="4"/>
  <c r="E25" i="4"/>
  <c r="E26" i="4"/>
  <c r="F26" i="4" s="1"/>
  <c r="D8" i="23" s="1"/>
  <c r="J174" i="7"/>
  <c r="A31" i="6"/>
  <c r="D30" i="6" s="1"/>
  <c r="F30" i="6" s="1"/>
  <c r="A23" i="6"/>
  <c r="A16" i="6"/>
  <c r="E54" i="3"/>
  <c r="B50" i="3"/>
  <c r="B49" i="3"/>
  <c r="B48" i="3"/>
  <c r="B47" i="3"/>
  <c r="B46" i="3"/>
  <c r="B45" i="3"/>
  <c r="M30" i="10"/>
  <c r="L30" i="10"/>
  <c r="M30" i="13"/>
  <c r="L30" i="13"/>
  <c r="M30" i="14"/>
  <c r="L30" i="14"/>
  <c r="M30" i="12"/>
  <c r="L30" i="12"/>
  <c r="M30" i="11"/>
  <c r="L30" i="11"/>
  <c r="M30" i="17"/>
  <c r="L30" i="17"/>
  <c r="M30" i="16"/>
  <c r="L30" i="16"/>
  <c r="M30" i="22"/>
  <c r="L30" i="22"/>
  <c r="M30" i="24"/>
  <c r="L30" i="24"/>
  <c r="M30" i="15"/>
  <c r="L30" i="15"/>
  <c r="M30" i="18"/>
  <c r="L30" i="18"/>
  <c r="M30" i="19"/>
  <c r="L30" i="19"/>
  <c r="M30" i="20"/>
  <c r="L30" i="20"/>
  <c r="M30" i="21"/>
  <c r="L30" i="21"/>
  <c r="M30" i="23"/>
  <c r="L30" i="23"/>
  <c r="M30" i="9"/>
  <c r="L30" i="9"/>
  <c r="K30" i="10"/>
  <c r="K30" i="13"/>
  <c r="K30" i="14"/>
  <c r="K30" i="12"/>
  <c r="K30" i="11"/>
  <c r="K30" i="17"/>
  <c r="K30" i="16"/>
  <c r="K30" i="22"/>
  <c r="K30" i="24"/>
  <c r="K30" i="15"/>
  <c r="K30" i="18"/>
  <c r="K30" i="19"/>
  <c r="K30" i="20"/>
  <c r="K30" i="21"/>
  <c r="K30" i="23"/>
  <c r="K30" i="9"/>
  <c r="M9" i="10"/>
  <c r="M9" i="13"/>
  <c r="M9" i="14"/>
  <c r="M9" i="12"/>
  <c r="M9" i="11"/>
  <c r="M9" i="17"/>
  <c r="M9" i="16"/>
  <c r="M9" i="22"/>
  <c r="M9" i="24"/>
  <c r="M9" i="15"/>
  <c r="M9" i="18"/>
  <c r="M9" i="19"/>
  <c r="M9" i="20"/>
  <c r="M9" i="21"/>
  <c r="M9" i="23"/>
  <c r="M9" i="9"/>
  <c r="L9" i="10"/>
  <c r="L9" i="13"/>
  <c r="L9" i="14"/>
  <c r="L9" i="12"/>
  <c r="L9" i="11"/>
  <c r="L9" i="17"/>
  <c r="L9" i="16"/>
  <c r="L9" i="22"/>
  <c r="L9" i="24"/>
  <c r="L9" i="15"/>
  <c r="L9" i="18"/>
  <c r="L9" i="19"/>
  <c r="L9" i="20"/>
  <c r="L9" i="21"/>
  <c r="L9" i="23"/>
  <c r="L9" i="9"/>
  <c r="K42" i="1"/>
  <c r="AF14" i="3"/>
  <c r="K43" i="1"/>
  <c r="AF15" i="3" s="1"/>
  <c r="K44" i="1"/>
  <c r="AF16" i="3"/>
  <c r="K45" i="1"/>
  <c r="AF17" i="3" s="1"/>
  <c r="K46" i="1"/>
  <c r="AF18" i="3"/>
  <c r="K47" i="1"/>
  <c r="AF19" i="3"/>
  <c r="K48" i="1"/>
  <c r="AF20" i="3" s="1"/>
  <c r="K49" i="1"/>
  <c r="AF21" i="3"/>
  <c r="K50" i="1"/>
  <c r="AF22" i="3" s="1"/>
  <c r="K51" i="1"/>
  <c r="AF23" i="3"/>
  <c r="K52" i="1"/>
  <c r="AF24" i="3" s="1"/>
  <c r="K53" i="1"/>
  <c r="AF25" i="3" s="1"/>
  <c r="K54" i="1"/>
  <c r="AF26" i="3"/>
  <c r="K55" i="1"/>
  <c r="AF27" i="3" s="1"/>
  <c r="K56" i="1"/>
  <c r="AF28" i="3"/>
  <c r="K41" i="1"/>
  <c r="AF13" i="3"/>
  <c r="I42" i="1"/>
  <c r="AD14" i="3"/>
  <c r="I43" i="1"/>
  <c r="AD15" i="3" s="1"/>
  <c r="I44" i="1"/>
  <c r="AD16" i="3" s="1"/>
  <c r="I45" i="1"/>
  <c r="AD17" i="3" s="1"/>
  <c r="I46" i="1"/>
  <c r="AD18" i="3"/>
  <c r="I47" i="1"/>
  <c r="AD19" i="3"/>
  <c r="I48" i="1"/>
  <c r="AD20" i="3"/>
  <c r="I49" i="1"/>
  <c r="AD21" i="3" s="1"/>
  <c r="I50" i="1"/>
  <c r="AD22" i="3"/>
  <c r="I51" i="1"/>
  <c r="AD23" i="3" s="1"/>
  <c r="I52" i="1"/>
  <c r="AD24" i="3"/>
  <c r="I53" i="1"/>
  <c r="AD25" i="3" s="1"/>
  <c r="I54" i="1"/>
  <c r="AD26" i="3"/>
  <c r="I55" i="1"/>
  <c r="AD27" i="3" s="1"/>
  <c r="I56" i="1"/>
  <c r="AD28" i="3" s="1"/>
  <c r="I41" i="1"/>
  <c r="AD13" i="3"/>
  <c r="G42" i="1"/>
  <c r="AB14" i="3"/>
  <c r="G43" i="1"/>
  <c r="AB15" i="3"/>
  <c r="G44" i="1"/>
  <c r="AB16" i="3"/>
  <c r="G45" i="1"/>
  <c r="AB17" i="3" s="1"/>
  <c r="G46" i="1"/>
  <c r="AB18" i="3"/>
  <c r="G47" i="1"/>
  <c r="AB19" i="3"/>
  <c r="G48" i="1"/>
  <c r="AB20" i="3"/>
  <c r="G49" i="1"/>
  <c r="AB21" i="3"/>
  <c r="G50" i="1"/>
  <c r="AB22" i="3"/>
  <c r="G51" i="1"/>
  <c r="AB23" i="3"/>
  <c r="G52" i="1"/>
  <c r="AB24" i="3" s="1"/>
  <c r="G53" i="1"/>
  <c r="AB25" i="3" s="1"/>
  <c r="G54" i="1"/>
  <c r="AB26" i="3"/>
  <c r="G55" i="1"/>
  <c r="AB27" i="3"/>
  <c r="G56" i="1"/>
  <c r="AB28" i="3" s="1"/>
  <c r="G41" i="1"/>
  <c r="AB13" i="3" s="1"/>
  <c r="E42" i="1"/>
  <c r="Z14" i="3"/>
  <c r="E43" i="1"/>
  <c r="Z15" i="3" s="1"/>
  <c r="E44" i="1"/>
  <c r="Z16" i="3"/>
  <c r="E45" i="1"/>
  <c r="Z17" i="3" s="1"/>
  <c r="E46" i="1"/>
  <c r="Z18" i="3"/>
  <c r="E47" i="1"/>
  <c r="Z19" i="3"/>
  <c r="E48" i="1"/>
  <c r="Z20" i="3"/>
  <c r="E49" i="1"/>
  <c r="Z21" i="3"/>
  <c r="E50" i="1"/>
  <c r="Z22" i="3"/>
  <c r="E51" i="1"/>
  <c r="Z23" i="3"/>
  <c r="E52" i="1"/>
  <c r="Z24" i="3"/>
  <c r="E53" i="1"/>
  <c r="Z25" i="3" s="1"/>
  <c r="E54" i="1"/>
  <c r="Z26" i="3"/>
  <c r="E55" i="1"/>
  <c r="Z27" i="3" s="1"/>
  <c r="E56" i="1"/>
  <c r="Z28" i="3" s="1"/>
  <c r="C42" i="1"/>
  <c r="X14" i="3" s="1"/>
  <c r="C43" i="1"/>
  <c r="X15" i="3" s="1"/>
  <c r="C44" i="1"/>
  <c r="X16" i="3"/>
  <c r="C45" i="1"/>
  <c r="X17" i="3" s="1"/>
  <c r="C46" i="1"/>
  <c r="X18" i="3" s="1"/>
  <c r="C47" i="1"/>
  <c r="X19" i="3"/>
  <c r="C48" i="1"/>
  <c r="X20" i="3"/>
  <c r="C49" i="1"/>
  <c r="X21" i="3"/>
  <c r="C50" i="1"/>
  <c r="X22" i="3"/>
  <c r="C51" i="1"/>
  <c r="X23" i="3"/>
  <c r="C52" i="1"/>
  <c r="X24" i="3"/>
  <c r="C53" i="1"/>
  <c r="X25" i="3"/>
  <c r="C54" i="1"/>
  <c r="X26" i="3" s="1"/>
  <c r="C55" i="1"/>
  <c r="X27" i="3"/>
  <c r="C56" i="1"/>
  <c r="X28" i="3"/>
  <c r="E41" i="1"/>
  <c r="Z13" i="3" s="1"/>
  <c r="C41" i="1"/>
  <c r="X13" i="3" s="1"/>
  <c r="B98" i="4"/>
  <c r="B99" i="4"/>
  <c r="B100" i="4"/>
  <c r="B101" i="4"/>
  <c r="B102" i="4"/>
  <c r="B103" i="4"/>
  <c r="B104" i="4"/>
  <c r="B105" i="4"/>
  <c r="B106" i="4"/>
  <c r="B107" i="4"/>
  <c r="B108" i="4"/>
  <c r="B109" i="4"/>
  <c r="B110" i="4"/>
  <c r="B111" i="4"/>
  <c r="B112" i="4"/>
  <c r="B97" i="4"/>
  <c r="W20" i="30"/>
  <c r="G16" i="30"/>
  <c r="G17" i="30"/>
  <c r="G18" i="30"/>
  <c r="G19" i="30"/>
  <c r="G20" i="30"/>
  <c r="G21" i="30"/>
  <c r="G22" i="30"/>
  <c r="G23" i="30"/>
  <c r="G24" i="30"/>
  <c r="G25" i="30"/>
  <c r="G26" i="30"/>
  <c r="G27" i="30"/>
  <c r="G28" i="30"/>
  <c r="G29" i="30"/>
  <c r="G30" i="30"/>
  <c r="G15" i="30"/>
  <c r="F16" i="30"/>
  <c r="F17" i="30"/>
  <c r="F18" i="30"/>
  <c r="F19" i="30"/>
  <c r="F20" i="30"/>
  <c r="F21" i="30"/>
  <c r="F22" i="30"/>
  <c r="F23" i="30"/>
  <c r="F24" i="30"/>
  <c r="F25" i="30"/>
  <c r="F26" i="30"/>
  <c r="F27" i="30"/>
  <c r="F28" i="30"/>
  <c r="F29" i="30"/>
  <c r="F30" i="30"/>
  <c r="F15" i="30"/>
  <c r="E16" i="30"/>
  <c r="E18" i="30"/>
  <c r="E19" i="30"/>
  <c r="E20" i="30"/>
  <c r="E21" i="30"/>
  <c r="E22" i="30"/>
  <c r="E23" i="30"/>
  <c r="E24" i="30"/>
  <c r="E25" i="30"/>
  <c r="E26" i="30"/>
  <c r="E27" i="30"/>
  <c r="E28" i="30"/>
  <c r="E29" i="30"/>
  <c r="E30" i="30"/>
  <c r="E15" i="30"/>
  <c r="B15" i="1"/>
  <c r="B43" i="1"/>
  <c r="B14" i="3"/>
  <c r="B14" i="1"/>
  <c r="B42" i="1"/>
  <c r="C14" i="3"/>
  <c r="C14" i="1" s="1"/>
  <c r="D14" i="3"/>
  <c r="B17" i="3"/>
  <c r="B17" i="1"/>
  <c r="B45" i="1" s="1"/>
  <c r="C17" i="3"/>
  <c r="C17" i="1"/>
  <c r="D17" i="3"/>
  <c r="B18" i="3"/>
  <c r="B18" i="1" s="1"/>
  <c r="B46" i="1" s="1"/>
  <c r="C18" i="3"/>
  <c r="C18" i="1"/>
  <c r="D18" i="3"/>
  <c r="B16" i="3"/>
  <c r="B16" i="1"/>
  <c r="B44" i="1" s="1"/>
  <c r="C16" i="3"/>
  <c r="C16" i="1"/>
  <c r="D16" i="3"/>
  <c r="C15" i="3"/>
  <c r="C15" i="1" s="1"/>
  <c r="D15" i="3"/>
  <c r="B23" i="3"/>
  <c r="B23" i="1" s="1"/>
  <c r="B51" i="1" s="1"/>
  <c r="C23" i="3"/>
  <c r="C23" i="1"/>
  <c r="D23" i="3"/>
  <c r="B19" i="3"/>
  <c r="B19" i="1" s="1"/>
  <c r="B47" i="1" s="1"/>
  <c r="C19" i="3"/>
  <c r="C19" i="1" s="1"/>
  <c r="D19" i="3"/>
  <c r="B20" i="3"/>
  <c r="B20" i="1"/>
  <c r="B48" i="1"/>
  <c r="C20" i="3"/>
  <c r="C20" i="1"/>
  <c r="D20" i="3"/>
  <c r="B24" i="3"/>
  <c r="B24" i="1"/>
  <c r="B52" i="1" s="1"/>
  <c r="C24" i="3"/>
  <c r="C24" i="1" s="1"/>
  <c r="D24" i="3"/>
  <c r="B25" i="3"/>
  <c r="B25" i="1" s="1"/>
  <c r="B53" i="1" s="1"/>
  <c r="C25" i="3"/>
  <c r="C25" i="1"/>
  <c r="D25" i="3"/>
  <c r="B26" i="3"/>
  <c r="B26" i="1"/>
  <c r="B54" i="1"/>
  <c r="C26" i="3"/>
  <c r="C26" i="1"/>
  <c r="D26" i="3"/>
  <c r="B27" i="3"/>
  <c r="B27" i="1"/>
  <c r="B55" i="1" s="1"/>
  <c r="C27" i="3"/>
  <c r="C27" i="1" s="1"/>
  <c r="D27" i="3"/>
  <c r="B21" i="3"/>
  <c r="B21" i="1"/>
  <c r="B49" i="1"/>
  <c r="C21" i="3"/>
  <c r="C21" i="1" s="1"/>
  <c r="D21" i="3"/>
  <c r="B22" i="3"/>
  <c r="B22" i="1" s="1"/>
  <c r="B50" i="1" s="1"/>
  <c r="C22" i="3"/>
  <c r="C22" i="1" s="1"/>
  <c r="D22" i="3"/>
  <c r="B28" i="3"/>
  <c r="B28" i="1"/>
  <c r="B56" i="1" s="1"/>
  <c r="C28" i="3"/>
  <c r="C28" i="1" s="1"/>
  <c r="D28" i="3"/>
  <c r="C161" i="1"/>
  <c r="C21" i="11"/>
  <c r="C21" i="12"/>
  <c r="B16" i="30"/>
  <c r="B17" i="30"/>
  <c r="B18" i="30"/>
  <c r="B19" i="30"/>
  <c r="B20" i="30"/>
  <c r="B21" i="30"/>
  <c r="B22" i="30"/>
  <c r="B23" i="30"/>
  <c r="B24" i="30"/>
  <c r="B25" i="30"/>
  <c r="B26" i="30"/>
  <c r="B27" i="30"/>
  <c r="B28" i="30"/>
  <c r="B29" i="30"/>
  <c r="B30" i="30"/>
  <c r="B15" i="30"/>
  <c r="A8" i="23"/>
  <c r="A8" i="21"/>
  <c r="A8" i="20"/>
  <c r="A8" i="19"/>
  <c r="A46" i="19" s="1"/>
  <c r="A8" i="18"/>
  <c r="A8" i="15"/>
  <c r="A8" i="24"/>
  <c r="A8" i="22"/>
  <c r="A8" i="16"/>
  <c r="A8" i="17"/>
  <c r="A8" i="11"/>
  <c r="B11" i="11" s="1"/>
  <c r="A8" i="12"/>
  <c r="A8" i="14"/>
  <c r="A8" i="13"/>
  <c r="A9" i="13" s="1"/>
  <c r="A8" i="10"/>
  <c r="A8" i="9"/>
  <c r="A16" i="30"/>
  <c r="A17" i="30"/>
  <c r="A18" i="30"/>
  <c r="A19" i="30"/>
  <c r="A20" i="30"/>
  <c r="A21" i="30"/>
  <c r="A22" i="30"/>
  <c r="A23" i="30"/>
  <c r="A24" i="30"/>
  <c r="A25" i="30"/>
  <c r="A26" i="30"/>
  <c r="A27" i="30"/>
  <c r="A28" i="30"/>
  <c r="A29" i="30"/>
  <c r="A30" i="30"/>
  <c r="A15" i="30"/>
  <c r="E23" i="24" s="1"/>
  <c r="A28" i="10"/>
  <c r="A28" i="13"/>
  <c r="A28" i="14"/>
  <c r="A28" i="12"/>
  <c r="A28" i="11"/>
  <c r="A28" i="17"/>
  <c r="A28" i="16"/>
  <c r="A28" i="22"/>
  <c r="A28" i="24"/>
  <c r="A28" i="15"/>
  <c r="A28" i="18"/>
  <c r="A28" i="19"/>
  <c r="A28" i="20"/>
  <c r="A28" i="21"/>
  <c r="A28" i="23"/>
  <c r="A28" i="9"/>
  <c r="A27" i="10"/>
  <c r="A27" i="13"/>
  <c r="A27" i="14"/>
  <c r="A27" i="12"/>
  <c r="A27" i="11"/>
  <c r="A27" i="17"/>
  <c r="A27" i="16"/>
  <c r="A27" i="22"/>
  <c r="A27" i="24"/>
  <c r="A27" i="15"/>
  <c r="A27" i="18"/>
  <c r="A27" i="19"/>
  <c r="A27" i="20"/>
  <c r="A27" i="21"/>
  <c r="A27" i="23"/>
  <c r="A27" i="9"/>
  <c r="A26" i="10"/>
  <c r="A26" i="13"/>
  <c r="A26" i="14"/>
  <c r="A26" i="12"/>
  <c r="A26" i="11"/>
  <c r="A26" i="17"/>
  <c r="A26" i="16"/>
  <c r="A26" i="22"/>
  <c r="A26" i="24"/>
  <c r="A26" i="15"/>
  <c r="A26" i="18"/>
  <c r="A26" i="19"/>
  <c r="A26" i="20"/>
  <c r="A26" i="21"/>
  <c r="A26" i="23"/>
  <c r="A26" i="9"/>
  <c r="C25" i="10"/>
  <c r="C25" i="13"/>
  <c r="C25" i="14"/>
  <c r="C25" i="12"/>
  <c r="C25" i="11"/>
  <c r="C25" i="17"/>
  <c r="C25" i="16"/>
  <c r="C25" i="22"/>
  <c r="C25" i="18"/>
  <c r="C25" i="19"/>
  <c r="C25" i="20"/>
  <c r="C25" i="21"/>
  <c r="C25" i="23"/>
  <c r="C25" i="9"/>
  <c r="A25" i="10"/>
  <c r="A25" i="13"/>
  <c r="A25" i="14"/>
  <c r="A25" i="12"/>
  <c r="A25" i="11"/>
  <c r="A25" i="17"/>
  <c r="A25" i="16"/>
  <c r="A25" i="22"/>
  <c r="A25" i="24"/>
  <c r="A25" i="15"/>
  <c r="A25" i="18"/>
  <c r="A25" i="19"/>
  <c r="A25" i="20"/>
  <c r="A25" i="21"/>
  <c r="A25" i="23"/>
  <c r="A25" i="9"/>
  <c r="A24" i="10"/>
  <c r="A24" i="13"/>
  <c r="A24" i="14"/>
  <c r="A24" i="12"/>
  <c r="A24" i="11"/>
  <c r="A24" i="17"/>
  <c r="A24" i="16"/>
  <c r="A24" i="22"/>
  <c r="A24" i="24"/>
  <c r="A24" i="15"/>
  <c r="A24" i="18"/>
  <c r="A24" i="19"/>
  <c r="A24" i="20"/>
  <c r="A24" i="21"/>
  <c r="A24" i="23"/>
  <c r="A24" i="9"/>
  <c r="A6" i="30"/>
  <c r="C16" i="5"/>
  <c r="C18" i="5" s="1"/>
  <c r="R97" i="45"/>
  <c r="R99" i="45"/>
  <c r="H31" i="43"/>
  <c r="W19" i="30"/>
  <c r="W23" i="30"/>
  <c r="L16" i="30"/>
  <c r="S22" i="30"/>
  <c r="S23" i="30"/>
  <c r="S28" i="30"/>
  <c r="S30" i="30"/>
  <c r="S21" i="30"/>
  <c r="W30" i="30"/>
  <c r="W21" i="30"/>
  <c r="W29" i="30"/>
  <c r="D28" i="6"/>
  <c r="F28" i="6" s="1"/>
  <c r="D29" i="6"/>
  <c r="F29" i="6" s="1"/>
  <c r="D27" i="6"/>
  <c r="F27" i="6"/>
  <c r="D26" i="6"/>
  <c r="F26" i="6"/>
  <c r="D22" i="6"/>
  <c r="F22" i="6" s="1"/>
  <c r="D21" i="6"/>
  <c r="F21" i="6" s="1"/>
  <c r="D20" i="6"/>
  <c r="F20" i="6" s="1"/>
  <c r="D19" i="6"/>
  <c r="F19" i="6" s="1"/>
  <c r="F23" i="6" s="1"/>
  <c r="D15" i="6"/>
  <c r="F15" i="6"/>
  <c r="D12" i="6"/>
  <c r="F12" i="6"/>
  <c r="D14" i="6"/>
  <c r="F14" i="6" s="1"/>
  <c r="F13" i="6"/>
  <c r="D11" i="6"/>
  <c r="F11" i="6"/>
  <c r="D10" i="6"/>
  <c r="F10" i="6" s="1"/>
  <c r="D9" i="6"/>
  <c r="F9" i="6" s="1"/>
  <c r="W15" i="30"/>
  <c r="S27" i="30"/>
  <c r="S20" i="30"/>
  <c r="S19" i="30"/>
  <c r="S15" i="30"/>
  <c r="D67" i="1"/>
  <c r="D69" i="1"/>
  <c r="D71" i="1" s="1"/>
  <c r="AG18" i="26"/>
  <c r="AH18" i="26"/>
  <c r="Z18" i="26"/>
  <c r="AA18" i="26"/>
  <c r="S18" i="26"/>
  <c r="T18" i="26" s="1"/>
  <c r="L18" i="26"/>
  <c r="M18" i="26" s="1"/>
  <c r="J18" i="26"/>
  <c r="I18" i="26"/>
  <c r="P18" i="26"/>
  <c r="W18" i="26" s="1"/>
  <c r="AD18" i="26" s="1"/>
  <c r="F18" i="26"/>
  <c r="AH17" i="26"/>
  <c r="AA17" i="26"/>
  <c r="T17" i="26"/>
  <c r="M17" i="26"/>
  <c r="J17" i="26"/>
  <c r="I17" i="26"/>
  <c r="P17" i="26" s="1"/>
  <c r="W17" i="26" s="1"/>
  <c r="AD17" i="26" s="1"/>
  <c r="F17" i="26"/>
  <c r="AH16" i="26"/>
  <c r="AA16" i="26"/>
  <c r="T16" i="26"/>
  <c r="M16" i="26"/>
  <c r="J16" i="26"/>
  <c r="I16" i="26"/>
  <c r="P16" i="26"/>
  <c r="W16" i="26" s="1"/>
  <c r="AD16" i="26" s="1"/>
  <c r="F16" i="26"/>
  <c r="AH15" i="26"/>
  <c r="AA15" i="26"/>
  <c r="T15" i="26"/>
  <c r="M15" i="26"/>
  <c r="J15" i="26"/>
  <c r="I15" i="26"/>
  <c r="P15" i="26" s="1"/>
  <c r="W15" i="26" s="1"/>
  <c r="AD15" i="26"/>
  <c r="F15" i="26"/>
  <c r="AH14" i="26"/>
  <c r="AA14" i="26"/>
  <c r="T14" i="26"/>
  <c r="M14" i="26"/>
  <c r="J14" i="26"/>
  <c r="I14" i="26"/>
  <c r="P14" i="26" s="1"/>
  <c r="W14" i="26" s="1"/>
  <c r="AD14" i="26" s="1"/>
  <c r="F14" i="26"/>
  <c r="AH13" i="26"/>
  <c r="AA13" i="26"/>
  <c r="T13" i="26"/>
  <c r="M13" i="26"/>
  <c r="J13" i="26"/>
  <c r="I13" i="26"/>
  <c r="P13" i="26"/>
  <c r="W13" i="26" s="1"/>
  <c r="AD13" i="26" s="1"/>
  <c r="F13" i="26"/>
  <c r="AH12" i="26"/>
  <c r="AA12" i="26"/>
  <c r="T12" i="26"/>
  <c r="M12" i="26"/>
  <c r="J12" i="26"/>
  <c r="I12" i="26"/>
  <c r="P12" i="26" s="1"/>
  <c r="W12" i="26" s="1"/>
  <c r="AD12" i="26" s="1"/>
  <c r="F12" i="26"/>
  <c r="AH11" i="26"/>
  <c r="AA11" i="26"/>
  <c r="T11" i="26"/>
  <c r="M11" i="26"/>
  <c r="J11" i="26"/>
  <c r="I11" i="26"/>
  <c r="P11" i="26"/>
  <c r="W11" i="26"/>
  <c r="AD11" i="26" s="1"/>
  <c r="F11" i="26"/>
  <c r="AH10" i="26"/>
  <c r="AA10" i="26"/>
  <c r="T10" i="26"/>
  <c r="M10" i="26"/>
  <c r="J10" i="26"/>
  <c r="I10" i="26"/>
  <c r="P10" i="26"/>
  <c r="W10" i="26"/>
  <c r="AD10" i="26" s="1"/>
  <c r="F10" i="26"/>
  <c r="AH9" i="26"/>
  <c r="AA9" i="26"/>
  <c r="T9" i="26"/>
  <c r="M9" i="26"/>
  <c r="J9" i="26"/>
  <c r="I9" i="26"/>
  <c r="P9" i="26"/>
  <c r="W9" i="26" s="1"/>
  <c r="AD9" i="26" s="1"/>
  <c r="F9" i="26"/>
  <c r="AH8" i="26"/>
  <c r="AA8" i="26"/>
  <c r="T8" i="26"/>
  <c r="M8" i="26"/>
  <c r="J8" i="26"/>
  <c r="I8" i="26"/>
  <c r="P8" i="26" s="1"/>
  <c r="W8" i="26" s="1"/>
  <c r="AD8" i="26" s="1"/>
  <c r="F8" i="26"/>
  <c r="AH7" i="26"/>
  <c r="AI7" i="26" s="1"/>
  <c r="AI8" i="26" s="1"/>
  <c r="AA7" i="26"/>
  <c r="T7" i="26"/>
  <c r="M7" i="26"/>
  <c r="J7" i="26"/>
  <c r="I7" i="26"/>
  <c r="P7" i="26"/>
  <c r="W7" i="26"/>
  <c r="AD7" i="26" s="1"/>
  <c r="F7" i="26"/>
  <c r="AG6" i="26"/>
  <c r="AH6" i="26"/>
  <c r="AI6" i="26"/>
  <c r="Z6" i="26"/>
  <c r="AA6" i="26" s="1"/>
  <c r="AB6" i="26" s="1"/>
  <c r="AB7" i="26" s="1"/>
  <c r="AB8" i="26" s="1"/>
  <c r="AB9" i="26" s="1"/>
  <c r="S6" i="26"/>
  <c r="T6" i="26" s="1"/>
  <c r="U6" i="26" s="1"/>
  <c r="U7" i="26" s="1"/>
  <c r="U8" i="26" s="1"/>
  <c r="L6" i="26"/>
  <c r="M6" i="26"/>
  <c r="N6" i="26" s="1"/>
  <c r="N7" i="26" s="1"/>
  <c r="N8" i="26" s="1"/>
  <c r="N9" i="26"/>
  <c r="N10" i="26" s="1"/>
  <c r="N11" i="26" s="1"/>
  <c r="N12" i="26" s="1"/>
  <c r="N13" i="26" s="1"/>
  <c r="J6" i="26"/>
  <c r="I6" i="26"/>
  <c r="P6" i="26"/>
  <c r="W6" i="26"/>
  <c r="AD6" i="26" s="1"/>
  <c r="F6" i="26"/>
  <c r="G6" i="26"/>
  <c r="G7" i="26" s="1"/>
  <c r="G8" i="26" s="1"/>
  <c r="G9" i="26" s="1"/>
  <c r="G10" i="26" s="1"/>
  <c r="G11" i="26" s="1"/>
  <c r="G12" i="26" s="1"/>
  <c r="G13" i="26" s="1"/>
  <c r="G14" i="26" s="1"/>
  <c r="G15" i="26" s="1"/>
  <c r="G16" i="26" s="1"/>
  <c r="G17" i="26" s="1"/>
  <c r="G18" i="26" s="1"/>
  <c r="G19" i="26" s="1"/>
  <c r="B27" i="25"/>
  <c r="E26" i="25"/>
  <c r="E24" i="25"/>
  <c r="E23" i="25"/>
  <c r="E22" i="25"/>
  <c r="E21" i="25"/>
  <c r="U7" i="25"/>
  <c r="T7" i="25"/>
  <c r="S7" i="25"/>
  <c r="R7" i="25"/>
  <c r="Q7" i="25"/>
  <c r="P7" i="25"/>
  <c r="O7" i="25"/>
  <c r="N7" i="25"/>
  <c r="M7" i="25"/>
  <c r="L7" i="25"/>
  <c r="K7" i="25"/>
  <c r="J7" i="25"/>
  <c r="I7" i="25"/>
  <c r="H7" i="25"/>
  <c r="G7" i="25"/>
  <c r="F7" i="25"/>
  <c r="A5" i="25"/>
  <c r="D43" i="24"/>
  <c r="A43" i="24"/>
  <c r="D42" i="24"/>
  <c r="D41" i="24"/>
  <c r="D40" i="24"/>
  <c r="D44" i="24" s="1"/>
  <c r="D36" i="24"/>
  <c r="D34" i="24"/>
  <c r="H30" i="24"/>
  <c r="H31" i="24" s="1"/>
  <c r="A29" i="24"/>
  <c r="E21" i="24"/>
  <c r="D21" i="24"/>
  <c r="O9" i="24" s="1"/>
  <c r="O13" i="24" s="1"/>
  <c r="O15" i="24" s="1"/>
  <c r="O31" i="24" s="1"/>
  <c r="C21" i="24"/>
  <c r="D11" i="24"/>
  <c r="F12" i="24" s="1"/>
  <c r="A5" i="24"/>
  <c r="D43" i="23"/>
  <c r="A43" i="23"/>
  <c r="D42" i="23"/>
  <c r="D44" i="23" s="1"/>
  <c r="D41" i="23"/>
  <c r="D40" i="23"/>
  <c r="D36" i="23"/>
  <c r="D37" i="23" s="1"/>
  <c r="D34" i="23"/>
  <c r="H30" i="23"/>
  <c r="A29" i="23"/>
  <c r="E21" i="23"/>
  <c r="D21" i="23"/>
  <c r="C21" i="23"/>
  <c r="D11" i="23"/>
  <c r="F12" i="23" s="1"/>
  <c r="A9" i="23"/>
  <c r="A5" i="23"/>
  <c r="D43" i="22"/>
  <c r="A43" i="22"/>
  <c r="D42" i="22"/>
  <c r="D41" i="22"/>
  <c r="D40" i="22"/>
  <c r="D36" i="22"/>
  <c r="D34" i="22"/>
  <c r="H30" i="22"/>
  <c r="A29" i="22"/>
  <c r="E21" i="22"/>
  <c r="D21" i="22"/>
  <c r="O9" i="22"/>
  <c r="O13" i="22" s="1"/>
  <c r="O15" i="22" s="1"/>
  <c r="O31" i="22" s="1"/>
  <c r="C21" i="22"/>
  <c r="D11" i="22"/>
  <c r="F12" i="22"/>
  <c r="A5" i="22"/>
  <c r="D43" i="21"/>
  <c r="D44" i="21" s="1"/>
  <c r="A43" i="21"/>
  <c r="D42" i="21"/>
  <c r="D41" i="21"/>
  <c r="D40" i="21"/>
  <c r="D36" i="21"/>
  <c r="D34" i="21"/>
  <c r="H30" i="21"/>
  <c r="A29" i="21"/>
  <c r="E21" i="21"/>
  <c r="D21" i="21"/>
  <c r="C21" i="21"/>
  <c r="F21" i="21" s="1"/>
  <c r="D11" i="21"/>
  <c r="F12" i="21"/>
  <c r="A9" i="21"/>
  <c r="A5" i="21"/>
  <c r="D43" i="20"/>
  <c r="D44" i="20" s="1"/>
  <c r="A43" i="20"/>
  <c r="D42" i="20"/>
  <c r="D41" i="20"/>
  <c r="D40" i="20"/>
  <c r="D36" i="20"/>
  <c r="D34" i="20"/>
  <c r="H30" i="20"/>
  <c r="A29" i="20"/>
  <c r="E21" i="20"/>
  <c r="D21" i="20"/>
  <c r="C21" i="20"/>
  <c r="D11" i="20"/>
  <c r="F12" i="20"/>
  <c r="A5" i="20"/>
  <c r="D43" i="19"/>
  <c r="A43" i="19"/>
  <c r="D42" i="19"/>
  <c r="D41" i="19"/>
  <c r="D40" i="19"/>
  <c r="D36" i="19"/>
  <c r="D34" i="19"/>
  <c r="H30" i="19"/>
  <c r="H31" i="19" s="1"/>
  <c r="H34" i="19" s="1"/>
  <c r="A29" i="19"/>
  <c r="E21" i="19"/>
  <c r="O13" i="19"/>
  <c r="O15" i="19" s="1"/>
  <c r="O31" i="19" s="1"/>
  <c r="O34" i="19" s="1"/>
  <c r="D21" i="19"/>
  <c r="O9" i="19" s="1"/>
  <c r="C21" i="19"/>
  <c r="D11" i="19"/>
  <c r="F12" i="19" s="1"/>
  <c r="A5" i="19"/>
  <c r="D43" i="18"/>
  <c r="A43" i="18"/>
  <c r="D42" i="18"/>
  <c r="D41" i="18"/>
  <c r="D40" i="18"/>
  <c r="D44" i="18" s="1"/>
  <c r="D36" i="18"/>
  <c r="D34" i="18"/>
  <c r="D37" i="18" s="1"/>
  <c r="H30" i="18"/>
  <c r="H31" i="18" s="1"/>
  <c r="A29" i="18"/>
  <c r="E21" i="18"/>
  <c r="O9" i="18"/>
  <c r="O13" i="18" s="1"/>
  <c r="O15" i="18" s="1"/>
  <c r="D21" i="18"/>
  <c r="C21" i="18"/>
  <c r="D11" i="18"/>
  <c r="A5" i="18"/>
  <c r="D43" i="17"/>
  <c r="A43" i="17"/>
  <c r="D42" i="17"/>
  <c r="D44" i="17" s="1"/>
  <c r="D41" i="17"/>
  <c r="D40" i="17"/>
  <c r="D36" i="17"/>
  <c r="D34" i="17"/>
  <c r="H30" i="17"/>
  <c r="H31" i="17" s="1"/>
  <c r="A29" i="17"/>
  <c r="E21" i="17"/>
  <c r="D21" i="17"/>
  <c r="C21" i="17"/>
  <c r="D11" i="17"/>
  <c r="A5" i="17"/>
  <c r="D43" i="16"/>
  <c r="A43" i="16"/>
  <c r="D42" i="16"/>
  <c r="D41" i="16"/>
  <c r="D40" i="16"/>
  <c r="D36" i="16"/>
  <c r="D34" i="16"/>
  <c r="H30" i="16"/>
  <c r="A29" i="16"/>
  <c r="E21" i="16"/>
  <c r="D21" i="16"/>
  <c r="C21" i="16"/>
  <c r="D11" i="16"/>
  <c r="F12" i="16"/>
  <c r="A5" i="16"/>
  <c r="D43" i="15"/>
  <c r="A43" i="15"/>
  <c r="D42" i="15"/>
  <c r="D44" i="15" s="1"/>
  <c r="D41" i="15"/>
  <c r="D40" i="15"/>
  <c r="D36" i="15"/>
  <c r="D34" i="15"/>
  <c r="D37" i="15" s="1"/>
  <c r="H30" i="15"/>
  <c r="A29" i="15"/>
  <c r="E21" i="15"/>
  <c r="D21" i="15"/>
  <c r="C21" i="15"/>
  <c r="D11" i="15"/>
  <c r="A5" i="15"/>
  <c r="D43" i="14"/>
  <c r="A43" i="14"/>
  <c r="D42" i="14"/>
  <c r="D41" i="14"/>
  <c r="D40" i="14"/>
  <c r="D36" i="14"/>
  <c r="D34" i="14"/>
  <c r="D37" i="14" s="1"/>
  <c r="H30" i="14"/>
  <c r="H31" i="14" s="1"/>
  <c r="A29" i="14"/>
  <c r="E21" i="14"/>
  <c r="O9" i="14" s="1"/>
  <c r="O13" i="14" s="1"/>
  <c r="O15" i="14" s="1"/>
  <c r="D21" i="14"/>
  <c r="C21" i="14"/>
  <c r="D11" i="14"/>
  <c r="A5" i="14"/>
  <c r="D43" i="13"/>
  <c r="A43" i="13"/>
  <c r="D42" i="13"/>
  <c r="D41" i="13"/>
  <c r="D40" i="13"/>
  <c r="D36" i="13"/>
  <c r="D34" i="13"/>
  <c r="H30" i="13"/>
  <c r="A29" i="13"/>
  <c r="E21" i="13"/>
  <c r="D21" i="13"/>
  <c r="O9" i="13"/>
  <c r="C21" i="13"/>
  <c r="D11" i="13"/>
  <c r="F12" i="13" s="1"/>
  <c r="A5" i="13"/>
  <c r="D43" i="12"/>
  <c r="A43" i="12"/>
  <c r="D42" i="12"/>
  <c r="D41" i="12"/>
  <c r="D40" i="12"/>
  <c r="D36" i="12"/>
  <c r="D34" i="12"/>
  <c r="D37" i="12" s="1"/>
  <c r="H30" i="12"/>
  <c r="A29" i="12"/>
  <c r="E21" i="12"/>
  <c r="O9" i="12" s="1"/>
  <c r="O13" i="12" s="1"/>
  <c r="O15" i="12" s="1"/>
  <c r="D21" i="12"/>
  <c r="D11" i="12"/>
  <c r="A9" i="12"/>
  <c r="A5" i="12"/>
  <c r="D43" i="11"/>
  <c r="A43" i="11"/>
  <c r="D42" i="11"/>
  <c r="D41" i="11"/>
  <c r="D44" i="11" s="1"/>
  <c r="D40" i="11"/>
  <c r="D36" i="11"/>
  <c r="D34" i="11"/>
  <c r="H30" i="11"/>
  <c r="A29" i="11"/>
  <c r="E21" i="11"/>
  <c r="D21" i="11"/>
  <c r="D11" i="11"/>
  <c r="F12" i="11" s="1"/>
  <c r="A5" i="11"/>
  <c r="D43" i="10"/>
  <c r="A43" i="10"/>
  <c r="D42" i="10"/>
  <c r="D41" i="10"/>
  <c r="D40" i="10"/>
  <c r="D36" i="10"/>
  <c r="D34" i="10"/>
  <c r="D37" i="10" s="1"/>
  <c r="H30" i="10"/>
  <c r="A29" i="10"/>
  <c r="E21" i="10"/>
  <c r="O9" i="10" s="1"/>
  <c r="O13" i="10" s="1"/>
  <c r="O15" i="10" s="1"/>
  <c r="O31" i="10" s="1"/>
  <c r="O34" i="10" s="1"/>
  <c r="D21" i="10"/>
  <c r="C21" i="10"/>
  <c r="D11" i="10"/>
  <c r="F12" i="10"/>
  <c r="A5" i="10"/>
  <c r="D43" i="9"/>
  <c r="A43" i="9"/>
  <c r="D42" i="9"/>
  <c r="D41" i="9"/>
  <c r="D40" i="9"/>
  <c r="D36" i="9"/>
  <c r="D34" i="9"/>
  <c r="D37" i="9" s="1"/>
  <c r="H30" i="9"/>
  <c r="A29" i="9"/>
  <c r="E21" i="9"/>
  <c r="O9" i="9" s="1"/>
  <c r="O13" i="9" s="1"/>
  <c r="O15" i="9" s="1"/>
  <c r="O31" i="9" s="1"/>
  <c r="D21" i="9"/>
  <c r="C21" i="9"/>
  <c r="D11" i="9"/>
  <c r="F12" i="9" s="1"/>
  <c r="A5" i="9"/>
  <c r="A5" i="8"/>
  <c r="G172" i="7"/>
  <c r="J172" i="7"/>
  <c r="G171" i="7"/>
  <c r="J171" i="7"/>
  <c r="G170" i="7"/>
  <c r="J170" i="7"/>
  <c r="G169" i="7"/>
  <c r="J169" i="7" s="1"/>
  <c r="G168" i="7"/>
  <c r="J168" i="7" s="1"/>
  <c r="G167" i="7"/>
  <c r="J167" i="7"/>
  <c r="G166" i="7"/>
  <c r="J166" i="7"/>
  <c r="G165" i="7"/>
  <c r="J165" i="7" s="1"/>
  <c r="G164" i="7"/>
  <c r="J164" i="7" s="1"/>
  <c r="G163" i="7"/>
  <c r="J163" i="7" s="1"/>
  <c r="G162" i="7"/>
  <c r="J162" i="7" s="1"/>
  <c r="G161" i="7"/>
  <c r="J161" i="7" s="1"/>
  <c r="G160" i="7"/>
  <c r="J160" i="7" s="1"/>
  <c r="G159" i="7"/>
  <c r="J159" i="7"/>
  <c r="G158" i="7"/>
  <c r="J158" i="7"/>
  <c r="G157" i="7"/>
  <c r="J157" i="7"/>
  <c r="G156" i="7"/>
  <c r="J156" i="7"/>
  <c r="G155" i="7"/>
  <c r="J155" i="7"/>
  <c r="G154" i="7"/>
  <c r="J154" i="7"/>
  <c r="G153" i="7"/>
  <c r="J153" i="7"/>
  <c r="G151" i="7"/>
  <c r="J151" i="7" s="1"/>
  <c r="G150" i="7"/>
  <c r="J150" i="7"/>
  <c r="G149" i="7"/>
  <c r="J149" i="7"/>
  <c r="G148" i="7"/>
  <c r="J148" i="7"/>
  <c r="G147" i="7"/>
  <c r="J147" i="7" s="1"/>
  <c r="G146" i="7"/>
  <c r="J146" i="7" s="1"/>
  <c r="G145" i="7"/>
  <c r="J145" i="7" s="1"/>
  <c r="G144" i="7"/>
  <c r="J144" i="7" s="1"/>
  <c r="G143" i="7"/>
  <c r="J143" i="7" s="1"/>
  <c r="G142" i="7"/>
  <c r="J142" i="7"/>
  <c r="G141" i="7"/>
  <c r="J141" i="7" s="1"/>
  <c r="G140" i="7"/>
  <c r="J140" i="7"/>
  <c r="G139" i="7"/>
  <c r="J139" i="7" s="1"/>
  <c r="G138" i="7"/>
  <c r="J138" i="7"/>
  <c r="G137" i="7"/>
  <c r="J137" i="7"/>
  <c r="G136" i="7"/>
  <c r="J136" i="7"/>
  <c r="G135" i="7"/>
  <c r="J135" i="7" s="1"/>
  <c r="G134" i="7"/>
  <c r="J134" i="7"/>
  <c r="G133" i="7"/>
  <c r="J133" i="7"/>
  <c r="G132" i="7"/>
  <c r="J132" i="7"/>
  <c r="G131" i="7"/>
  <c r="J131" i="7"/>
  <c r="G130" i="7"/>
  <c r="J130" i="7" s="1"/>
  <c r="G129" i="7"/>
  <c r="J129" i="7" s="1"/>
  <c r="G128" i="7"/>
  <c r="J128" i="7" s="1"/>
  <c r="G127" i="7"/>
  <c r="J127" i="7" s="1"/>
  <c r="G126" i="7"/>
  <c r="J126" i="7"/>
  <c r="G125" i="7"/>
  <c r="J125" i="7" s="1"/>
  <c r="G124" i="7"/>
  <c r="J124" i="7" s="1"/>
  <c r="G123" i="7"/>
  <c r="J123" i="7"/>
  <c r="G122" i="7"/>
  <c r="J122" i="7" s="1"/>
  <c r="G121" i="7"/>
  <c r="J121" i="7"/>
  <c r="G120" i="7"/>
  <c r="J120" i="7"/>
  <c r="G119" i="7"/>
  <c r="J119" i="7" s="1"/>
  <c r="G118" i="7"/>
  <c r="J118" i="7"/>
  <c r="G117" i="7"/>
  <c r="J117" i="7" s="1"/>
  <c r="G116" i="7"/>
  <c r="J116" i="7"/>
  <c r="G115" i="7"/>
  <c r="J115" i="7"/>
  <c r="G114" i="7"/>
  <c r="J114" i="7"/>
  <c r="G113" i="7"/>
  <c r="J113" i="7" s="1"/>
  <c r="G112" i="7"/>
  <c r="J112" i="7" s="1"/>
  <c r="G111" i="7"/>
  <c r="J111" i="7" s="1"/>
  <c r="G110" i="7"/>
  <c r="J110" i="7"/>
  <c r="G109" i="7"/>
  <c r="J109" i="7"/>
  <c r="G108" i="7"/>
  <c r="J108" i="7" s="1"/>
  <c r="G107" i="7"/>
  <c r="J107" i="7" s="1"/>
  <c r="G106" i="7"/>
  <c r="J106" i="7"/>
  <c r="G105" i="7"/>
  <c r="J105" i="7" s="1"/>
  <c r="G104" i="7"/>
  <c r="J104" i="7"/>
  <c r="G103" i="7"/>
  <c r="J103" i="7" s="1"/>
  <c r="G102" i="7"/>
  <c r="J102" i="7"/>
  <c r="G101" i="7"/>
  <c r="J101" i="7" s="1"/>
  <c r="G100" i="7"/>
  <c r="J100" i="7" s="1"/>
  <c r="G99" i="7"/>
  <c r="J99" i="7"/>
  <c r="G98" i="7"/>
  <c r="J98" i="7"/>
  <c r="G97" i="7"/>
  <c r="J97" i="7"/>
  <c r="G96" i="7"/>
  <c r="J96" i="7" s="1"/>
  <c r="G95" i="7"/>
  <c r="J95" i="7" s="1"/>
  <c r="G94" i="7"/>
  <c r="J94" i="7"/>
  <c r="G93" i="7"/>
  <c r="J93" i="7"/>
  <c r="G92" i="7"/>
  <c r="J92" i="7"/>
  <c r="G91" i="7"/>
  <c r="J91" i="7" s="1"/>
  <c r="G90" i="7"/>
  <c r="J90" i="7" s="1"/>
  <c r="G89" i="7"/>
  <c r="J89" i="7"/>
  <c r="G88" i="7"/>
  <c r="J88" i="7"/>
  <c r="G87" i="7"/>
  <c r="J87" i="7" s="1"/>
  <c r="G86" i="7"/>
  <c r="J86" i="7"/>
  <c r="G85" i="7"/>
  <c r="J85" i="7" s="1"/>
  <c r="G84" i="7"/>
  <c r="J84" i="7" s="1"/>
  <c r="G83" i="7"/>
  <c r="J83" i="7" s="1"/>
  <c r="G82" i="7"/>
  <c r="J82" i="7"/>
  <c r="G81" i="7"/>
  <c r="J81" i="7"/>
  <c r="G80" i="7"/>
  <c r="J80" i="7"/>
  <c r="G79" i="7"/>
  <c r="J79" i="7" s="1"/>
  <c r="G78" i="7"/>
  <c r="J78" i="7"/>
  <c r="G77" i="7"/>
  <c r="J77" i="7"/>
  <c r="G76" i="7"/>
  <c r="J76" i="7"/>
  <c r="G75" i="7"/>
  <c r="J75" i="7"/>
  <c r="G74" i="7"/>
  <c r="J74" i="7" s="1"/>
  <c r="G73" i="7"/>
  <c r="J73" i="7" s="1"/>
  <c r="G72" i="7"/>
  <c r="J72" i="7"/>
  <c r="G71" i="7"/>
  <c r="J71" i="7" s="1"/>
  <c r="G70" i="7"/>
  <c r="J70" i="7"/>
  <c r="G69" i="7"/>
  <c r="J69" i="7" s="1"/>
  <c r="G68" i="7"/>
  <c r="J68" i="7" s="1"/>
  <c r="G67" i="7"/>
  <c r="J67" i="7" s="1"/>
  <c r="G66" i="7"/>
  <c r="J66" i="7" s="1"/>
  <c r="G65" i="7"/>
  <c r="J65" i="7"/>
  <c r="G64" i="7"/>
  <c r="J64" i="7"/>
  <c r="G63" i="7"/>
  <c r="J63" i="7" s="1"/>
  <c r="G62" i="7"/>
  <c r="J62" i="7"/>
  <c r="G61" i="7"/>
  <c r="J61" i="7"/>
  <c r="G60" i="7"/>
  <c r="J60" i="7"/>
  <c r="G59" i="7"/>
  <c r="J59" i="7"/>
  <c r="G58" i="7"/>
  <c r="J58" i="7"/>
  <c r="G57" i="7"/>
  <c r="J57" i="7" s="1"/>
  <c r="G56" i="7"/>
  <c r="J56" i="7" s="1"/>
  <c r="G55" i="7"/>
  <c r="J55" i="7" s="1"/>
  <c r="G54" i="7"/>
  <c r="J54" i="7"/>
  <c r="G53" i="7"/>
  <c r="J53" i="7" s="1"/>
  <c r="G52" i="7"/>
  <c r="J52" i="7" s="1"/>
  <c r="G51" i="7"/>
  <c r="J51" i="7" s="1"/>
  <c r="G50" i="7"/>
  <c r="J50" i="7" s="1"/>
  <c r="G49" i="7"/>
  <c r="J49" i="7" s="1"/>
  <c r="G48" i="7"/>
  <c r="J48" i="7"/>
  <c r="G47" i="7"/>
  <c r="J47" i="7" s="1"/>
  <c r="G46" i="7"/>
  <c r="J46" i="7"/>
  <c r="G45" i="7"/>
  <c r="J45" i="7"/>
  <c r="G44" i="7"/>
  <c r="J44" i="7"/>
  <c r="G43" i="7"/>
  <c r="J43" i="7"/>
  <c r="G42" i="7"/>
  <c r="J42" i="7"/>
  <c r="G41" i="7"/>
  <c r="J41" i="7"/>
  <c r="G40" i="7"/>
  <c r="J40" i="7" s="1"/>
  <c r="G39" i="7"/>
  <c r="J39" i="7" s="1"/>
  <c r="G38" i="7"/>
  <c r="J38" i="7"/>
  <c r="G37" i="7"/>
  <c r="J37" i="7"/>
  <c r="G36" i="7"/>
  <c r="J36" i="7" s="1"/>
  <c r="G35" i="7"/>
  <c r="J35" i="7" s="1"/>
  <c r="G34" i="7"/>
  <c r="J34" i="7" s="1"/>
  <c r="G33" i="7"/>
  <c r="J33" i="7" s="1"/>
  <c r="G32" i="7"/>
  <c r="J32" i="7" s="1"/>
  <c r="G31" i="7"/>
  <c r="J31" i="7" s="1"/>
  <c r="G30" i="7"/>
  <c r="J30" i="7"/>
  <c r="G29" i="7"/>
  <c r="J29" i="7"/>
  <c r="G28" i="7"/>
  <c r="J28" i="7" s="1"/>
  <c r="G27" i="7"/>
  <c r="J27" i="7"/>
  <c r="G26" i="7"/>
  <c r="J26" i="7"/>
  <c r="G25" i="7"/>
  <c r="J25" i="7"/>
  <c r="G24" i="7"/>
  <c r="J24" i="7"/>
  <c r="G23" i="7"/>
  <c r="J23" i="7" s="1"/>
  <c r="G22" i="7"/>
  <c r="J22" i="7"/>
  <c r="G21" i="7"/>
  <c r="J21" i="7"/>
  <c r="G20" i="7"/>
  <c r="J20" i="7"/>
  <c r="G19" i="7"/>
  <c r="J19" i="7" s="1"/>
  <c r="G18" i="7"/>
  <c r="J18" i="7" s="1"/>
  <c r="G17" i="7"/>
  <c r="J17" i="7" s="1"/>
  <c r="G16" i="7"/>
  <c r="J16" i="7" s="1"/>
  <c r="G15" i="7"/>
  <c r="J15" i="7" s="1"/>
  <c r="G14" i="7"/>
  <c r="J14" i="7"/>
  <c r="G13" i="7"/>
  <c r="J13" i="7" s="1"/>
  <c r="G12" i="7"/>
  <c r="J12" i="7"/>
  <c r="G11" i="7"/>
  <c r="J11" i="7" s="1"/>
  <c r="G10" i="7"/>
  <c r="J10" i="7"/>
  <c r="A5" i="7"/>
  <c r="P27" i="6"/>
  <c r="K27" i="6"/>
  <c r="L27" i="6"/>
  <c r="M27" i="6"/>
  <c r="N27" i="6"/>
  <c r="O27" i="6"/>
  <c r="P26" i="6"/>
  <c r="K26" i="6"/>
  <c r="L26" i="6"/>
  <c r="M26" i="6"/>
  <c r="N26" i="6"/>
  <c r="O26" i="6"/>
  <c r="P20" i="6"/>
  <c r="K20" i="6"/>
  <c r="L20" i="6"/>
  <c r="M20" i="6"/>
  <c r="N20" i="6"/>
  <c r="O20" i="6"/>
  <c r="P19" i="6"/>
  <c r="K19" i="6"/>
  <c r="L19" i="6"/>
  <c r="M19" i="6"/>
  <c r="N19" i="6"/>
  <c r="O19" i="6"/>
  <c r="P14" i="6"/>
  <c r="K14" i="6"/>
  <c r="L14" i="6"/>
  <c r="M14" i="6"/>
  <c r="N14" i="6"/>
  <c r="O14" i="6"/>
  <c r="P13" i="6"/>
  <c r="K13" i="6"/>
  <c r="L13" i="6"/>
  <c r="M13" i="6"/>
  <c r="N13" i="6"/>
  <c r="O13" i="6"/>
  <c r="P12" i="6"/>
  <c r="K12" i="6"/>
  <c r="L12" i="6"/>
  <c r="M12" i="6"/>
  <c r="N12" i="6"/>
  <c r="O12" i="6"/>
  <c r="P9" i="6"/>
  <c r="K9" i="6"/>
  <c r="L9" i="6"/>
  <c r="M9" i="6"/>
  <c r="N9" i="6"/>
  <c r="O9" i="6"/>
  <c r="A5" i="6"/>
  <c r="H51" i="5"/>
  <c r="C49" i="5"/>
  <c r="C56" i="5" s="1"/>
  <c r="C39" i="5"/>
  <c r="C36" i="5"/>
  <c r="C33" i="5"/>
  <c r="F57" i="5"/>
  <c r="G57" i="5" s="1"/>
  <c r="H57" i="5" s="1"/>
  <c r="C32" i="5"/>
  <c r="C21" i="5"/>
  <c r="A5" i="5"/>
  <c r="G65" i="4"/>
  <c r="B57" i="4"/>
  <c r="G37" i="4"/>
  <c r="F20" i="4"/>
  <c r="D8" i="24" s="1"/>
  <c r="F25" i="4"/>
  <c r="D8" i="21" s="1"/>
  <c r="D8" i="19"/>
  <c r="F21" i="19" s="1"/>
  <c r="F18" i="4"/>
  <c r="F17" i="4"/>
  <c r="D8" i="17"/>
  <c r="F21" i="4"/>
  <c r="D8" i="15" s="1"/>
  <c r="N21" i="4"/>
  <c r="L9" i="25" s="1"/>
  <c r="F13" i="4"/>
  <c r="D8" i="13"/>
  <c r="F16" i="4"/>
  <c r="D8" i="11"/>
  <c r="F15" i="4"/>
  <c r="D8" i="12" s="1"/>
  <c r="F12" i="4"/>
  <c r="F11" i="4"/>
  <c r="D8" i="9" s="1"/>
  <c r="A6" i="4"/>
  <c r="Q28" i="3"/>
  <c r="N28" i="3"/>
  <c r="Q22" i="3"/>
  <c r="N22" i="3"/>
  <c r="Q21" i="3"/>
  <c r="N21" i="3"/>
  <c r="Q27" i="3"/>
  <c r="N27" i="3"/>
  <c r="Q26" i="3"/>
  <c r="N26" i="3"/>
  <c r="Q25" i="3"/>
  <c r="N25" i="3"/>
  <c r="Q24" i="3"/>
  <c r="N24" i="3"/>
  <c r="Q20" i="3"/>
  <c r="N20" i="3"/>
  <c r="Q19" i="3"/>
  <c r="N19" i="3"/>
  <c r="Q23" i="3"/>
  <c r="N23" i="3"/>
  <c r="Q15" i="3"/>
  <c r="N15" i="3"/>
  <c r="Q16" i="3"/>
  <c r="N16" i="3"/>
  <c r="Q18" i="3"/>
  <c r="N18" i="3"/>
  <c r="Q17" i="3"/>
  <c r="N17" i="3"/>
  <c r="Q14" i="3"/>
  <c r="N14" i="3"/>
  <c r="Q13" i="3"/>
  <c r="N13" i="3"/>
  <c r="N29" i="3" s="1"/>
  <c r="D13" i="3"/>
  <c r="D29" i="3" s="1"/>
  <c r="C13" i="3"/>
  <c r="C13" i="1"/>
  <c r="B13" i="3"/>
  <c r="B13" i="1" s="1"/>
  <c r="B41" i="1" s="1"/>
  <c r="C172" i="1"/>
  <c r="C171" i="1"/>
  <c r="C170" i="1"/>
  <c r="C169" i="1"/>
  <c r="C168" i="1"/>
  <c r="C167" i="1"/>
  <c r="C166" i="1"/>
  <c r="F33" i="1" s="1"/>
  <c r="K28" i="1"/>
  <c r="K28" i="3" s="1"/>
  <c r="F28" i="1"/>
  <c r="H28" i="3"/>
  <c r="A28" i="1"/>
  <c r="K27" i="1"/>
  <c r="K27" i="3" s="1"/>
  <c r="F27" i="1"/>
  <c r="H27" i="3" s="1"/>
  <c r="A27" i="1"/>
  <c r="K26" i="1"/>
  <c r="K26" i="3"/>
  <c r="F26" i="1"/>
  <c r="H26" i="3"/>
  <c r="A26" i="1"/>
  <c r="K25" i="1"/>
  <c r="K25" i="3"/>
  <c r="F25" i="1"/>
  <c r="H25" i="3" s="1"/>
  <c r="A25" i="1"/>
  <c r="K24" i="1"/>
  <c r="K24" i="3" s="1"/>
  <c r="F24" i="1"/>
  <c r="H24" i="3"/>
  <c r="A24" i="1"/>
  <c r="K23" i="1"/>
  <c r="K23" i="3" s="1"/>
  <c r="F23" i="1"/>
  <c r="H23" i="3"/>
  <c r="A23" i="1"/>
  <c r="K22" i="1"/>
  <c r="K22" i="3" s="1"/>
  <c r="F22" i="1"/>
  <c r="H22" i="3"/>
  <c r="A22" i="1"/>
  <c r="K21" i="1"/>
  <c r="K21" i="3"/>
  <c r="F21" i="1"/>
  <c r="H21" i="3" s="1"/>
  <c r="A21" i="1"/>
  <c r="K20" i="1"/>
  <c r="K20" i="3" s="1"/>
  <c r="F20" i="1"/>
  <c r="H20" i="3"/>
  <c r="A20" i="1"/>
  <c r="K19" i="1"/>
  <c r="K19" i="3" s="1"/>
  <c r="F19" i="1"/>
  <c r="H19" i="3" s="1"/>
  <c r="A19" i="1"/>
  <c r="V18" i="1"/>
  <c r="K18" i="1"/>
  <c r="K18" i="3" s="1"/>
  <c r="F18" i="1"/>
  <c r="H18" i="3"/>
  <c r="A18" i="1"/>
  <c r="V17" i="1"/>
  <c r="K17" i="1"/>
  <c r="K17" i="3" s="1"/>
  <c r="F17" i="1"/>
  <c r="H17" i="3"/>
  <c r="A17" i="1"/>
  <c r="K16" i="1"/>
  <c r="K16" i="3" s="1"/>
  <c r="F16" i="1"/>
  <c r="H16" i="3" s="1"/>
  <c r="A16" i="1"/>
  <c r="V15" i="1"/>
  <c r="K15" i="1"/>
  <c r="K15" i="3" s="1"/>
  <c r="F15" i="1"/>
  <c r="H15" i="3"/>
  <c r="A15" i="1"/>
  <c r="V14" i="1"/>
  <c r="K14" i="1"/>
  <c r="K14" i="3"/>
  <c r="F14" i="1"/>
  <c r="H14" i="3" s="1"/>
  <c r="A14" i="1"/>
  <c r="K13" i="1"/>
  <c r="K13" i="3"/>
  <c r="F13" i="1"/>
  <c r="H13" i="3"/>
  <c r="A13" i="1"/>
  <c r="F7" i="1"/>
  <c r="E7" i="1"/>
  <c r="U9" i="26"/>
  <c r="U10" i="26" s="1"/>
  <c r="U11" i="26" s="1"/>
  <c r="U12" i="26" s="1"/>
  <c r="U13" i="26" s="1"/>
  <c r="U14" i="26" s="1"/>
  <c r="U15" i="26" s="1"/>
  <c r="U16" i="26" s="1"/>
  <c r="U17" i="26" s="1"/>
  <c r="U18" i="26" s="1"/>
  <c r="U19" i="26" s="1"/>
  <c r="O13" i="13"/>
  <c r="O15" i="13" s="1"/>
  <c r="O9" i="21"/>
  <c r="O13" i="21" s="1"/>
  <c r="O15" i="21" s="1"/>
  <c r="O31" i="21" s="1"/>
  <c r="AI9" i="26"/>
  <c r="AI10" i="26" s="1"/>
  <c r="AI11" i="26" s="1"/>
  <c r="AI12" i="26" s="1"/>
  <c r="AI13" i="26" s="1"/>
  <c r="AI14" i="26" s="1"/>
  <c r="AI15" i="26" s="1"/>
  <c r="AI16" i="26" s="1"/>
  <c r="AI17" i="26" s="1"/>
  <c r="AI18" i="26" s="1"/>
  <c r="AI19" i="26" s="1"/>
  <c r="AB10" i="26"/>
  <c r="AB11" i="26" s="1"/>
  <c r="AB12" i="26" s="1"/>
  <c r="AB13" i="26" s="1"/>
  <c r="AB14" i="26" s="1"/>
  <c r="AB15" i="26" s="1"/>
  <c r="AB16" i="26" s="1"/>
  <c r="AB17" i="26" s="1"/>
  <c r="AB18" i="26" s="1"/>
  <c r="AB19" i="26" s="1"/>
  <c r="N14" i="26"/>
  <c r="N15" i="26" s="1"/>
  <c r="N16" i="26" s="1"/>
  <c r="N17" i="26" s="1"/>
  <c r="N18" i="26"/>
  <c r="N19" i="26" s="1"/>
  <c r="D37" i="20"/>
  <c r="D37" i="13"/>
  <c r="N20" i="4"/>
  <c r="T9" i="25" s="1"/>
  <c r="T10" i="25" s="1"/>
  <c r="G16" i="4"/>
  <c r="D44" i="13"/>
  <c r="F12" i="17"/>
  <c r="F12" i="18"/>
  <c r="B11" i="19"/>
  <c r="A9" i="19"/>
  <c r="A9" i="16"/>
  <c r="A6" i="16"/>
  <c r="D37" i="24"/>
  <c r="D37" i="22"/>
  <c r="B11" i="23"/>
  <c r="A46" i="23"/>
  <c r="A46" i="22"/>
  <c r="A9" i="22"/>
  <c r="A45" i="18"/>
  <c r="A9" i="18"/>
  <c r="B11" i="18"/>
  <c r="A6" i="18"/>
  <c r="F12" i="15"/>
  <c r="F12" i="14"/>
  <c r="A46" i="14"/>
  <c r="A9" i="14"/>
  <c r="A46" i="13"/>
  <c r="F12" i="12"/>
  <c r="A6" i="11"/>
  <c r="A9" i="11"/>
  <c r="A6" i="10"/>
  <c r="A45" i="10"/>
  <c r="B11" i="10"/>
  <c r="A9" i="10"/>
  <c r="H31" i="9"/>
  <c r="B11" i="9"/>
  <c r="E10" i="25"/>
  <c r="F53" i="5"/>
  <c r="G53" i="5" s="1"/>
  <c r="H53" i="5" s="1"/>
  <c r="G152" i="7"/>
  <c r="J152" i="7" s="1"/>
  <c r="N23" i="4"/>
  <c r="A6" i="13"/>
  <c r="A45" i="13"/>
  <c r="B11" i="13"/>
  <c r="A46" i="16"/>
  <c r="A45" i="16"/>
  <c r="B11" i="16"/>
  <c r="C44" i="5"/>
  <c r="A6" i="9"/>
  <c r="H31" i="12"/>
  <c r="A45" i="9"/>
  <c r="A6" i="12"/>
  <c r="A45" i="12"/>
  <c r="B11" i="12"/>
  <c r="A46" i="12"/>
  <c r="G15" i="4"/>
  <c r="A6" i="14"/>
  <c r="A45" i="14"/>
  <c r="B11" i="14"/>
  <c r="A45" i="11"/>
  <c r="H31" i="10"/>
  <c r="H31" i="11"/>
  <c r="H32" i="11" s="1"/>
  <c r="A46" i="11"/>
  <c r="H31" i="13"/>
  <c r="H31" i="15"/>
  <c r="H31" i="16"/>
  <c r="H31" i="22"/>
  <c r="H34" i="22" s="1"/>
  <c r="A45" i="21"/>
  <c r="A6" i="21"/>
  <c r="A46" i="21"/>
  <c r="B11" i="21"/>
  <c r="H31" i="21"/>
  <c r="H34" i="21" s="1"/>
  <c r="A6" i="19"/>
  <c r="A9" i="20"/>
  <c r="A6" i="22"/>
  <c r="A46" i="18"/>
  <c r="A45" i="19"/>
  <c r="A45" i="22"/>
  <c r="B11" i="22"/>
  <c r="H31" i="20"/>
  <c r="H31" i="23"/>
  <c r="H34" i="23" s="1"/>
  <c r="A6" i="23"/>
  <c r="A9" i="24"/>
  <c r="H34" i="24"/>
  <c r="A45" i="23"/>
  <c r="A9" i="17"/>
  <c r="B11" i="17"/>
  <c r="A46" i="17"/>
  <c r="A6" i="17"/>
  <c r="A45" i="17"/>
  <c r="A9" i="15"/>
  <c r="B11" i="15"/>
  <c r="A46" i="15"/>
  <c r="A46" i="24"/>
  <c r="B11" i="24"/>
  <c r="A45" i="24"/>
  <c r="A6" i="24"/>
  <c r="A46" i="20"/>
  <c r="B11" i="20"/>
  <c r="A45" i="20"/>
  <c r="A6" i="20"/>
  <c r="H34" i="11"/>
  <c r="H35" i="11"/>
  <c r="H36" i="11"/>
  <c r="H35" i="23"/>
  <c r="H34" i="15"/>
  <c r="V13" i="1"/>
  <c r="I142" i="45"/>
  <c r="I86" i="45"/>
  <c r="I105" i="45"/>
  <c r="I123" i="45"/>
  <c r="I167" i="45"/>
  <c r="I33" i="45"/>
  <c r="B10" i="43"/>
  <c r="I10" i="45"/>
  <c r="J11" i="50"/>
  <c r="H13" i="50" s="1"/>
  <c r="J10" i="50"/>
  <c r="H10" i="41"/>
  <c r="H11" i="41"/>
  <c r="J11" i="40"/>
  <c r="I254" i="40" s="1"/>
  <c r="J10" i="40"/>
  <c r="I46" i="40"/>
  <c r="I62" i="40"/>
  <c r="I190" i="40"/>
  <c r="I206" i="40"/>
  <c r="I302" i="40"/>
  <c r="I318" i="40"/>
  <c r="I446" i="40"/>
  <c r="I462" i="40"/>
  <c r="I558" i="40"/>
  <c r="I574" i="40"/>
  <c r="I111" i="40"/>
  <c r="I127" i="40"/>
  <c r="I223" i="40"/>
  <c r="I239" i="40"/>
  <c r="I383" i="40"/>
  <c r="I479" i="40"/>
  <c r="I495" i="40"/>
  <c r="I32" i="40"/>
  <c r="I48" i="40"/>
  <c r="I144" i="40"/>
  <c r="I160" i="40"/>
  <c r="I288" i="40"/>
  <c r="I304" i="40"/>
  <c r="I400" i="40"/>
  <c r="I416" i="40"/>
  <c r="I544" i="40"/>
  <c r="I560" i="40"/>
  <c r="I66" i="40"/>
  <c r="I82" i="40"/>
  <c r="I226" i="40"/>
  <c r="I322" i="40"/>
  <c r="I338" i="40"/>
  <c r="I466" i="40"/>
  <c r="I482" i="40"/>
  <c r="I578" i="40"/>
  <c r="I594" i="40"/>
  <c r="I132" i="40"/>
  <c r="I148" i="40"/>
  <c r="I244" i="40"/>
  <c r="I260" i="40"/>
  <c r="I388" i="40"/>
  <c r="I404" i="40"/>
  <c r="I500" i="40"/>
  <c r="I516" i="40"/>
  <c r="I69" i="40"/>
  <c r="I165" i="40"/>
  <c r="I181" i="40"/>
  <c r="I309" i="40"/>
  <c r="I325" i="40"/>
  <c r="I421" i="40"/>
  <c r="I437" i="40"/>
  <c r="I565" i="40"/>
  <c r="I581" i="40"/>
  <c r="I86" i="40"/>
  <c r="I102" i="40"/>
  <c r="I230" i="40"/>
  <c r="I246" i="40"/>
  <c r="I342" i="40"/>
  <c r="I358" i="40"/>
  <c r="I502" i="40"/>
  <c r="I598" i="40"/>
  <c r="I23" i="40"/>
  <c r="I151" i="40"/>
  <c r="I167" i="40"/>
  <c r="I263" i="40"/>
  <c r="I279" i="40"/>
  <c r="I407" i="40"/>
  <c r="I423" i="40"/>
  <c r="I519" i="40"/>
  <c r="I535" i="40"/>
  <c r="I74" i="40"/>
  <c r="I90" i="40"/>
  <c r="I186" i="40"/>
  <c r="I202" i="40"/>
  <c r="I314" i="40"/>
  <c r="I330" i="40"/>
  <c r="I346" i="40"/>
  <c r="I378" i="40"/>
  <c r="I394" i="40"/>
  <c r="I474" i="40"/>
  <c r="I506" i="40"/>
  <c r="I522" i="40"/>
  <c r="I570" i="40"/>
  <c r="I586" i="40"/>
  <c r="I602" i="40"/>
  <c r="I45" i="40"/>
  <c r="I109" i="40"/>
  <c r="I125" i="40"/>
  <c r="I141" i="40"/>
  <c r="I189" i="40"/>
  <c r="I237" i="40"/>
  <c r="I253" i="40"/>
  <c r="I301" i="40"/>
  <c r="I317" i="40"/>
  <c r="I365" i="40"/>
  <c r="I381" i="40"/>
  <c r="I397" i="40"/>
  <c r="I429" i="40"/>
  <c r="I445" i="40"/>
  <c r="I493" i="40"/>
  <c r="I509" i="40"/>
  <c r="I525" i="40"/>
  <c r="I557" i="40"/>
  <c r="I573" i="40"/>
  <c r="I28" i="40"/>
  <c r="I115" i="40"/>
  <c r="I201" i="40"/>
  <c r="I243" i="40"/>
  <c r="I284" i="40"/>
  <c r="I371" i="40"/>
  <c r="I412" i="40"/>
  <c r="I457" i="40"/>
  <c r="I585" i="40"/>
  <c r="I613" i="40"/>
  <c r="I645" i="40"/>
  <c r="I661" i="40"/>
  <c r="I677" i="40"/>
  <c r="I709" i="40"/>
  <c r="I725" i="40"/>
  <c r="I323" i="40"/>
  <c r="I691" i="40"/>
  <c r="I644" i="40"/>
  <c r="I772" i="40"/>
  <c r="I33" i="40"/>
  <c r="I120" i="40"/>
  <c r="I203" i="40"/>
  <c r="I289" i="40"/>
  <c r="I331" i="40"/>
  <c r="I376" i="40"/>
  <c r="I459" i="40"/>
  <c r="I504" i="40"/>
  <c r="I545" i="40"/>
  <c r="I630" i="40"/>
  <c r="I646" i="40"/>
  <c r="I694" i="40"/>
  <c r="I710" i="40"/>
  <c r="I742" i="40"/>
  <c r="I758" i="40"/>
  <c r="I537" i="40"/>
  <c r="I739" i="40"/>
  <c r="I369" i="40"/>
  <c r="I35" i="40"/>
  <c r="I76" i="40"/>
  <c r="I121" i="40"/>
  <c r="I204" i="40"/>
  <c r="I291" i="40"/>
  <c r="I377" i="40"/>
  <c r="I419" i="40"/>
  <c r="I460" i="40"/>
  <c r="I547" i="40"/>
  <c r="I588" i="40"/>
  <c r="I615" i="40"/>
  <c r="I663" i="40"/>
  <c r="I679" i="40"/>
  <c r="I711" i="40"/>
  <c r="I727" i="40"/>
  <c r="I743" i="40"/>
  <c r="I775" i="40"/>
  <c r="I153" i="40"/>
  <c r="I72" i="40"/>
  <c r="I328" i="40"/>
  <c r="I584" i="40"/>
  <c r="I40" i="40"/>
  <c r="I81" i="40"/>
  <c r="I123" i="40"/>
  <c r="I209" i="40"/>
  <c r="I296" i="40"/>
  <c r="I379" i="40"/>
  <c r="I424" i="40"/>
  <c r="I465" i="40"/>
  <c r="I552" i="40"/>
  <c r="I593" i="40"/>
  <c r="I616" i="40"/>
  <c r="I664" i="40"/>
  <c r="I680" i="40"/>
  <c r="I712" i="40"/>
  <c r="I728" i="40"/>
  <c r="I744" i="40"/>
  <c r="I776" i="40"/>
  <c r="I108" i="40"/>
  <c r="I611" i="40"/>
  <c r="I643" i="40"/>
  <c r="I755" i="40"/>
  <c r="I41" i="40"/>
  <c r="I83" i="40"/>
  <c r="I124" i="40"/>
  <c r="I211" i="40"/>
  <c r="I297" i="40"/>
  <c r="I380" i="40"/>
  <c r="I425" i="40"/>
  <c r="I467" i="40"/>
  <c r="I553" i="40"/>
  <c r="I595" i="40"/>
  <c r="I617" i="40"/>
  <c r="I649" i="40"/>
  <c r="I665" i="40"/>
  <c r="I681" i="40"/>
  <c r="I713" i="40"/>
  <c r="I729" i="40"/>
  <c r="I745" i="40"/>
  <c r="I777" i="40"/>
  <c r="I723" i="40"/>
  <c r="I200" i="40"/>
  <c r="I43" i="40"/>
  <c r="I88" i="40"/>
  <c r="I129" i="40"/>
  <c r="I216" i="40"/>
  <c r="I257" i="40"/>
  <c r="I299" i="40"/>
  <c r="I385" i="40"/>
  <c r="I427" i="40"/>
  <c r="I472" i="40"/>
  <c r="I555" i="40"/>
  <c r="I600" i="40"/>
  <c r="I618" i="40"/>
  <c r="I650" i="40"/>
  <c r="I666" i="40"/>
  <c r="I682" i="40"/>
  <c r="I714" i="40"/>
  <c r="I730" i="40"/>
  <c r="I746" i="40"/>
  <c r="I778" i="40"/>
  <c r="I364" i="40"/>
  <c r="I675" i="40"/>
  <c r="I411" i="40"/>
  <c r="I660" i="40"/>
  <c r="I740" i="40"/>
  <c r="I89" i="40"/>
  <c r="I131" i="40"/>
  <c r="I172" i="40"/>
  <c r="I259" i="40"/>
  <c r="I300" i="40"/>
  <c r="I345" i="40"/>
  <c r="I428" i="40"/>
  <c r="I473" i="40"/>
  <c r="I515" i="40"/>
  <c r="I601" i="40"/>
  <c r="I619" i="40"/>
  <c r="I635" i="40"/>
  <c r="I667" i="40"/>
  <c r="I683" i="40"/>
  <c r="I699" i="40"/>
  <c r="I731" i="40"/>
  <c r="I747" i="40"/>
  <c r="I763" i="40"/>
  <c r="I579" i="40"/>
  <c r="I27" i="40"/>
  <c r="I497" i="40"/>
  <c r="I49" i="40"/>
  <c r="I91" i="40"/>
  <c r="I136" i="40"/>
  <c r="I177" i="40"/>
  <c r="I219" i="40"/>
  <c r="I264" i="40"/>
  <c r="I305" i="40"/>
  <c r="I347" i="40"/>
  <c r="I392" i="40"/>
  <c r="I433" i="40"/>
  <c r="I475" i="40"/>
  <c r="I520" i="40"/>
  <c r="I561" i="40"/>
  <c r="I603" i="40"/>
  <c r="I620" i="40"/>
  <c r="I636" i="40"/>
  <c r="I652" i="40"/>
  <c r="I668" i="40"/>
  <c r="I684" i="40"/>
  <c r="I700" i="40"/>
  <c r="I716" i="40"/>
  <c r="I732" i="40"/>
  <c r="I748" i="40"/>
  <c r="I764" i="40"/>
  <c r="I780" i="40"/>
  <c r="I25" i="40"/>
  <c r="I67" i="40"/>
  <c r="I281" i="40"/>
  <c r="I451" i="40"/>
  <c r="I627" i="40"/>
  <c r="I659" i="40"/>
  <c r="I771" i="40"/>
  <c r="I456" i="40"/>
  <c r="I51" i="40"/>
  <c r="I92" i="40"/>
  <c r="I137" i="40"/>
  <c r="I179" i="40"/>
  <c r="I220" i="40"/>
  <c r="I265" i="40"/>
  <c r="I307" i="40"/>
  <c r="I348" i="40"/>
  <c r="I393" i="40"/>
  <c r="I435" i="40"/>
  <c r="I476" i="40"/>
  <c r="I521" i="40"/>
  <c r="I563" i="40"/>
  <c r="I604" i="40"/>
  <c r="I621" i="40"/>
  <c r="I637" i="40"/>
  <c r="I653" i="40"/>
  <c r="I669" i="40"/>
  <c r="I685" i="40"/>
  <c r="I701" i="40"/>
  <c r="I717" i="40"/>
  <c r="I733" i="40"/>
  <c r="I749" i="40"/>
  <c r="I765" i="40"/>
  <c r="I13" i="40"/>
  <c r="I241" i="40"/>
  <c r="I628" i="40"/>
  <c r="I756" i="40"/>
  <c r="I56" i="40"/>
  <c r="I97" i="40"/>
  <c r="I139" i="40"/>
  <c r="I184" i="40"/>
  <c r="I225" i="40"/>
  <c r="I267" i="40"/>
  <c r="I312" i="40"/>
  <c r="I353" i="40"/>
  <c r="I395" i="40"/>
  <c r="I440" i="40"/>
  <c r="I481" i="40"/>
  <c r="I523" i="40"/>
  <c r="I568" i="40"/>
  <c r="I606" i="40"/>
  <c r="I622" i="40"/>
  <c r="I638" i="40"/>
  <c r="I654" i="40"/>
  <c r="I670" i="40"/>
  <c r="I686" i="40"/>
  <c r="I702" i="40"/>
  <c r="I718" i="40"/>
  <c r="I734" i="40"/>
  <c r="I750" i="40"/>
  <c r="I766" i="40"/>
  <c r="I57" i="40"/>
  <c r="I99" i="40"/>
  <c r="I140" i="40"/>
  <c r="I185" i="40"/>
  <c r="I227" i="40"/>
  <c r="I268" i="40"/>
  <c r="I313" i="40"/>
  <c r="I355" i="40"/>
  <c r="I396" i="40"/>
  <c r="I441" i="40"/>
  <c r="I483" i="40"/>
  <c r="I524" i="40"/>
  <c r="I569" i="40"/>
  <c r="I607" i="40"/>
  <c r="I623" i="40"/>
  <c r="I639" i="40"/>
  <c r="I655" i="40"/>
  <c r="I671" i="40"/>
  <c r="I687" i="40"/>
  <c r="I703" i="40"/>
  <c r="I719" i="40"/>
  <c r="I735" i="40"/>
  <c r="I751" i="40"/>
  <c r="I767" i="40"/>
  <c r="I17" i="40"/>
  <c r="I59" i="40"/>
  <c r="I104" i="40"/>
  <c r="I145" i="40"/>
  <c r="I187" i="40"/>
  <c r="I232" i="40"/>
  <c r="I273" i="40"/>
  <c r="I315" i="40"/>
  <c r="I360" i="40"/>
  <c r="I401" i="40"/>
  <c r="I443" i="40"/>
  <c r="I488" i="40"/>
  <c r="I529" i="40"/>
  <c r="I571" i="40"/>
  <c r="I608" i="40"/>
  <c r="I624" i="40"/>
  <c r="I640" i="40"/>
  <c r="I656" i="40"/>
  <c r="I672" i="40"/>
  <c r="I688" i="40"/>
  <c r="I704" i="40"/>
  <c r="I720" i="40"/>
  <c r="I736" i="40"/>
  <c r="I752" i="40"/>
  <c r="I768" i="40"/>
  <c r="I155" i="40"/>
  <c r="I612" i="40"/>
  <c r="I19" i="40"/>
  <c r="I60" i="40"/>
  <c r="I105" i="40"/>
  <c r="I147" i="40"/>
  <c r="I188" i="40"/>
  <c r="I233" i="40"/>
  <c r="I275" i="40"/>
  <c r="I316" i="40"/>
  <c r="I361" i="40"/>
  <c r="I403" i="40"/>
  <c r="I444" i="40"/>
  <c r="I489" i="40"/>
  <c r="I531" i="40"/>
  <c r="I572" i="40"/>
  <c r="I609" i="40"/>
  <c r="I625" i="40"/>
  <c r="I641" i="40"/>
  <c r="I657" i="40"/>
  <c r="I673" i="40"/>
  <c r="I689" i="40"/>
  <c r="I705" i="40"/>
  <c r="I721" i="40"/>
  <c r="I737" i="40"/>
  <c r="I753" i="40"/>
  <c r="I769" i="40"/>
  <c r="I24" i="40"/>
  <c r="I65" i="40"/>
  <c r="I107" i="40"/>
  <c r="I152" i="40"/>
  <c r="I193" i="40"/>
  <c r="I235" i="40"/>
  <c r="I280" i="40"/>
  <c r="I321" i="40"/>
  <c r="I363" i="40"/>
  <c r="I408" i="40"/>
  <c r="I449" i="40"/>
  <c r="I491" i="40"/>
  <c r="I536" i="40"/>
  <c r="I577" i="40"/>
  <c r="I610" i="40"/>
  <c r="I626" i="40"/>
  <c r="I642" i="40"/>
  <c r="I658" i="40"/>
  <c r="I674" i="40"/>
  <c r="I690" i="40"/>
  <c r="I706" i="40"/>
  <c r="I722" i="40"/>
  <c r="I738" i="40"/>
  <c r="I754" i="40"/>
  <c r="I770" i="40"/>
  <c r="G625" i="41"/>
  <c r="G606" i="41"/>
  <c r="G556" i="41"/>
  <c r="G539" i="41"/>
  <c r="G522" i="41"/>
  <c r="G505" i="41"/>
  <c r="G487" i="41"/>
  <c r="G466" i="41"/>
  <c r="G448" i="41"/>
  <c r="G432" i="41"/>
  <c r="G407" i="41"/>
  <c r="G389" i="41"/>
  <c r="G372" i="41"/>
  <c r="G355" i="41"/>
  <c r="G338" i="41"/>
  <c r="G322" i="41"/>
  <c r="G271" i="41"/>
  <c r="G254" i="41"/>
  <c r="G232" i="41"/>
  <c r="G213" i="41"/>
  <c r="G196" i="41"/>
  <c r="G177" i="41"/>
  <c r="G161" i="41"/>
  <c r="G145" i="41"/>
  <c r="G128" i="41"/>
  <c r="G109" i="41"/>
  <c r="G93" i="41"/>
  <c r="G77" i="41"/>
  <c r="G61" i="41"/>
  <c r="G45" i="41"/>
  <c r="G624" i="41"/>
  <c r="G605" i="41"/>
  <c r="G588" i="41"/>
  <c r="G572" i="41"/>
  <c r="G555" i="41"/>
  <c r="G538" i="41"/>
  <c r="G521" i="41"/>
  <c r="G504" i="41"/>
  <c r="G486" i="41"/>
  <c r="G465" i="41"/>
  <c r="G447" i="41"/>
  <c r="G430" i="41"/>
  <c r="G406" i="41"/>
  <c r="G388" i="41"/>
  <c r="G337" i="41"/>
  <c r="G321" i="41"/>
  <c r="G304" i="41"/>
  <c r="G287" i="41"/>
  <c r="G270" i="41"/>
  <c r="G253" i="41"/>
  <c r="G231" i="41"/>
  <c r="G212" i="41"/>
  <c r="G195" i="41"/>
  <c r="G176" i="41"/>
  <c r="G160" i="41"/>
  <c r="G144" i="41"/>
  <c r="G127" i="41"/>
  <c r="G108" i="41"/>
  <c r="G60" i="41"/>
  <c r="G44" i="41"/>
  <c r="G27" i="41"/>
  <c r="G574" i="41"/>
  <c r="G622" i="41"/>
  <c r="G604" i="41"/>
  <c r="G587" i="41"/>
  <c r="G571" i="41"/>
  <c r="G554" i="41"/>
  <c r="G537" i="41"/>
  <c r="G520" i="41"/>
  <c r="G503" i="41"/>
  <c r="G485" i="41"/>
  <c r="G464" i="41"/>
  <c r="G404" i="41"/>
  <c r="G387" i="41"/>
  <c r="G370" i="41"/>
  <c r="G353" i="41"/>
  <c r="G336" i="41"/>
  <c r="G320" i="41"/>
  <c r="G303" i="41"/>
  <c r="G286" i="41"/>
  <c r="G269" i="41"/>
  <c r="G252" i="41"/>
  <c r="G230" i="41"/>
  <c r="G211" i="41"/>
  <c r="G194" i="41"/>
  <c r="G175" i="41"/>
  <c r="G126" i="41"/>
  <c r="G107" i="41"/>
  <c r="G91" i="41"/>
  <c r="G75" i="41"/>
  <c r="G59" i="41"/>
  <c r="G43" i="41"/>
  <c r="G26" i="41"/>
  <c r="G467" i="41"/>
  <c r="G29" i="41"/>
  <c r="G621" i="41"/>
  <c r="G603" i="41"/>
  <c r="G586" i="41"/>
  <c r="G570" i="41"/>
  <c r="G553" i="41"/>
  <c r="G502" i="41"/>
  <c r="G484" i="41"/>
  <c r="G461" i="41"/>
  <c r="G445" i="41"/>
  <c r="G428" i="41"/>
  <c r="G403" i="41"/>
  <c r="G386" i="41"/>
  <c r="G369" i="41"/>
  <c r="G352" i="41"/>
  <c r="G335" i="41"/>
  <c r="G319" i="41"/>
  <c r="G302" i="41"/>
  <c r="G285" i="41"/>
  <c r="G268" i="41"/>
  <c r="G250" i="41"/>
  <c r="G210" i="41"/>
  <c r="G193" i="41"/>
  <c r="G174" i="41"/>
  <c r="G158" i="41"/>
  <c r="G142" i="41"/>
  <c r="G125" i="41"/>
  <c r="G106" i="41"/>
  <c r="G90" i="41"/>
  <c r="G74" i="41"/>
  <c r="G58" i="41"/>
  <c r="G42" i="41"/>
  <c r="G25" i="41"/>
  <c r="G540" i="41"/>
  <c r="G620" i="41"/>
  <c r="G602" i="41"/>
  <c r="G585" i="41"/>
  <c r="G569" i="41"/>
  <c r="G552" i="41"/>
  <c r="G535" i="41"/>
  <c r="G517" i="41"/>
  <c r="G501" i="41"/>
  <c r="G483" i="41"/>
  <c r="G460" i="41"/>
  <c r="G444" i="41"/>
  <c r="G427" i="41"/>
  <c r="G402" i="41"/>
  <c r="G385" i="41"/>
  <c r="G368" i="41"/>
  <c r="G351" i="41"/>
  <c r="G334" i="41"/>
  <c r="G318" i="41"/>
  <c r="G301" i="41"/>
  <c r="G284" i="41"/>
  <c r="G267" i="41"/>
  <c r="G249" i="41"/>
  <c r="G228" i="41"/>
  <c r="G209" i="41"/>
  <c r="G192" i="41"/>
  <c r="G173" i="41"/>
  <c r="G157" i="41"/>
  <c r="G141" i="41"/>
  <c r="G124" i="41"/>
  <c r="G105" i="41"/>
  <c r="G89" i="41"/>
  <c r="G73" i="41"/>
  <c r="G57" i="41"/>
  <c r="G41" i="41"/>
  <c r="G24" i="41"/>
  <c r="G449" i="41"/>
  <c r="G129" i="41"/>
  <c r="G619" i="41"/>
  <c r="G601" i="41"/>
  <c r="G584" i="41"/>
  <c r="G568" i="41"/>
  <c r="G551" i="41"/>
  <c r="G534" i="41"/>
  <c r="G516" i="41"/>
  <c r="G500" i="41"/>
  <c r="G482" i="41"/>
  <c r="G459" i="41"/>
  <c r="G443" i="41"/>
  <c r="G426" i="41"/>
  <c r="G401" i="41"/>
  <c r="G384" i="41"/>
  <c r="G367" i="41"/>
  <c r="G350" i="41"/>
  <c r="G333" i="41"/>
  <c r="G317" i="41"/>
  <c r="G300" i="41"/>
  <c r="G283" i="41"/>
  <c r="G266" i="41"/>
  <c r="G244" i="41"/>
  <c r="G227" i="41"/>
  <c r="G208" i="41"/>
  <c r="G191" i="41"/>
  <c r="G172" i="41"/>
  <c r="G156" i="41"/>
  <c r="G140" i="41"/>
  <c r="G122" i="41"/>
  <c r="G104" i="41"/>
  <c r="G88" i="41"/>
  <c r="G72" i="41"/>
  <c r="G56" i="41"/>
  <c r="G40" i="41"/>
  <c r="G23" i="41"/>
  <c r="G523" i="41"/>
  <c r="G162" i="41"/>
  <c r="G618" i="41"/>
  <c r="G600" i="41"/>
  <c r="G583" i="41"/>
  <c r="G567" i="41"/>
  <c r="G550" i="41"/>
  <c r="G533" i="41"/>
  <c r="G515" i="41"/>
  <c r="G498" i="41"/>
  <c r="G480" i="41"/>
  <c r="G458" i="41"/>
  <c r="G442" i="41"/>
  <c r="G425" i="41"/>
  <c r="G400" i="41"/>
  <c r="G383" i="41"/>
  <c r="G366" i="41"/>
  <c r="G349" i="41"/>
  <c r="G332" i="41"/>
  <c r="G316" i="41"/>
  <c r="G299" i="41"/>
  <c r="G282" i="41"/>
  <c r="G265" i="41"/>
  <c r="G243" i="41"/>
  <c r="G226" i="41"/>
  <c r="G207" i="41"/>
  <c r="G190" i="41"/>
  <c r="G171" i="41"/>
  <c r="G155" i="41"/>
  <c r="G139" i="41"/>
  <c r="G121" i="41"/>
  <c r="G103" i="41"/>
  <c r="G87" i="41"/>
  <c r="G71" i="41"/>
  <c r="G55" i="41"/>
  <c r="G39" i="41"/>
  <c r="G22" i="41"/>
  <c r="G488" i="41"/>
  <c r="G617" i="41"/>
  <c r="G599" i="41"/>
  <c r="G582" i="41"/>
  <c r="G566" i="41"/>
  <c r="G549" i="41"/>
  <c r="G532" i="41"/>
  <c r="G514" i="41"/>
  <c r="G497" i="41"/>
  <c r="G479" i="41"/>
  <c r="G457" i="41"/>
  <c r="G441" i="41"/>
  <c r="G422" i="41"/>
  <c r="G399" i="41"/>
  <c r="G382" i="41"/>
  <c r="G364" i="41"/>
  <c r="G348" i="41"/>
  <c r="G331" i="41"/>
  <c r="G315" i="41"/>
  <c r="G298" i="41"/>
  <c r="G281" i="41"/>
  <c r="G264" i="41"/>
  <c r="G242" i="41"/>
  <c r="G225" i="41"/>
  <c r="G205" i="41"/>
  <c r="G189" i="41"/>
  <c r="G170" i="41"/>
  <c r="G154" i="41"/>
  <c r="G138" i="41"/>
  <c r="G118" i="41"/>
  <c r="G102" i="41"/>
  <c r="G86" i="41"/>
  <c r="G70" i="41"/>
  <c r="G54" i="41"/>
  <c r="G38" i="41"/>
  <c r="G21" i="41"/>
  <c r="G412" i="41"/>
  <c r="G46" i="41"/>
  <c r="G614" i="41"/>
  <c r="G598" i="41"/>
  <c r="G581" i="41"/>
  <c r="G565" i="41"/>
  <c r="G548" i="41"/>
  <c r="G531" i="41"/>
  <c r="G513" i="41"/>
  <c r="G496" i="41"/>
  <c r="G478" i="41"/>
  <c r="G456" i="41"/>
  <c r="G440" i="41"/>
  <c r="G421" i="41"/>
  <c r="G398" i="41"/>
  <c r="G381" i="41"/>
  <c r="G363" i="41"/>
  <c r="G347" i="41"/>
  <c r="G330" i="41"/>
  <c r="G314" i="41"/>
  <c r="G297" i="41"/>
  <c r="G280" i="41"/>
  <c r="G263" i="41"/>
  <c r="G241" i="41"/>
  <c r="G224" i="41"/>
  <c r="G204" i="41"/>
  <c r="G188" i="41"/>
  <c r="G169" i="41"/>
  <c r="G153" i="41"/>
  <c r="G137" i="41"/>
  <c r="G117" i="41"/>
  <c r="G101" i="41"/>
  <c r="G85" i="41"/>
  <c r="G69" i="41"/>
  <c r="G53" i="41"/>
  <c r="G37" i="41"/>
  <c r="G20" i="41"/>
  <c r="G49" i="41"/>
  <c r="G339" i="41"/>
  <c r="G613" i="41"/>
  <c r="G597" i="41"/>
  <c r="G580" i="41"/>
  <c r="G564" i="41"/>
  <c r="G547" i="41"/>
  <c r="G530" i="41"/>
  <c r="G512" i="41"/>
  <c r="G495" i="41"/>
  <c r="G477" i="41"/>
  <c r="G455" i="41"/>
  <c r="G439" i="41"/>
  <c r="G420" i="41"/>
  <c r="G397" i="41"/>
  <c r="G379" i="41"/>
  <c r="G362" i="41"/>
  <c r="G346" i="41"/>
  <c r="G329" i="41"/>
  <c r="G313" i="41"/>
  <c r="G296" i="41"/>
  <c r="G279" i="41"/>
  <c r="G262" i="41"/>
  <c r="G240" i="41"/>
  <c r="G223" i="41"/>
  <c r="G203" i="41"/>
  <c r="G187" i="41"/>
  <c r="G168" i="41"/>
  <c r="G152" i="41"/>
  <c r="G136" i="41"/>
  <c r="G116" i="41"/>
  <c r="G100" i="41"/>
  <c r="G84" i="41"/>
  <c r="G68" i="41"/>
  <c r="G52" i="41"/>
  <c r="G36" i="41"/>
  <c r="G19" i="41"/>
  <c r="G15" i="41"/>
  <c r="G356" i="41"/>
  <c r="G94" i="41"/>
  <c r="G612" i="41"/>
  <c r="G596" i="41"/>
  <c r="G579" i="41"/>
  <c r="G562" i="41"/>
  <c r="G545" i="41"/>
  <c r="G529" i="41"/>
  <c r="G511" i="41"/>
  <c r="G494" i="41"/>
  <c r="G474" i="41"/>
  <c r="G454" i="41"/>
  <c r="G438" i="41"/>
  <c r="G418" i="41"/>
  <c r="G396" i="41"/>
  <c r="G378" i="41"/>
  <c r="G361" i="41"/>
  <c r="G344" i="41"/>
  <c r="G328" i="41"/>
  <c r="G312" i="41"/>
  <c r="G295" i="41"/>
  <c r="G278" i="41"/>
  <c r="G261" i="41"/>
  <c r="G238" i="41"/>
  <c r="G219" i="41"/>
  <c r="G202" i="41"/>
  <c r="G186" i="41"/>
  <c r="G167" i="41"/>
  <c r="G151" i="41"/>
  <c r="G135" i="41"/>
  <c r="G115" i="41"/>
  <c r="G99" i="41"/>
  <c r="G83" i="41"/>
  <c r="G67" i="41"/>
  <c r="G51" i="41"/>
  <c r="G34" i="41"/>
  <c r="G18" i="41"/>
  <c r="G81" i="41"/>
  <c r="G306" i="41"/>
  <c r="G611" i="41"/>
  <c r="G594" i="41"/>
  <c r="G578" i="41"/>
  <c r="G561" i="41"/>
  <c r="G544" i="41"/>
  <c r="G528" i="41"/>
  <c r="G510" i="41"/>
  <c r="G492" i="41"/>
  <c r="G472" i="41"/>
  <c r="G453" i="41"/>
  <c r="G437" i="41"/>
  <c r="G417" i="41"/>
  <c r="G395" i="41"/>
  <c r="G377" i="41"/>
  <c r="G360" i="41"/>
  <c r="G343" i="41"/>
  <c r="G327" i="41"/>
  <c r="G311" i="41"/>
  <c r="G294" i="41"/>
  <c r="G277" i="41"/>
  <c r="G260" i="41"/>
  <c r="G237" i="41"/>
  <c r="G218" i="41"/>
  <c r="G201" i="41"/>
  <c r="G185" i="41"/>
  <c r="G166" i="41"/>
  <c r="G150" i="41"/>
  <c r="G134" i="41"/>
  <c r="G114" i="41"/>
  <c r="G98" i="41"/>
  <c r="G82" i="41"/>
  <c r="G66" i="41"/>
  <c r="G50" i="41"/>
  <c r="G33" i="41"/>
  <c r="G16" i="41"/>
  <c r="G97" i="41"/>
  <c r="G391" i="41"/>
  <c r="G610" i="41"/>
  <c r="G593" i="41"/>
  <c r="G577" i="41"/>
  <c r="G560" i="41"/>
  <c r="G543" i="41"/>
  <c r="G527" i="41"/>
  <c r="G509" i="41"/>
  <c r="G491" i="41"/>
  <c r="G471" i="41"/>
  <c r="G452" i="41"/>
  <c r="G436" i="41"/>
  <c r="G416" i="41"/>
  <c r="G394" i="41"/>
  <c r="G376" i="41"/>
  <c r="G359" i="41"/>
  <c r="G342" i="41"/>
  <c r="G326" i="41"/>
  <c r="G309" i="41"/>
  <c r="G293" i="41"/>
  <c r="G275" i="41"/>
  <c r="G259" i="41"/>
  <c r="G236" i="41"/>
  <c r="G217" i="41"/>
  <c r="G200" i="41"/>
  <c r="G184" i="41"/>
  <c r="G165" i="41"/>
  <c r="G149" i="41"/>
  <c r="G133" i="41"/>
  <c r="G113" i="41"/>
  <c r="G65" i="41"/>
  <c r="G32" i="41"/>
  <c r="G506" i="41"/>
  <c r="G78" i="41"/>
  <c r="G609" i="41"/>
  <c r="G592" i="41"/>
  <c r="G576" i="41"/>
  <c r="G559" i="41"/>
  <c r="G542" i="41"/>
  <c r="G525" i="41"/>
  <c r="G508" i="41"/>
  <c r="G490" i="41"/>
  <c r="G470" i="41"/>
  <c r="G451" i="41"/>
  <c r="G435" i="41"/>
  <c r="G414" i="41"/>
  <c r="G393" i="41"/>
  <c r="G375" i="41"/>
  <c r="G358" i="41"/>
  <c r="G341" i="41"/>
  <c r="G325" i="41"/>
  <c r="G308" i="41"/>
  <c r="G291" i="41"/>
  <c r="G274" i="41"/>
  <c r="G258" i="41"/>
  <c r="G235" i="41"/>
  <c r="G216" i="41"/>
  <c r="G199" i="41"/>
  <c r="G183" i="41"/>
  <c r="G164" i="41"/>
  <c r="G148" i="41"/>
  <c r="G131" i="41"/>
  <c r="G112" i="41"/>
  <c r="G96" i="41"/>
  <c r="G80" i="41"/>
  <c r="G64" i="41"/>
  <c r="G48" i="41"/>
  <c r="G31" i="41"/>
  <c r="G590" i="41"/>
  <c r="G110" i="41"/>
  <c r="G608" i="41"/>
  <c r="G591" i="41"/>
  <c r="G575" i="41"/>
  <c r="G558" i="41"/>
  <c r="G541" i="41"/>
  <c r="G524" i="41"/>
  <c r="G507" i="41"/>
  <c r="G489" i="41"/>
  <c r="G469" i="41"/>
  <c r="G450" i="41"/>
  <c r="G434" i="41"/>
  <c r="G413" i="41"/>
  <c r="G392" i="41"/>
  <c r="G374" i="41"/>
  <c r="G357" i="41"/>
  <c r="G340" i="41"/>
  <c r="G324" i="41"/>
  <c r="G307" i="41"/>
  <c r="G290" i="41"/>
  <c r="G273" i="41"/>
  <c r="G256" i="41"/>
  <c r="G234" i="41"/>
  <c r="G215" i="41"/>
  <c r="G198" i="41"/>
  <c r="G179" i="41"/>
  <c r="G163" i="41"/>
  <c r="G147" i="41"/>
  <c r="G130" i="41"/>
  <c r="G111" i="41"/>
  <c r="G95" i="41"/>
  <c r="G79" i="41"/>
  <c r="G63" i="41"/>
  <c r="G47" i="41"/>
  <c r="G30" i="41"/>
  <c r="G607" i="41"/>
  <c r="G433" i="41"/>
  <c r="G373" i="41"/>
  <c r="G323" i="41"/>
  <c r="G289" i="41"/>
  <c r="G272" i="41"/>
  <c r="G255" i="41"/>
  <c r="G233" i="41"/>
  <c r="G214" i="41"/>
  <c r="G197" i="41"/>
  <c r="G178" i="41"/>
  <c r="G146" i="41"/>
  <c r="G62" i="41"/>
  <c r="C76" i="1"/>
  <c r="C82" i="1"/>
  <c r="R159" i="45"/>
  <c r="R161" i="45" s="1"/>
  <c r="H34" i="43" s="1"/>
  <c r="R136" i="45"/>
  <c r="H33" i="43"/>
  <c r="R115" i="45"/>
  <c r="R117" i="45"/>
  <c r="H32" i="43" s="1"/>
  <c r="R56" i="45"/>
  <c r="E263" i="8"/>
  <c r="E267" i="8" s="1"/>
  <c r="P26" i="4" s="1"/>
  <c r="D19" i="23" s="1"/>
  <c r="F19" i="23" s="1"/>
  <c r="E249" i="8"/>
  <c r="E251" i="8"/>
  <c r="E252" i="8" s="1"/>
  <c r="E230" i="8"/>
  <c r="E232" i="8"/>
  <c r="E233" i="8"/>
  <c r="E215" i="8"/>
  <c r="E219" i="8" s="1"/>
  <c r="P23" i="4" s="1"/>
  <c r="D19" i="19" s="1"/>
  <c r="F19" i="19" s="1"/>
  <c r="E197" i="8"/>
  <c r="E199" i="8" s="1"/>
  <c r="E200" i="8"/>
  <c r="E178" i="8"/>
  <c r="E180" i="8" s="1"/>
  <c r="E181" i="8" s="1"/>
  <c r="E164" i="8"/>
  <c r="E152" i="8"/>
  <c r="E153" i="8" s="1"/>
  <c r="E133" i="8"/>
  <c r="E116" i="8"/>
  <c r="E120" i="8"/>
  <c r="Q17" i="4" s="1"/>
  <c r="D19" i="17" s="1"/>
  <c r="F19" i="17" s="1"/>
  <c r="E98" i="8"/>
  <c r="E78" i="8"/>
  <c r="E58" i="8"/>
  <c r="E44" i="8"/>
  <c r="E48" i="8"/>
  <c r="P13" i="4" s="1"/>
  <c r="D19" i="13" s="1"/>
  <c r="F19" i="13"/>
  <c r="F19" i="10"/>
  <c r="E32" i="8"/>
  <c r="E33" i="8" s="1"/>
  <c r="E16" i="8"/>
  <c r="E20" i="8" s="1"/>
  <c r="P11" i="4"/>
  <c r="D19" i="9" s="1"/>
  <c r="F19" i="9" s="1"/>
  <c r="J173" i="7"/>
  <c r="J175" i="7" s="1"/>
  <c r="J176" i="7" s="1"/>
  <c r="G50" i="4" s="1"/>
  <c r="F24" i="6"/>
  <c r="H17" i="35"/>
  <c r="H25" i="49"/>
  <c r="G88" i="4"/>
  <c r="D44" i="10"/>
  <c r="D44" i="19"/>
  <c r="D44" i="14"/>
  <c r="D44" i="9"/>
  <c r="D44" i="12"/>
  <c r="D44" i="22"/>
  <c r="H20" i="35"/>
  <c r="H23" i="35" s="1"/>
  <c r="H25" i="35" s="1"/>
  <c r="D37" i="11"/>
  <c r="H36" i="23"/>
  <c r="H37" i="23"/>
  <c r="H38" i="23" s="1"/>
  <c r="H35" i="21"/>
  <c r="H36" i="21" s="1"/>
  <c r="H37" i="21" s="1"/>
  <c r="H38" i="21" s="1"/>
  <c r="H45" i="21" s="1"/>
  <c r="D37" i="21"/>
  <c r="D37" i="16"/>
  <c r="D37" i="19"/>
  <c r="O34" i="21"/>
  <c r="O35" i="21"/>
  <c r="O36" i="21" s="1"/>
  <c r="F21" i="14"/>
  <c r="F21" i="18"/>
  <c r="I21" i="18"/>
  <c r="I30" i="18" s="1"/>
  <c r="I31" i="18" s="1"/>
  <c r="N24" i="4"/>
  <c r="D8" i="20"/>
  <c r="F21" i="20"/>
  <c r="N22" i="4"/>
  <c r="E11" i="15"/>
  <c r="F11" i="15" s="1"/>
  <c r="L10" i="25"/>
  <c r="D8" i="22"/>
  <c r="G19" i="4"/>
  <c r="K19" i="4"/>
  <c r="G17" i="4"/>
  <c r="N17" i="4" s="1"/>
  <c r="F21" i="11"/>
  <c r="N15" i="4"/>
  <c r="L14" i="4"/>
  <c r="N14" i="4" s="1"/>
  <c r="L28" i="30"/>
  <c r="L20" i="30"/>
  <c r="S26" i="30"/>
  <c r="P27" i="30"/>
  <c r="F23" i="19"/>
  <c r="P15" i="25" s="1"/>
  <c r="P16" i="30"/>
  <c r="P19" i="30"/>
  <c r="L15" i="30"/>
  <c r="P26" i="30"/>
  <c r="F23" i="18"/>
  <c r="G23" i="18" s="1"/>
  <c r="G30" i="18" s="1"/>
  <c r="G31" i="18" s="1"/>
  <c r="G34" i="18" s="1"/>
  <c r="P30" i="30"/>
  <c r="P15" i="30"/>
  <c r="D23" i="23"/>
  <c r="N9" i="23" s="1"/>
  <c r="N13" i="23" s="1"/>
  <c r="N15" i="23" s="1"/>
  <c r="N31" i="23" s="1"/>
  <c r="N34" i="23" s="1"/>
  <c r="S25" i="30"/>
  <c r="W25" i="30"/>
  <c r="D22" i="13"/>
  <c r="P28" i="30"/>
  <c r="P20" i="30"/>
  <c r="F23" i="11"/>
  <c r="I15" i="25" s="1"/>
  <c r="L18" i="30"/>
  <c r="S17" i="30"/>
  <c r="W17" i="30"/>
  <c r="F25" i="13"/>
  <c r="L27" i="30"/>
  <c r="P29" i="30"/>
  <c r="L19" i="30"/>
  <c r="P18" i="30"/>
  <c r="W16" i="30"/>
  <c r="W18" i="30"/>
  <c r="F25" i="14"/>
  <c r="S18" i="30"/>
  <c r="P17" i="30"/>
  <c r="D25" i="18"/>
  <c r="I138" i="40"/>
  <c r="I471" i="40"/>
  <c r="I215" i="40"/>
  <c r="I550" i="40"/>
  <c r="I294" i="40"/>
  <c r="I38" i="40"/>
  <c r="I373" i="40"/>
  <c r="I117" i="40"/>
  <c r="I452" i="40"/>
  <c r="I196" i="40"/>
  <c r="I530" i="40"/>
  <c r="I274" i="40"/>
  <c r="I18" i="40"/>
  <c r="I352" i="40"/>
  <c r="I96" i="40"/>
  <c r="I431" i="40"/>
  <c r="I175" i="40"/>
  <c r="I510" i="40"/>
  <c r="I94" i="40"/>
  <c r="I222" i="40"/>
  <c r="I350" i="40"/>
  <c r="I478" i="40"/>
  <c r="I15" i="40"/>
  <c r="I143" i="40"/>
  <c r="I271" i="40"/>
  <c r="I399" i="40"/>
  <c r="I527" i="40"/>
  <c r="I64" i="40"/>
  <c r="I192" i="40"/>
  <c r="I320" i="40"/>
  <c r="I448" i="40"/>
  <c r="I576" i="40"/>
  <c r="I114" i="40"/>
  <c r="I242" i="40"/>
  <c r="I370" i="40"/>
  <c r="I498" i="40"/>
  <c r="I36" i="40"/>
  <c r="I164" i="40"/>
  <c r="I292" i="40"/>
  <c r="I420" i="40"/>
  <c r="I548" i="40"/>
  <c r="I85" i="40"/>
  <c r="I213" i="40"/>
  <c r="I341" i="40"/>
  <c r="I469" i="40"/>
  <c r="I597" i="40"/>
  <c r="I134" i="40"/>
  <c r="I262" i="40"/>
  <c r="I390" i="40"/>
  <c r="I518" i="40"/>
  <c r="I55" i="40"/>
  <c r="I183" i="40"/>
  <c r="I311" i="40"/>
  <c r="I439" i="40"/>
  <c r="I567" i="40"/>
  <c r="I106" i="40"/>
  <c r="I234" i="40"/>
  <c r="I362" i="40"/>
  <c r="I490" i="40"/>
  <c r="I29" i="40"/>
  <c r="I157" i="40"/>
  <c r="I285" i="40"/>
  <c r="I413" i="40"/>
  <c r="I541" i="40"/>
  <c r="I156" i="40"/>
  <c r="I499" i="40"/>
  <c r="I693" i="40"/>
  <c r="I283" i="40"/>
  <c r="I248" i="40"/>
  <c r="I587" i="40"/>
  <c r="I726" i="40"/>
  <c r="I708" i="40"/>
  <c r="I332" i="40"/>
  <c r="I631" i="40"/>
  <c r="I759" i="40"/>
  <c r="I692" i="40"/>
  <c r="I337" i="40"/>
  <c r="I632" i="40"/>
  <c r="I760" i="40"/>
  <c r="I539" i="40"/>
  <c r="I339" i="40"/>
  <c r="I633" i="40"/>
  <c r="I761" i="40"/>
  <c r="I171" i="40"/>
  <c r="I513" i="40"/>
  <c r="I698" i="40"/>
  <c r="I113" i="40"/>
  <c r="I217" i="40"/>
  <c r="I556" i="40"/>
  <c r="I715" i="40"/>
  <c r="I724" i="40"/>
  <c r="I110" i="40"/>
  <c r="I238" i="40"/>
  <c r="I366" i="40"/>
  <c r="I494" i="40"/>
  <c r="I31" i="40"/>
  <c r="I159" i="40"/>
  <c r="I287" i="40"/>
  <c r="I415" i="40"/>
  <c r="I543" i="40"/>
  <c r="I80" i="40"/>
  <c r="I208" i="40"/>
  <c r="I336" i="40"/>
  <c r="I464" i="40"/>
  <c r="I592" i="40"/>
  <c r="I130" i="40"/>
  <c r="I258" i="40"/>
  <c r="I386" i="40"/>
  <c r="I514" i="40"/>
  <c r="I52" i="40"/>
  <c r="I180" i="40"/>
  <c r="I308" i="40"/>
  <c r="I436" i="40"/>
  <c r="I564" i="40"/>
  <c r="I101" i="40"/>
  <c r="I229" i="40"/>
  <c r="I357" i="40"/>
  <c r="I485" i="40"/>
  <c r="I22" i="40"/>
  <c r="I150" i="40"/>
  <c r="I278" i="40"/>
  <c r="I406" i="40"/>
  <c r="I534" i="40"/>
  <c r="I71" i="40"/>
  <c r="I199" i="40"/>
  <c r="I327" i="40"/>
  <c r="I455" i="40"/>
  <c r="I583" i="40"/>
  <c r="I122" i="40"/>
  <c r="I14" i="40"/>
  <c r="I142" i="40"/>
  <c r="I270" i="40"/>
  <c r="I398" i="40"/>
  <c r="I526" i="40"/>
  <c r="I63" i="40"/>
  <c r="I191" i="40"/>
  <c r="I319" i="40"/>
  <c r="I447" i="40"/>
  <c r="I575" i="40"/>
  <c r="I112" i="40"/>
  <c r="I240" i="40"/>
  <c r="I368" i="40"/>
  <c r="I496" i="40"/>
  <c r="I34" i="40"/>
  <c r="I162" i="40"/>
  <c r="I290" i="40"/>
  <c r="I418" i="40"/>
  <c r="I546" i="40"/>
  <c r="I84" i="40"/>
  <c r="I212" i="40"/>
  <c r="I340" i="40"/>
  <c r="I468" i="40"/>
  <c r="I596" i="40"/>
  <c r="I133" i="40"/>
  <c r="I261" i="40"/>
  <c r="I389" i="40"/>
  <c r="I517" i="40"/>
  <c r="I54" i="40"/>
  <c r="I182" i="40"/>
  <c r="I310" i="40"/>
  <c r="I438" i="40"/>
  <c r="I566" i="40"/>
  <c r="I103" i="40"/>
  <c r="I231" i="40"/>
  <c r="I359" i="40"/>
  <c r="I487" i="40"/>
  <c r="I26" i="40"/>
  <c r="I154" i="40"/>
  <c r="I282" i="40"/>
  <c r="I410" i="40"/>
  <c r="I538" i="40"/>
  <c r="I77" i="40"/>
  <c r="I205" i="40"/>
  <c r="I333" i="40"/>
  <c r="I30" i="40"/>
  <c r="I158" i="40"/>
  <c r="I286" i="40"/>
  <c r="I414" i="40"/>
  <c r="I542" i="40"/>
  <c r="I79" i="40"/>
  <c r="I207" i="40"/>
  <c r="I335" i="40"/>
  <c r="I463" i="40"/>
  <c r="I591" i="40"/>
  <c r="I128" i="40"/>
  <c r="I256" i="40"/>
  <c r="I384" i="40"/>
  <c r="I512" i="40"/>
  <c r="I50" i="40"/>
  <c r="I178" i="40"/>
  <c r="I306" i="40"/>
  <c r="I434" i="40"/>
  <c r="I562" i="40"/>
  <c r="I100" i="40"/>
  <c r="I228" i="40"/>
  <c r="I356" i="40"/>
  <c r="I484" i="40"/>
  <c r="I21" i="40"/>
  <c r="I149" i="40"/>
  <c r="I277" i="40"/>
  <c r="I405" i="40"/>
  <c r="I533" i="40"/>
  <c r="I70" i="40"/>
  <c r="I198" i="40"/>
  <c r="I326" i="40"/>
  <c r="I454" i="40"/>
  <c r="I582" i="40"/>
  <c r="I119" i="40"/>
  <c r="I247" i="40"/>
  <c r="I375" i="40"/>
  <c r="I503" i="40"/>
  <c r="I42" i="40"/>
  <c r="I170" i="40"/>
  <c r="I298" i="40"/>
  <c r="I426" i="40"/>
  <c r="I554" i="40"/>
  <c r="I93" i="40"/>
  <c r="I221" i="40"/>
  <c r="I349" i="40"/>
  <c r="I477" i="40"/>
  <c r="I605" i="40"/>
  <c r="I329" i="40"/>
  <c r="I629" i="40"/>
  <c r="I757" i="40"/>
  <c r="I75" i="40"/>
  <c r="I417" i="40"/>
  <c r="I662" i="40"/>
  <c r="I195" i="40"/>
  <c r="I163" i="40"/>
  <c r="I505" i="40"/>
  <c r="I695" i="40"/>
  <c r="I707" i="40"/>
  <c r="I168" i="40"/>
  <c r="I507" i="40"/>
  <c r="I696" i="40"/>
  <c r="I409" i="40"/>
  <c r="I169" i="40"/>
  <c r="I508" i="40"/>
  <c r="I697" i="40"/>
  <c r="I676" i="40"/>
  <c r="I344" i="40"/>
  <c r="I634" i="40"/>
  <c r="I762" i="40"/>
  <c r="I44" i="40"/>
  <c r="I387" i="40"/>
  <c r="I651" i="40"/>
  <c r="I779" i="40"/>
  <c r="I58" i="40"/>
  <c r="I391" i="40"/>
  <c r="I135" i="40"/>
  <c r="I470" i="40"/>
  <c r="I214" i="40"/>
  <c r="I549" i="40"/>
  <c r="I293" i="40"/>
  <c r="I37" i="40"/>
  <c r="I372" i="40"/>
  <c r="I116" i="40"/>
  <c r="I450" i="40"/>
  <c r="I194" i="40"/>
  <c r="I528" i="40"/>
  <c r="I272" i="40"/>
  <c r="I16" i="40"/>
  <c r="I351" i="40"/>
  <c r="I95" i="40"/>
  <c r="I430" i="40"/>
  <c r="I174" i="40"/>
  <c r="I252" i="40"/>
  <c r="I236" i="40"/>
  <c r="I648" i="40"/>
  <c r="I251" i="40"/>
  <c r="I492" i="40"/>
  <c r="I647" i="40"/>
  <c r="I249" i="40"/>
  <c r="I774" i="40"/>
  <c r="I614" i="40"/>
  <c r="I161" i="40"/>
  <c r="I741" i="40"/>
  <c r="I540" i="40"/>
  <c r="I73" i="40"/>
  <c r="I461" i="40"/>
  <c r="I269" i="40"/>
  <c r="I61" i="40"/>
  <c r="I458" i="40"/>
  <c r="I250" i="40"/>
  <c r="I599" i="40"/>
  <c r="I343" i="40"/>
  <c r="I87" i="40"/>
  <c r="I422" i="40"/>
  <c r="I166" i="40"/>
  <c r="I501" i="40"/>
  <c r="I245" i="40"/>
  <c r="I580" i="40"/>
  <c r="I324" i="40"/>
  <c r="I68" i="40"/>
  <c r="I402" i="40"/>
  <c r="I146" i="40"/>
  <c r="I480" i="40"/>
  <c r="I224" i="40"/>
  <c r="I559" i="40"/>
  <c r="I303" i="40"/>
  <c r="I47" i="40"/>
  <c r="I382" i="40"/>
  <c r="I126" i="40"/>
  <c r="I442" i="40"/>
  <c r="I218" i="40"/>
  <c r="I551" i="40"/>
  <c r="I295" i="40"/>
  <c r="I39" i="40"/>
  <c r="I374" i="40"/>
  <c r="I118" i="40"/>
  <c r="I453" i="40"/>
  <c r="I197" i="40"/>
  <c r="I532" i="40"/>
  <c r="I276" i="40"/>
  <c r="I20" i="40"/>
  <c r="I354" i="40"/>
  <c r="I98" i="40"/>
  <c r="I432" i="40"/>
  <c r="I176" i="40"/>
  <c r="I511" i="40"/>
  <c r="I255" i="40"/>
  <c r="I590" i="40"/>
  <c r="I334" i="40"/>
  <c r="I78" i="40"/>
  <c r="I21" i="21"/>
  <c r="I30" i="21" s="1"/>
  <c r="R16" i="25"/>
  <c r="O34" i="22"/>
  <c r="O31" i="14"/>
  <c r="H34" i="20"/>
  <c r="H35" i="20" s="1"/>
  <c r="H36" i="20"/>
  <c r="H32" i="9"/>
  <c r="H34" i="9"/>
  <c r="H34" i="18"/>
  <c r="H35" i="18"/>
  <c r="H36" i="18" s="1"/>
  <c r="O31" i="13"/>
  <c r="H35" i="19"/>
  <c r="H36" i="19" s="1"/>
  <c r="H35" i="15"/>
  <c r="H36" i="15" s="1"/>
  <c r="H34" i="12"/>
  <c r="O31" i="12"/>
  <c r="D8" i="16"/>
  <c r="F21" i="16"/>
  <c r="H32" i="12"/>
  <c r="O9" i="15"/>
  <c r="O13" i="15"/>
  <c r="O15" i="15" s="1"/>
  <c r="O9" i="16"/>
  <c r="O13" i="16"/>
  <c r="O15" i="16" s="1"/>
  <c r="H34" i="13"/>
  <c r="H32" i="13"/>
  <c r="O35" i="19"/>
  <c r="O36" i="19"/>
  <c r="N26" i="4"/>
  <c r="J16" i="4"/>
  <c r="N16" i="4" s="1"/>
  <c r="O37" i="21"/>
  <c r="O38" i="21" s="1"/>
  <c r="O45" i="21" s="1"/>
  <c r="O40" i="21" s="1"/>
  <c r="H35" i="22"/>
  <c r="H36" i="22" s="1"/>
  <c r="H37" i="22" s="1"/>
  <c r="H38" i="22"/>
  <c r="H45" i="22" s="1"/>
  <c r="G18" i="4"/>
  <c r="N18" i="4"/>
  <c r="O9" i="11"/>
  <c r="O13" i="11"/>
  <c r="O15" i="11" s="1"/>
  <c r="O15" i="4"/>
  <c r="D18" i="12" s="1"/>
  <c r="F18" i="12" s="1"/>
  <c r="H9" i="25"/>
  <c r="E11" i="12"/>
  <c r="F11" i="12"/>
  <c r="O31" i="18"/>
  <c r="O9" i="23"/>
  <c r="O13" i="23" s="1"/>
  <c r="O15" i="23" s="1"/>
  <c r="F21" i="23"/>
  <c r="N13" i="4"/>
  <c r="F21" i="13"/>
  <c r="F31" i="6"/>
  <c r="F32" i="6" s="1"/>
  <c r="D24" i="18"/>
  <c r="S24" i="3" s="1"/>
  <c r="C23" i="18"/>
  <c r="E23" i="14"/>
  <c r="D20" i="20"/>
  <c r="F20" i="20"/>
  <c r="D27" i="18"/>
  <c r="F27" i="18" s="1"/>
  <c r="F23" i="15"/>
  <c r="G23" i="15" s="1"/>
  <c r="G30" i="15" s="1"/>
  <c r="D26" i="15"/>
  <c r="F26" i="15" s="1"/>
  <c r="D27" i="24"/>
  <c r="F27" i="24" s="1"/>
  <c r="E22" i="16"/>
  <c r="E22" i="20"/>
  <c r="D28" i="18"/>
  <c r="F28" i="18"/>
  <c r="C23" i="15"/>
  <c r="F25" i="24"/>
  <c r="D28" i="17"/>
  <c r="F28" i="17" s="1"/>
  <c r="D23" i="11"/>
  <c r="N9" i="11" s="1"/>
  <c r="N13" i="11" s="1"/>
  <c r="N15" i="11"/>
  <c r="D22" i="11"/>
  <c r="D23" i="13"/>
  <c r="N9" i="13"/>
  <c r="N13" i="13" s="1"/>
  <c r="N15" i="13" s="1"/>
  <c r="D27" i="13"/>
  <c r="F27" i="13" s="1"/>
  <c r="D28" i="10"/>
  <c r="F28" i="10" s="1"/>
  <c r="F25" i="12"/>
  <c r="E24" i="20"/>
  <c r="D26" i="18"/>
  <c r="F26" i="18"/>
  <c r="E24" i="15"/>
  <c r="D20" i="17"/>
  <c r="F20" i="17" s="1"/>
  <c r="D26" i="11"/>
  <c r="F26" i="11" s="1"/>
  <c r="D23" i="14"/>
  <c r="N9" i="14" s="1"/>
  <c r="N13" i="14" s="1"/>
  <c r="N15" i="14" s="1"/>
  <c r="D25" i="20"/>
  <c r="D20" i="18"/>
  <c r="F20" i="18" s="1"/>
  <c r="D25" i="15"/>
  <c r="D28" i="12"/>
  <c r="F28" i="12" s="1"/>
  <c r="E23" i="12"/>
  <c r="D24" i="13"/>
  <c r="D27" i="10"/>
  <c r="F27" i="10" s="1"/>
  <c r="F25" i="17"/>
  <c r="D28" i="21"/>
  <c r="F28" i="21" s="1"/>
  <c r="E25" i="20"/>
  <c r="D24" i="19"/>
  <c r="D23" i="15"/>
  <c r="N9" i="15" s="1"/>
  <c r="N13" i="15" s="1"/>
  <c r="N15" i="15" s="1"/>
  <c r="C23" i="24"/>
  <c r="D22" i="24"/>
  <c r="E22" i="24"/>
  <c r="E25" i="17"/>
  <c r="F23" i="17"/>
  <c r="E24" i="14"/>
  <c r="D28" i="13"/>
  <c r="F28" i="13"/>
  <c r="E23" i="10"/>
  <c r="D23" i="20"/>
  <c r="N9" i="20" s="1"/>
  <c r="N13" i="20" s="1"/>
  <c r="N15" i="20"/>
  <c r="N31" i="20" s="1"/>
  <c r="C23" i="20"/>
  <c r="E25" i="24"/>
  <c r="E24" i="17"/>
  <c r="E22" i="17"/>
  <c r="E24" i="11"/>
  <c r="D27" i="11"/>
  <c r="F27" i="11"/>
  <c r="E25" i="14"/>
  <c r="D22" i="14"/>
  <c r="E24" i="13"/>
  <c r="F24" i="13" s="1"/>
  <c r="D20" i="10"/>
  <c r="F20" i="10" s="1"/>
  <c r="E25" i="10"/>
  <c r="E24" i="9"/>
  <c r="E23" i="9"/>
  <c r="F25" i="9"/>
  <c r="C23" i="9"/>
  <c r="D25" i="9"/>
  <c r="E22" i="9"/>
  <c r="D26" i="9"/>
  <c r="F26" i="9" s="1"/>
  <c r="E25" i="9"/>
  <c r="E25" i="22"/>
  <c r="D26" i="22"/>
  <c r="F26" i="22" s="1"/>
  <c r="E23" i="22"/>
  <c r="D28" i="22"/>
  <c r="F28" i="22" s="1"/>
  <c r="F25" i="22"/>
  <c r="D24" i="22"/>
  <c r="D22" i="22"/>
  <c r="C23" i="22"/>
  <c r="E24" i="22"/>
  <c r="D23" i="22"/>
  <c r="N9" i="22" s="1"/>
  <c r="N13" i="22" s="1"/>
  <c r="N15" i="22" s="1"/>
  <c r="D25" i="22"/>
  <c r="F16" i="6"/>
  <c r="F17" i="6" s="1"/>
  <c r="O11" i="4" s="1"/>
  <c r="D18" i="9" s="1"/>
  <c r="E25" i="23"/>
  <c r="C23" i="19"/>
  <c r="E25" i="16"/>
  <c r="C23" i="23"/>
  <c r="D20" i="23"/>
  <c r="F20" i="23" s="1"/>
  <c r="F25" i="23"/>
  <c r="E23" i="16"/>
  <c r="E22" i="21"/>
  <c r="C23" i="10"/>
  <c r="D24" i="24"/>
  <c r="D23" i="24"/>
  <c r="N9" i="24" s="1"/>
  <c r="N13" i="24" s="1"/>
  <c r="N15" i="24"/>
  <c r="N31" i="24" s="1"/>
  <c r="D22" i="16"/>
  <c r="D27" i="23"/>
  <c r="F27" i="23"/>
  <c r="D24" i="23"/>
  <c r="D25" i="13"/>
  <c r="E23" i="13"/>
  <c r="E22" i="15"/>
  <c r="F25" i="16"/>
  <c r="D27" i="19"/>
  <c r="F27" i="19" s="1"/>
  <c r="D22" i="21"/>
  <c r="E24" i="23"/>
  <c r="E22" i="23"/>
  <c r="D26" i="16"/>
  <c r="F26" i="16" s="1"/>
  <c r="D23" i="16"/>
  <c r="N9" i="16"/>
  <c r="N13" i="16"/>
  <c r="N15" i="16" s="1"/>
  <c r="N31" i="16" s="1"/>
  <c r="E23" i="19"/>
  <c r="D23" i="19"/>
  <c r="N9" i="19"/>
  <c r="N13" i="19" s="1"/>
  <c r="N15" i="19" s="1"/>
  <c r="N31" i="19" s="1"/>
  <c r="C23" i="16"/>
  <c r="D28" i="16"/>
  <c r="F28" i="16"/>
  <c r="D25" i="16"/>
  <c r="D24" i="21"/>
  <c r="S27" i="3" s="1"/>
  <c r="U27" i="3" s="1"/>
  <c r="D20" i="11"/>
  <c r="F20" i="11"/>
  <c r="D24" i="11"/>
  <c r="F24" i="11" s="1"/>
  <c r="E23" i="23"/>
  <c r="D28" i="23"/>
  <c r="F28" i="23" s="1"/>
  <c r="E23" i="17"/>
  <c r="E25" i="21"/>
  <c r="D20" i="21"/>
  <c r="F20" i="21" s="1"/>
  <c r="E23" i="21"/>
  <c r="E46" i="8"/>
  <c r="E47" i="8" s="1"/>
  <c r="E166" i="8"/>
  <c r="E167" i="8"/>
  <c r="E168" i="8"/>
  <c r="P20" i="4" s="1"/>
  <c r="D19" i="24" s="1"/>
  <c r="F19" i="24" s="1"/>
  <c r="E234" i="8"/>
  <c r="P24" i="4"/>
  <c r="D19" i="20"/>
  <c r="F19" i="20" s="1"/>
  <c r="E253" i="8"/>
  <c r="P25" i="4"/>
  <c r="D19" i="21" s="1"/>
  <c r="F19" i="21" s="1"/>
  <c r="E265" i="8"/>
  <c r="E266" i="8"/>
  <c r="E137" i="8"/>
  <c r="Q18" i="4" s="1"/>
  <c r="D19" i="16" s="1"/>
  <c r="F19" i="16" s="1"/>
  <c r="E135" i="8"/>
  <c r="E136" i="8"/>
  <c r="E18" i="8"/>
  <c r="E19" i="8"/>
  <c r="E217" i="8"/>
  <c r="E218" i="8" s="1"/>
  <c r="E201" i="8"/>
  <c r="P22" i="4"/>
  <c r="D19" i="18" s="1"/>
  <c r="F19" i="18" s="1"/>
  <c r="E182" i="8"/>
  <c r="P21" i="4"/>
  <c r="D19" i="15" s="1"/>
  <c r="F19" i="15" s="1"/>
  <c r="E118" i="8"/>
  <c r="E119" i="8"/>
  <c r="D29" i="22"/>
  <c r="F29" i="22" s="1"/>
  <c r="J8" i="50"/>
  <c r="I13" i="50" s="1"/>
  <c r="J13" i="50" s="1"/>
  <c r="I15" i="31"/>
  <c r="H15" i="31" s="1"/>
  <c r="K21" i="43"/>
  <c r="H45" i="23"/>
  <c r="H42" i="23" s="1"/>
  <c r="H42" i="21"/>
  <c r="H40" i="21"/>
  <c r="O16" i="25"/>
  <c r="I21" i="19"/>
  <c r="I30" i="19" s="1"/>
  <c r="I31" i="19" s="1"/>
  <c r="I34" i="19" s="1"/>
  <c r="P16" i="25"/>
  <c r="P18" i="25"/>
  <c r="P33" i="25"/>
  <c r="E11" i="20"/>
  <c r="F11" i="20" s="1"/>
  <c r="Q9" i="25"/>
  <c r="E11" i="18"/>
  <c r="F11" i="18" s="1"/>
  <c r="O9" i="25"/>
  <c r="I34" i="18"/>
  <c r="I35" i="18" s="1"/>
  <c r="I36" i="18" s="1"/>
  <c r="N19" i="4"/>
  <c r="I21" i="11"/>
  <c r="I30" i="11"/>
  <c r="I31" i="11"/>
  <c r="I16" i="25"/>
  <c r="I18" i="25"/>
  <c r="E11" i="14"/>
  <c r="F11" i="14" s="1"/>
  <c r="J9" i="25"/>
  <c r="G23" i="19"/>
  <c r="G30" i="19"/>
  <c r="G31" i="19"/>
  <c r="G34" i="19" s="1"/>
  <c r="O15" i="25"/>
  <c r="O18" i="25" s="1"/>
  <c r="O33" i="25"/>
  <c r="G23" i="11"/>
  <c r="G30" i="11"/>
  <c r="G31" i="11"/>
  <c r="G34" i="11" s="1"/>
  <c r="G35" i="11" s="1"/>
  <c r="G36" i="11"/>
  <c r="G37" i="11"/>
  <c r="S18" i="3"/>
  <c r="U18" i="3" s="1"/>
  <c r="F22" i="21"/>
  <c r="F22" i="16"/>
  <c r="S15" i="3"/>
  <c r="U15" i="3" s="1"/>
  <c r="F22" i="24"/>
  <c r="J15" i="31"/>
  <c r="E11" i="16"/>
  <c r="F11" i="16"/>
  <c r="M11" i="16" s="1"/>
  <c r="N9" i="25"/>
  <c r="I21" i="16"/>
  <c r="N16" i="25"/>
  <c r="O34" i="18"/>
  <c r="F18" i="9"/>
  <c r="N31" i="13"/>
  <c r="L15" i="25"/>
  <c r="K16" i="25"/>
  <c r="I21" i="13"/>
  <c r="S22" i="3"/>
  <c r="U22" i="3" s="1"/>
  <c r="S25" i="3"/>
  <c r="U25" i="3" s="1"/>
  <c r="E11" i="13"/>
  <c r="F11" i="13" s="1"/>
  <c r="K9" i="25"/>
  <c r="M11" i="12"/>
  <c r="F13" i="12"/>
  <c r="K11" i="12"/>
  <c r="L11" i="12"/>
  <c r="H40" i="22"/>
  <c r="O34" i="9"/>
  <c r="O35" i="9" s="1"/>
  <c r="O36" i="9"/>
  <c r="H37" i="18"/>
  <c r="H38" i="18" s="1"/>
  <c r="H45" i="18"/>
  <c r="N31" i="11"/>
  <c r="U24" i="3"/>
  <c r="O31" i="23"/>
  <c r="I9" i="25"/>
  <c r="E11" i="11"/>
  <c r="F11" i="11"/>
  <c r="O34" i="13"/>
  <c r="O35" i="13" s="1"/>
  <c r="O36" i="13" s="1"/>
  <c r="H37" i="20"/>
  <c r="H38" i="20" s="1"/>
  <c r="H45" i="20" s="1"/>
  <c r="I31" i="21"/>
  <c r="O31" i="11"/>
  <c r="O34" i="24"/>
  <c r="O35" i="24"/>
  <c r="O36" i="24" s="1"/>
  <c r="I21" i="23"/>
  <c r="I30" i="23" s="1"/>
  <c r="U16" i="25"/>
  <c r="H10" i="25"/>
  <c r="O31" i="16"/>
  <c r="G35" i="18"/>
  <c r="G36" i="18"/>
  <c r="G37" i="18"/>
  <c r="G38" i="18"/>
  <c r="G45" i="18" s="1"/>
  <c r="G42" i="18" s="1"/>
  <c r="N31" i="22"/>
  <c r="N31" i="14"/>
  <c r="O24" i="4"/>
  <c r="D18" i="20" s="1"/>
  <c r="F18" i="20" s="1"/>
  <c r="O19" i="4"/>
  <c r="D18" i="22"/>
  <c r="F18" i="22"/>
  <c r="O26" i="4"/>
  <c r="D18" i="23"/>
  <c r="F18" i="23"/>
  <c r="O20" i="4"/>
  <c r="D18" i="24"/>
  <c r="F18" i="24" s="1"/>
  <c r="O21" i="4"/>
  <c r="D18" i="15" s="1"/>
  <c r="F18" i="15" s="1"/>
  <c r="O22" i="4"/>
  <c r="D18" i="18"/>
  <c r="F18" i="18" s="1"/>
  <c r="O23" i="4"/>
  <c r="D18" i="19" s="1"/>
  <c r="F18" i="19" s="1"/>
  <c r="O17" i="4"/>
  <c r="D18" i="17" s="1"/>
  <c r="F18" i="17" s="1"/>
  <c r="O25" i="4"/>
  <c r="D18" i="21"/>
  <c r="F18" i="21"/>
  <c r="O18" i="4"/>
  <c r="D18" i="16" s="1"/>
  <c r="F18" i="16"/>
  <c r="O35" i="10"/>
  <c r="O36" i="10"/>
  <c r="O31" i="15"/>
  <c r="S21" i="3"/>
  <c r="U21" i="3" s="1"/>
  <c r="F24" i="22"/>
  <c r="N31" i="15"/>
  <c r="G23" i="17"/>
  <c r="G30" i="17"/>
  <c r="M15" i="25"/>
  <c r="O46" i="21"/>
  <c r="L55" i="1"/>
  <c r="AG27" i="3" s="1"/>
  <c r="H35" i="13"/>
  <c r="H36" i="13" s="1"/>
  <c r="H37" i="13" s="1"/>
  <c r="H38" i="13"/>
  <c r="H45" i="13" s="1"/>
  <c r="H40" i="13" s="1"/>
  <c r="O34" i="12"/>
  <c r="O35" i="12" s="1"/>
  <c r="O36" i="12" s="1"/>
  <c r="S28" i="3"/>
  <c r="U28" i="3" s="1"/>
  <c r="F24" i="23"/>
  <c r="E11" i="23"/>
  <c r="F11" i="23" s="1"/>
  <c r="K11" i="23" s="1"/>
  <c r="U9" i="25"/>
  <c r="O34" i="14"/>
  <c r="O35" i="14"/>
  <c r="O36" i="14"/>
  <c r="I31" i="43"/>
  <c r="I32" i="43"/>
  <c r="K32" i="43" s="1"/>
  <c r="I34" i="43"/>
  <c r="K34" i="43" s="1"/>
  <c r="I33" i="43"/>
  <c r="K33" i="43" s="1"/>
  <c r="H35" i="12"/>
  <c r="H36" i="12" s="1"/>
  <c r="H37" i="12" s="1"/>
  <c r="H38" i="12" s="1"/>
  <c r="H45" i="12" s="1"/>
  <c r="H35" i="9"/>
  <c r="H36" i="9"/>
  <c r="H37" i="9"/>
  <c r="H38" i="9" s="1"/>
  <c r="H45" i="9" s="1"/>
  <c r="H41" i="22"/>
  <c r="H46" i="23"/>
  <c r="H40" i="23"/>
  <c r="P19" i="25"/>
  <c r="Q10" i="25"/>
  <c r="L11" i="20"/>
  <c r="F13" i="20"/>
  <c r="K11" i="20"/>
  <c r="M11" i="20"/>
  <c r="M12" i="20"/>
  <c r="M13" i="20"/>
  <c r="O10" i="25"/>
  <c r="I37" i="18"/>
  <c r="I38" i="18"/>
  <c r="I45" i="18"/>
  <c r="F13" i="18"/>
  <c r="K11" i="18"/>
  <c r="K12" i="18" s="1"/>
  <c r="K13" i="18"/>
  <c r="M11" i="18"/>
  <c r="M12" i="18" s="1"/>
  <c r="L11" i="18"/>
  <c r="L12" i="18"/>
  <c r="L13" i="18"/>
  <c r="S9" i="25"/>
  <c r="E11" i="22"/>
  <c r="F11" i="22"/>
  <c r="I19" i="25"/>
  <c r="I33" i="25"/>
  <c r="I32" i="11"/>
  <c r="I34" i="11"/>
  <c r="I35" i="11"/>
  <c r="I36" i="11" s="1"/>
  <c r="I37" i="11" s="1"/>
  <c r="I38" i="11" s="1"/>
  <c r="I45" i="11" s="1"/>
  <c r="F13" i="14"/>
  <c r="L11" i="14"/>
  <c r="M11" i="14"/>
  <c r="M12" i="14" s="1"/>
  <c r="K11" i="14"/>
  <c r="J10" i="25"/>
  <c r="O19" i="25"/>
  <c r="H41" i="12"/>
  <c r="H42" i="12"/>
  <c r="F13" i="16"/>
  <c r="K11" i="16"/>
  <c r="L11" i="16"/>
  <c r="O37" i="12"/>
  <c r="O38" i="12" s="1"/>
  <c r="O45" i="12" s="1"/>
  <c r="G31" i="17"/>
  <c r="G34" i="17" s="1"/>
  <c r="I10" i="25"/>
  <c r="K12" i="12"/>
  <c r="K13" i="12" s="1"/>
  <c r="N34" i="16"/>
  <c r="N35" i="16"/>
  <c r="N36" i="16" s="1"/>
  <c r="I30" i="13"/>
  <c r="I30" i="16"/>
  <c r="N34" i="14"/>
  <c r="N35" i="14" s="1"/>
  <c r="N36" i="14" s="1"/>
  <c r="N37" i="14" s="1"/>
  <c r="I31" i="23"/>
  <c r="O34" i="11"/>
  <c r="H40" i="20"/>
  <c r="H44" i="20" s="1"/>
  <c r="H46" i="20"/>
  <c r="H43" i="20"/>
  <c r="H41" i="20"/>
  <c r="H42" i="20"/>
  <c r="F13" i="11"/>
  <c r="K11" i="11"/>
  <c r="M11" i="11"/>
  <c r="M13" i="11" s="1"/>
  <c r="L11" i="11"/>
  <c r="N34" i="11"/>
  <c r="N35" i="11"/>
  <c r="N36" i="11" s="1"/>
  <c r="L12" i="12"/>
  <c r="L13" i="12"/>
  <c r="N34" i="24"/>
  <c r="J34" i="43"/>
  <c r="N34" i="20"/>
  <c r="N35" i="20" s="1"/>
  <c r="N36" i="20" s="1"/>
  <c r="O37" i="9"/>
  <c r="O38" i="9" s="1"/>
  <c r="O45" i="9" s="1"/>
  <c r="O46" i="9" s="1"/>
  <c r="L41" i="1" s="1"/>
  <c r="H42" i="13"/>
  <c r="O37" i="10"/>
  <c r="O38" i="10" s="1"/>
  <c r="O45" i="10" s="1"/>
  <c r="O42" i="10" s="1"/>
  <c r="O34" i="16"/>
  <c r="O35" i="16" s="1"/>
  <c r="O36" i="16" s="1"/>
  <c r="H46" i="18"/>
  <c r="H41" i="18"/>
  <c r="H44" i="18" s="1"/>
  <c r="H42" i="18"/>
  <c r="H43" i="18"/>
  <c r="H40" i="18"/>
  <c r="J31" i="43"/>
  <c r="K31" i="43"/>
  <c r="O37" i="13"/>
  <c r="O38" i="13" s="1"/>
  <c r="O45" i="13"/>
  <c r="F13" i="23"/>
  <c r="L11" i="23"/>
  <c r="M11" i="23"/>
  <c r="N34" i="15"/>
  <c r="N35" i="15"/>
  <c r="N36" i="15"/>
  <c r="N34" i="22"/>
  <c r="N35" i="22"/>
  <c r="N36" i="22" s="1"/>
  <c r="N37" i="22" s="1"/>
  <c r="N38" i="22" s="1"/>
  <c r="N45" i="22" s="1"/>
  <c r="M12" i="12"/>
  <c r="M13" i="12"/>
  <c r="K10" i="25"/>
  <c r="J33" i="43"/>
  <c r="J32" i="43"/>
  <c r="O34" i="15"/>
  <c r="L11" i="13"/>
  <c r="M11" i="13"/>
  <c r="F13" i="13"/>
  <c r="K11" i="13"/>
  <c r="G31" i="15"/>
  <c r="G34" i="15" s="1"/>
  <c r="G35" i="15" s="1"/>
  <c r="G36" i="15" s="1"/>
  <c r="G37" i="15" s="1"/>
  <c r="G38" i="15" s="1"/>
  <c r="G45" i="15" s="1"/>
  <c r="N34" i="13"/>
  <c r="P24" i="3"/>
  <c r="R24" i="3" s="1"/>
  <c r="O34" i="23"/>
  <c r="O37" i="14"/>
  <c r="O38" i="14" s="1"/>
  <c r="O45" i="14" s="1"/>
  <c r="U10" i="25"/>
  <c r="N34" i="19"/>
  <c r="N35" i="19"/>
  <c r="N36" i="19" s="1"/>
  <c r="N37" i="19" s="1"/>
  <c r="N38" i="19" s="1"/>
  <c r="O37" i="24"/>
  <c r="O38" i="24"/>
  <c r="O45" i="24"/>
  <c r="I34" i="21"/>
  <c r="I35" i="21" s="1"/>
  <c r="I36" i="21" s="1"/>
  <c r="O35" i="18"/>
  <c r="O36" i="18"/>
  <c r="O37" i="18" s="1"/>
  <c r="O38" i="18" s="1"/>
  <c r="O45" i="18"/>
  <c r="N10" i="25"/>
  <c r="K12" i="20"/>
  <c r="K13" i="20" s="1"/>
  <c r="L12" i="20"/>
  <c r="L13" i="20"/>
  <c r="F13" i="22"/>
  <c r="M11" i="22"/>
  <c r="L11" i="22"/>
  <c r="K11" i="22"/>
  <c r="S10" i="25"/>
  <c r="I40" i="11"/>
  <c r="K12" i="14"/>
  <c r="K13" i="14" s="1"/>
  <c r="L12" i="14"/>
  <c r="L13" i="14"/>
  <c r="O41" i="18"/>
  <c r="O40" i="13"/>
  <c r="I31" i="13"/>
  <c r="I32" i="13" s="1"/>
  <c r="N37" i="15"/>
  <c r="N38" i="15" s="1"/>
  <c r="N45" i="15" s="1"/>
  <c r="N41" i="15" s="1"/>
  <c r="N37" i="20"/>
  <c r="N38" i="20" s="1"/>
  <c r="N45" i="20" s="1"/>
  <c r="O46" i="12"/>
  <c r="L45" i="1"/>
  <c r="AG17" i="3" s="1"/>
  <c r="K12" i="13"/>
  <c r="K13" i="13"/>
  <c r="K12" i="23"/>
  <c r="K13" i="23" s="1"/>
  <c r="I34" i="23"/>
  <c r="I35" i="23" s="1"/>
  <c r="I36" i="23" s="1"/>
  <c r="O37" i="16"/>
  <c r="O38" i="16" s="1"/>
  <c r="L12" i="11"/>
  <c r="L13" i="11" s="1"/>
  <c r="N38" i="14"/>
  <c r="N45" i="14"/>
  <c r="N37" i="16"/>
  <c r="N38" i="16"/>
  <c r="K12" i="16"/>
  <c r="K13" i="16" s="1"/>
  <c r="M12" i="23"/>
  <c r="M13" i="23" s="1"/>
  <c r="L12" i="23"/>
  <c r="L12" i="13"/>
  <c r="L13" i="13" s="1"/>
  <c r="O35" i="15"/>
  <c r="O36" i="15" s="1"/>
  <c r="O37" i="15" s="1"/>
  <c r="O38" i="15" s="1"/>
  <c r="O45" i="15"/>
  <c r="O40" i="10"/>
  <c r="O41" i="10"/>
  <c r="O46" i="10"/>
  <c r="L42" i="1" s="1"/>
  <c r="AG14" i="3"/>
  <c r="M12" i="11"/>
  <c r="M12" i="16"/>
  <c r="M13" i="16" s="1"/>
  <c r="N37" i="11"/>
  <c r="N38" i="11"/>
  <c r="N45" i="11" s="1"/>
  <c r="N42" i="11" s="1"/>
  <c r="L12" i="16"/>
  <c r="L13" i="16"/>
  <c r="M12" i="13"/>
  <c r="K12" i="11"/>
  <c r="K13" i="11"/>
  <c r="I31" i="16"/>
  <c r="N45" i="19"/>
  <c r="O41" i="14"/>
  <c r="O40" i="14"/>
  <c r="O35" i="23"/>
  <c r="O36" i="23" s="1"/>
  <c r="O37" i="23" s="1"/>
  <c r="O38" i="23" s="1"/>
  <c r="O45" i="23" s="1"/>
  <c r="N35" i="13"/>
  <c r="N36" i="13"/>
  <c r="N37" i="13"/>
  <c r="N38" i="13"/>
  <c r="N45" i="13" s="1"/>
  <c r="O40" i="9"/>
  <c r="O44" i="9" s="1"/>
  <c r="O42" i="9"/>
  <c r="O41" i="9"/>
  <c r="O35" i="11"/>
  <c r="O36" i="11" s="1"/>
  <c r="O37" i="11" s="1"/>
  <c r="O38" i="11" s="1"/>
  <c r="O45" i="11" s="1"/>
  <c r="G35" i="17"/>
  <c r="G36" i="17" s="1"/>
  <c r="G37" i="17" s="1"/>
  <c r="G38" i="17"/>
  <c r="G45" i="17" s="1"/>
  <c r="G40" i="17" s="1"/>
  <c r="K12" i="22"/>
  <c r="K13" i="22"/>
  <c r="L12" i="22"/>
  <c r="L13" i="22"/>
  <c r="M12" i="22"/>
  <c r="M13" i="22"/>
  <c r="G43" i="15"/>
  <c r="N41" i="14"/>
  <c r="N46" i="14"/>
  <c r="J44" i="1" s="1"/>
  <c r="AE16" i="3" s="1"/>
  <c r="O44" i="10"/>
  <c r="I37" i="23"/>
  <c r="I38" i="23" s="1"/>
  <c r="I45" i="23" s="1"/>
  <c r="N46" i="22"/>
  <c r="J49" i="1" s="1"/>
  <c r="AE21" i="3" s="1"/>
  <c r="N46" i="15"/>
  <c r="J51" i="1" s="1"/>
  <c r="AE23" i="3" s="1"/>
  <c r="N40" i="15"/>
  <c r="N41" i="20"/>
  <c r="AG13" i="3"/>
  <c r="N40" i="11"/>
  <c r="N41" i="11"/>
  <c r="N46" i="11"/>
  <c r="J46" i="1" s="1"/>
  <c r="AE18" i="3" s="1"/>
  <c r="I34" i="13"/>
  <c r="I35" i="13"/>
  <c r="I36" i="13"/>
  <c r="I37" i="13" s="1"/>
  <c r="I38" i="13"/>
  <c r="I45" i="13" s="1"/>
  <c r="I46" i="13"/>
  <c r="G15" i="3" s="1"/>
  <c r="I15" i="3" s="1"/>
  <c r="I42" i="13"/>
  <c r="I43" i="13"/>
  <c r="R182" i="45"/>
  <c r="R184" i="45" s="1"/>
  <c r="H35" i="43" s="1"/>
  <c r="I35" i="43" s="1"/>
  <c r="R58" i="45"/>
  <c r="H29" i="43" s="1"/>
  <c r="I29" i="43" s="1"/>
  <c r="O41" i="11" l="1"/>
  <c r="O46" i="11"/>
  <c r="L46" i="1" s="1"/>
  <c r="AG18" i="3" s="1"/>
  <c r="O42" i="11"/>
  <c r="O40" i="11"/>
  <c r="J29" i="43"/>
  <c r="K29" i="43"/>
  <c r="K35" i="43"/>
  <c r="J35" i="43"/>
  <c r="I43" i="23"/>
  <c r="I40" i="23"/>
  <c r="I46" i="23"/>
  <c r="G28" i="3" s="1"/>
  <c r="I28" i="3" s="1"/>
  <c r="I42" i="23"/>
  <c r="I41" i="23"/>
  <c r="I44" i="11"/>
  <c r="P23" i="3"/>
  <c r="R23" i="3" s="1"/>
  <c r="G42" i="15"/>
  <c r="G40" i="15"/>
  <c r="G44" i="15" s="1"/>
  <c r="G46" i="15"/>
  <c r="N41" i="13"/>
  <c r="N46" i="13"/>
  <c r="J43" i="1" s="1"/>
  <c r="AE15" i="3" s="1"/>
  <c r="N42" i="13"/>
  <c r="N40" i="20"/>
  <c r="N44" i="20" s="1"/>
  <c r="N42" i="20"/>
  <c r="N46" i="20"/>
  <c r="J54" i="1" s="1"/>
  <c r="AE26" i="3" s="1"/>
  <c r="N44" i="11"/>
  <c r="P19" i="3"/>
  <c r="R19" i="3" s="1"/>
  <c r="O41" i="24"/>
  <c r="O40" i="24"/>
  <c r="O42" i="24"/>
  <c r="O46" i="24"/>
  <c r="L50" i="1" s="1"/>
  <c r="AG22" i="3" s="1"/>
  <c r="I40" i="13"/>
  <c r="I44" i="13" s="1"/>
  <c r="I41" i="13"/>
  <c r="O40" i="23"/>
  <c r="O44" i="23" s="1"/>
  <c r="O42" i="23"/>
  <c r="O46" i="23"/>
  <c r="L56" i="1" s="1"/>
  <c r="AG28" i="3" s="1"/>
  <c r="O41" i="23"/>
  <c r="N40" i="14"/>
  <c r="N42" i="14"/>
  <c r="N40" i="13"/>
  <c r="I46" i="11"/>
  <c r="G18" i="3" s="1"/>
  <c r="I18" i="3" s="1"/>
  <c r="I42" i="11"/>
  <c r="I41" i="11"/>
  <c r="I43" i="11"/>
  <c r="G46" i="17"/>
  <c r="G42" i="17"/>
  <c r="G41" i="17"/>
  <c r="G44" i="17" s="1"/>
  <c r="G43" i="17"/>
  <c r="N41" i="19"/>
  <c r="N40" i="19"/>
  <c r="N42" i="19"/>
  <c r="N46" i="19"/>
  <c r="J53" i="1" s="1"/>
  <c r="AE25" i="3" s="1"/>
  <c r="N44" i="15"/>
  <c r="I34" i="16"/>
  <c r="I32" i="16"/>
  <c r="G41" i="15"/>
  <c r="O42" i="15"/>
  <c r="O46" i="15"/>
  <c r="L51" i="1" s="1"/>
  <c r="AG23" i="3" s="1"/>
  <c r="O40" i="15"/>
  <c r="O41" i="15"/>
  <c r="N41" i="22"/>
  <c r="N40" i="22"/>
  <c r="N42" i="22"/>
  <c r="O41" i="12"/>
  <c r="O40" i="12"/>
  <c r="O46" i="14"/>
  <c r="L44" i="1" s="1"/>
  <c r="AG16" i="3" s="1"/>
  <c r="O42" i="14"/>
  <c r="O44" i="14" s="1"/>
  <c r="L13" i="23"/>
  <c r="O42" i="13"/>
  <c r="O41" i="13"/>
  <c r="O46" i="13"/>
  <c r="L43" i="1" s="1"/>
  <c r="H40" i="9"/>
  <c r="H46" i="9"/>
  <c r="H42" i="9"/>
  <c r="H41" i="9"/>
  <c r="N42" i="15"/>
  <c r="O40" i="18"/>
  <c r="O42" i="18"/>
  <c r="O46" i="18"/>
  <c r="L52" i="1" s="1"/>
  <c r="AG24" i="3" s="1"/>
  <c r="I42" i="18"/>
  <c r="I46" i="18"/>
  <c r="G24" i="3" s="1"/>
  <c r="I24" i="3" s="1"/>
  <c r="I41" i="18"/>
  <c r="I43" i="18"/>
  <c r="I40" i="18"/>
  <c r="O42" i="12"/>
  <c r="N35" i="24"/>
  <c r="N36" i="24" s="1"/>
  <c r="N37" i="24" s="1"/>
  <c r="N38" i="24" s="1"/>
  <c r="N45" i="24" s="1"/>
  <c r="G43" i="18"/>
  <c r="G46" i="18"/>
  <c r="G41" i="18"/>
  <c r="G40" i="18"/>
  <c r="G44" i="18" s="1"/>
  <c r="N45" i="16"/>
  <c r="M13" i="13"/>
  <c r="I37" i="21"/>
  <c r="I38" i="21" s="1"/>
  <c r="I45" i="21" s="1"/>
  <c r="H43" i="12"/>
  <c r="H40" i="12"/>
  <c r="H44" i="12" s="1"/>
  <c r="H46" i="12"/>
  <c r="M13" i="14"/>
  <c r="H41" i="13"/>
  <c r="H46" i="13"/>
  <c r="G35" i="19"/>
  <c r="G36" i="19" s="1"/>
  <c r="G37" i="19" s="1"/>
  <c r="G38" i="19" s="1"/>
  <c r="G45" i="19" s="1"/>
  <c r="H43" i="13"/>
  <c r="F30" i="21"/>
  <c r="M13" i="18"/>
  <c r="I35" i="19"/>
  <c r="I36" i="19" s="1"/>
  <c r="I37" i="19" s="1"/>
  <c r="I38" i="19" s="1"/>
  <c r="I45" i="19" s="1"/>
  <c r="D29" i="16"/>
  <c r="F29" i="16" s="1"/>
  <c r="D29" i="9"/>
  <c r="F29" i="9" s="1"/>
  <c r="D29" i="19"/>
  <c r="F29" i="19" s="1"/>
  <c r="D29" i="10"/>
  <c r="F29" i="10" s="1"/>
  <c r="D29" i="15"/>
  <c r="F29" i="15" s="1"/>
  <c r="D29" i="13"/>
  <c r="F29" i="13" s="1"/>
  <c r="D29" i="24"/>
  <c r="F29" i="24" s="1"/>
  <c r="D29" i="21"/>
  <c r="F29" i="21" s="1"/>
  <c r="D29" i="23"/>
  <c r="F29" i="23" s="1"/>
  <c r="D29" i="20"/>
  <c r="F29" i="20" s="1"/>
  <c r="D29" i="12"/>
  <c r="F29" i="12" s="1"/>
  <c r="D29" i="14"/>
  <c r="F29" i="14" s="1"/>
  <c r="D29" i="17"/>
  <c r="F29" i="17" s="1"/>
  <c r="D29" i="18"/>
  <c r="F29" i="18" s="1"/>
  <c r="H41" i="21"/>
  <c r="H44" i="21" s="1"/>
  <c r="H46" i="21"/>
  <c r="H43" i="21"/>
  <c r="H46" i="22"/>
  <c r="H42" i="22"/>
  <c r="H44" i="22" s="1"/>
  <c r="H43" i="22"/>
  <c r="O12" i="4"/>
  <c r="D18" i="10" s="1"/>
  <c r="F18" i="10" s="1"/>
  <c r="D29" i="11"/>
  <c r="F29" i="11" s="1"/>
  <c r="I21" i="20"/>
  <c r="I30" i="20" s="1"/>
  <c r="Q16" i="25"/>
  <c r="O42" i="21"/>
  <c r="O41" i="21"/>
  <c r="O44" i="21" s="1"/>
  <c r="K11" i="15"/>
  <c r="F13" i="15"/>
  <c r="M11" i="15"/>
  <c r="L11" i="15"/>
  <c r="J8" i="40"/>
  <c r="C74" i="1"/>
  <c r="D74" i="1" s="1"/>
  <c r="D75" i="1" s="1"/>
  <c r="G87" i="4"/>
  <c r="H43" i="23"/>
  <c r="H41" i="23"/>
  <c r="H44" i="23" s="1"/>
  <c r="N35" i="23"/>
  <c r="N36" i="23" s="1"/>
  <c r="N37" i="23" s="1"/>
  <c r="N38" i="23" s="1"/>
  <c r="N45" i="23" s="1"/>
  <c r="E82" i="8"/>
  <c r="Q15" i="4" s="1"/>
  <c r="D19" i="12" s="1"/>
  <c r="F19" i="12" s="1"/>
  <c r="E80" i="8"/>
  <c r="E81" i="8" s="1"/>
  <c r="J16" i="25"/>
  <c r="I21" i="14"/>
  <c r="G38" i="11"/>
  <c r="G45" i="11" s="1"/>
  <c r="H34" i="10"/>
  <c r="H35" i="10"/>
  <c r="H36" i="10" s="1"/>
  <c r="H32" i="10"/>
  <c r="C45" i="5"/>
  <c r="C46" i="5" s="1"/>
  <c r="C55" i="5" s="1"/>
  <c r="E11" i="25"/>
  <c r="H11" i="25" s="1"/>
  <c r="H12" i="25" s="1"/>
  <c r="H13" i="25" s="1"/>
  <c r="H32" i="25" s="1"/>
  <c r="C35" i="5"/>
  <c r="C37" i="5" s="1"/>
  <c r="C54" i="5" s="1"/>
  <c r="H50" i="5"/>
  <c r="C28" i="5"/>
  <c r="C29" i="5" s="1"/>
  <c r="C53" i="5" s="1"/>
  <c r="C51" i="5"/>
  <c r="O35" i="22"/>
  <c r="O36" i="22" s="1"/>
  <c r="O37" i="22" s="1"/>
  <c r="O38" i="22" s="1"/>
  <c r="O45" i="22" s="1"/>
  <c r="F21" i="9"/>
  <c r="H29" i="3"/>
  <c r="D22" i="12"/>
  <c r="D8" i="10"/>
  <c r="F21" i="10" s="1"/>
  <c r="G173" i="7"/>
  <c r="O37" i="19"/>
  <c r="O38" i="19" s="1"/>
  <c r="O45" i="19" s="1"/>
  <c r="P9" i="25"/>
  <c r="E11" i="19"/>
  <c r="F11" i="19" s="1"/>
  <c r="K29" i="3"/>
  <c r="C23" i="17"/>
  <c r="E11" i="24"/>
  <c r="F11" i="24" s="1"/>
  <c r="G12" i="4"/>
  <c r="N12" i="4" s="1"/>
  <c r="O9" i="17"/>
  <c r="O13" i="17" s="1"/>
  <c r="O15" i="17" s="1"/>
  <c r="F21" i="17"/>
  <c r="D27" i="16"/>
  <c r="F27" i="16" s="1"/>
  <c r="C23" i="5"/>
  <c r="F52" i="5"/>
  <c r="C22" i="5"/>
  <c r="F54" i="5" s="1"/>
  <c r="G54" i="5" s="1"/>
  <c r="H54" i="5" s="1"/>
  <c r="F21" i="15"/>
  <c r="H37" i="19"/>
  <c r="H38" i="19" s="1"/>
  <c r="H45" i="19" s="1"/>
  <c r="D20" i="22"/>
  <c r="F20" i="22" s="1"/>
  <c r="D26" i="14"/>
  <c r="F26" i="14" s="1"/>
  <c r="E24" i="24"/>
  <c r="F24" i="24" s="1"/>
  <c r="H17" i="42"/>
  <c r="H25" i="42"/>
  <c r="M9" i="25"/>
  <c r="E11" i="17"/>
  <c r="F11" i="17" s="1"/>
  <c r="E24" i="12"/>
  <c r="H32" i="16"/>
  <c r="H35" i="16"/>
  <c r="H36" i="16" s="1"/>
  <c r="L11" i="25"/>
  <c r="L12" i="25" s="1"/>
  <c r="L13" i="25" s="1"/>
  <c r="L32" i="25" s="1"/>
  <c r="D37" i="17"/>
  <c r="H34" i="17"/>
  <c r="D24" i="16"/>
  <c r="E25" i="18"/>
  <c r="H34" i="16"/>
  <c r="D27" i="20"/>
  <c r="F27" i="20" s="1"/>
  <c r="E60" i="8"/>
  <c r="E61" i="8" s="1"/>
  <c r="E62" i="8"/>
  <c r="P14" i="4" s="1"/>
  <c r="D19" i="14" s="1"/>
  <c r="F19" i="14" s="1"/>
  <c r="H37" i="15"/>
  <c r="H38" i="15" s="1"/>
  <c r="H45" i="15" s="1"/>
  <c r="T11" i="25"/>
  <c r="T12" i="25" s="1"/>
  <c r="T13" i="25" s="1"/>
  <c r="T32" i="25" s="1"/>
  <c r="Q29" i="3"/>
  <c r="H34" i="14"/>
  <c r="H35" i="14"/>
  <c r="H36" i="14" s="1"/>
  <c r="D44" i="16"/>
  <c r="O45" i="16" s="1"/>
  <c r="D26" i="23"/>
  <c r="F26" i="23" s="1"/>
  <c r="D27" i="21"/>
  <c r="F27" i="21" s="1"/>
  <c r="E25" i="11"/>
  <c r="E25" i="19"/>
  <c r="D28" i="11"/>
  <c r="F28" i="11" s="1"/>
  <c r="F23" i="14"/>
  <c r="D22" i="18"/>
  <c r="F22" i="18" s="1"/>
  <c r="D22" i="15"/>
  <c r="F22" i="15" s="1"/>
  <c r="E23" i="18"/>
  <c r="D20" i="14"/>
  <c r="F20" i="14" s="1"/>
  <c r="D24" i="17"/>
  <c r="F24" i="17" s="1"/>
  <c r="S19" i="3" s="1"/>
  <c r="U19" i="3" s="1"/>
  <c r="F23" i="22"/>
  <c r="D25" i="19"/>
  <c r="E22" i="11"/>
  <c r="F22" i="11" s="1"/>
  <c r="D27" i="15"/>
  <c r="F27" i="15" s="1"/>
  <c r="C23" i="11"/>
  <c r="C23" i="12"/>
  <c r="F23" i="23"/>
  <c r="C23" i="14"/>
  <c r="D24" i="10"/>
  <c r="E23" i="15"/>
  <c r="D23" i="18"/>
  <c r="N9" i="18" s="1"/>
  <c r="N13" i="18" s="1"/>
  <c r="N15" i="18" s="1"/>
  <c r="E22" i="10"/>
  <c r="D28" i="15"/>
  <c r="F28" i="15" s="1"/>
  <c r="C23" i="21"/>
  <c r="D28" i="24"/>
  <c r="F28" i="24" s="1"/>
  <c r="D28" i="14"/>
  <c r="F28" i="14" s="1"/>
  <c r="D23" i="12"/>
  <c r="N9" i="12" s="1"/>
  <c r="N13" i="12" s="1"/>
  <c r="N15" i="12" s="1"/>
  <c r="F25" i="10"/>
  <c r="D26" i="21"/>
  <c r="F26" i="21" s="1"/>
  <c r="D20" i="24"/>
  <c r="F20" i="24" s="1"/>
  <c r="D23" i="21"/>
  <c r="N9" i="21" s="1"/>
  <c r="N13" i="21" s="1"/>
  <c r="N15" i="21" s="1"/>
  <c r="F23" i="10"/>
  <c r="F25" i="15"/>
  <c r="D26" i="13"/>
  <c r="F26" i="13" s="1"/>
  <c r="F23" i="12"/>
  <c r="D22" i="19"/>
  <c r="E24" i="19"/>
  <c r="F24" i="19" s="1"/>
  <c r="E22" i="14"/>
  <c r="F22" i="14" s="1"/>
  <c r="D20" i="15"/>
  <c r="F20" i="15" s="1"/>
  <c r="E24" i="21"/>
  <c r="F24" i="21" s="1"/>
  <c r="D25" i="11"/>
  <c r="D26" i="19"/>
  <c r="F26" i="19" s="1"/>
  <c r="D23" i="10"/>
  <c r="N9" i="10" s="1"/>
  <c r="N13" i="10" s="1"/>
  <c r="N15" i="10" s="1"/>
  <c r="F23" i="20"/>
  <c r="F23" i="13"/>
  <c r="D28" i="19"/>
  <c r="F28" i="19" s="1"/>
  <c r="D27" i="14"/>
  <c r="F27" i="14" s="1"/>
  <c r="D25" i="21"/>
  <c r="D25" i="12"/>
  <c r="D26" i="20"/>
  <c r="F26" i="20" s="1"/>
  <c r="E25" i="12"/>
  <c r="F25" i="21"/>
  <c r="D27" i="22"/>
  <c r="F27" i="22" s="1"/>
  <c r="D26" i="10"/>
  <c r="F26" i="10" s="1"/>
  <c r="D22" i="17"/>
  <c r="F22" i="17" s="1"/>
  <c r="D22" i="23"/>
  <c r="F22" i="23" s="1"/>
  <c r="F30" i="23" s="1"/>
  <c r="D22" i="20"/>
  <c r="F22" i="20" s="1"/>
  <c r="D24" i="14"/>
  <c r="F24" i="14" s="1"/>
  <c r="S16" i="3" s="1"/>
  <c r="U16" i="3" s="1"/>
  <c r="D25" i="23"/>
  <c r="F23" i="21"/>
  <c r="D25" i="24"/>
  <c r="D20" i="19"/>
  <c r="F20" i="19" s="1"/>
  <c r="D28" i="20"/>
  <c r="F28" i="20" s="1"/>
  <c r="E22" i="12"/>
  <c r="D24" i="15"/>
  <c r="D20" i="12"/>
  <c r="F20" i="12" s="1"/>
  <c r="E22" i="18"/>
  <c r="E24" i="16"/>
  <c r="D26" i="12"/>
  <c r="F26" i="12" s="1"/>
  <c r="E23" i="20"/>
  <c r="D28" i="9"/>
  <c r="F28" i="9" s="1"/>
  <c r="D27" i="9"/>
  <c r="F27" i="9" s="1"/>
  <c r="D23" i="9"/>
  <c r="N9" i="9" s="1"/>
  <c r="N13" i="9" s="1"/>
  <c r="N15" i="9" s="1"/>
  <c r="A46" i="9"/>
  <c r="D22" i="9"/>
  <c r="F22" i="9" s="1"/>
  <c r="D24" i="9"/>
  <c r="F24" i="9" s="1"/>
  <c r="S13" i="3" s="1"/>
  <c r="U13" i="3" s="1"/>
  <c r="A9" i="9"/>
  <c r="F23" i="9"/>
  <c r="D20" i="9"/>
  <c r="F20" i="9" s="1"/>
  <c r="F30" i="9" s="1"/>
  <c r="F21" i="12"/>
  <c r="O13" i="4"/>
  <c r="D18" i="13" s="1"/>
  <c r="F18" i="13" s="1"/>
  <c r="O16" i="4"/>
  <c r="D18" i="11" s="1"/>
  <c r="F18" i="11" s="1"/>
  <c r="O14" i="4"/>
  <c r="D18" i="14" s="1"/>
  <c r="F18" i="14" s="1"/>
  <c r="E100" i="8"/>
  <c r="E101" i="8" s="1"/>
  <c r="E102" i="8"/>
  <c r="Q16" i="4" s="1"/>
  <c r="D19" i="11" s="1"/>
  <c r="F19" i="11" s="1"/>
  <c r="H37" i="11"/>
  <c r="F21" i="22"/>
  <c r="F21" i="24"/>
  <c r="H35" i="24"/>
  <c r="H36" i="24" s="1"/>
  <c r="H37" i="24" s="1"/>
  <c r="H38" i="24" s="1"/>
  <c r="H45" i="24" s="1"/>
  <c r="D23" i="17"/>
  <c r="N9" i="17" s="1"/>
  <c r="N13" i="17" s="1"/>
  <c r="N15" i="17" s="1"/>
  <c r="E22" i="19"/>
  <c r="D24" i="20"/>
  <c r="D26" i="17"/>
  <c r="F26" i="17" s="1"/>
  <c r="R76" i="45"/>
  <c r="R78" i="45" s="1"/>
  <c r="H30" i="43" s="1"/>
  <c r="I30" i="43" s="1"/>
  <c r="E24" i="10"/>
  <c r="A46" i="10"/>
  <c r="D22" i="10"/>
  <c r="F22" i="10" s="1"/>
  <c r="D20" i="13"/>
  <c r="F20" i="13" s="1"/>
  <c r="G589" i="41"/>
  <c r="G305" i="41"/>
  <c r="G28" i="41"/>
  <c r="G371" i="41"/>
  <c r="G92" i="41"/>
  <c r="G446" i="41"/>
  <c r="G159" i="41"/>
  <c r="G536" i="41"/>
  <c r="G573" i="41"/>
  <c r="G288" i="41"/>
  <c r="G557" i="41"/>
  <c r="G354" i="41"/>
  <c r="G76" i="41"/>
  <c r="G429" i="41"/>
  <c r="G143" i="41"/>
  <c r="G519" i="41"/>
  <c r="G229" i="41"/>
  <c r="D20" i="16"/>
  <c r="F20" i="16" s="1"/>
  <c r="D24" i="12"/>
  <c r="F24" i="12" s="1"/>
  <c r="S17" i="3" s="1"/>
  <c r="U17" i="3" s="1"/>
  <c r="E22" i="22"/>
  <c r="F22" i="22" s="1"/>
  <c r="D25" i="14"/>
  <c r="D25" i="10"/>
  <c r="D27" i="12"/>
  <c r="F27" i="12" s="1"/>
  <c r="P24" i="30"/>
  <c r="F23" i="24" s="1"/>
  <c r="E25" i="13"/>
  <c r="N11" i="4"/>
  <c r="N25" i="4"/>
  <c r="H38" i="11"/>
  <c r="H45" i="11" s="1"/>
  <c r="O9" i="20"/>
  <c r="O13" i="20" s="1"/>
  <c r="O15" i="20" s="1"/>
  <c r="F25" i="11"/>
  <c r="R27" i="45"/>
  <c r="H28" i="43" s="1"/>
  <c r="I28" i="43" s="1"/>
  <c r="E24" i="18"/>
  <c r="F24" i="18" s="1"/>
  <c r="H32" i="14"/>
  <c r="D25" i="17"/>
  <c r="D27" i="17"/>
  <c r="F27" i="17" s="1"/>
  <c r="P22" i="30"/>
  <c r="F23" i="16" s="1"/>
  <c r="D26" i="24"/>
  <c r="F26" i="24" s="1"/>
  <c r="E25" i="15"/>
  <c r="A6" i="15"/>
  <c r="A45" i="15"/>
  <c r="L26" i="30"/>
  <c r="E22" i="13"/>
  <c r="F22" i="13" s="1"/>
  <c r="E23" i="11"/>
  <c r="C23" i="13"/>
  <c r="I678" i="40"/>
  <c r="I773" i="40"/>
  <c r="I589" i="40"/>
  <c r="I173" i="40"/>
  <c r="I266" i="40"/>
  <c r="I486" i="40"/>
  <c r="I53" i="40"/>
  <c r="I210" i="40"/>
  <c r="I367" i="40"/>
  <c r="C25" i="15"/>
  <c r="V28" i="30"/>
  <c r="W28" i="30" s="1"/>
  <c r="F25" i="20" s="1"/>
  <c r="V27" i="30"/>
  <c r="W27" i="30" s="1"/>
  <c r="F25" i="19" s="1"/>
  <c r="V26" i="30"/>
  <c r="W26" i="30" s="1"/>
  <c r="F25" i="18" s="1"/>
  <c r="F30" i="18" s="1"/>
  <c r="N42" i="23" l="1"/>
  <c r="N46" i="23"/>
  <c r="J56" i="1" s="1"/>
  <c r="AE28" i="3" s="1"/>
  <c r="N41" i="23"/>
  <c r="N40" i="23"/>
  <c r="O42" i="16"/>
  <c r="O46" i="16"/>
  <c r="L48" i="1" s="1"/>
  <c r="AG20" i="3" s="1"/>
  <c r="O40" i="16"/>
  <c r="O44" i="16" s="1"/>
  <c r="O41" i="16"/>
  <c r="I41" i="19"/>
  <c r="I46" i="19"/>
  <c r="G25" i="3" s="1"/>
  <c r="I25" i="3" s="1"/>
  <c r="I40" i="19"/>
  <c r="I44" i="19" s="1"/>
  <c r="I43" i="19"/>
  <c r="I42" i="19"/>
  <c r="J30" i="43"/>
  <c r="K30" i="43"/>
  <c r="G9" i="25"/>
  <c r="E11" i="10"/>
  <c r="F11" i="10" s="1"/>
  <c r="N41" i="24"/>
  <c r="N42" i="24"/>
  <c r="N40" i="24"/>
  <c r="N44" i="24" s="1"/>
  <c r="N46" i="24"/>
  <c r="J50" i="1" s="1"/>
  <c r="AE22" i="3" s="1"/>
  <c r="G40" i="19"/>
  <c r="P25" i="3"/>
  <c r="R25" i="3" s="1"/>
  <c r="G43" i="19"/>
  <c r="G42" i="19"/>
  <c r="G41" i="19"/>
  <c r="G46" i="19"/>
  <c r="H43" i="15"/>
  <c r="H42" i="15"/>
  <c r="H41" i="15"/>
  <c r="H40" i="15"/>
  <c r="H46" i="15"/>
  <c r="E11" i="9"/>
  <c r="F11" i="9" s="1"/>
  <c r="F9" i="25"/>
  <c r="F15" i="25"/>
  <c r="G23" i="9"/>
  <c r="G30" i="9" s="1"/>
  <c r="N31" i="21"/>
  <c r="F16" i="25"/>
  <c r="I21" i="9"/>
  <c r="O44" i="13"/>
  <c r="G23" i="13"/>
  <c r="G30" i="13" s="1"/>
  <c r="K15" i="25"/>
  <c r="K18" i="25" s="1"/>
  <c r="F30" i="24"/>
  <c r="O42" i="22"/>
  <c r="O40" i="22"/>
  <c r="O41" i="22"/>
  <c r="O46" i="22"/>
  <c r="L49" i="1" s="1"/>
  <c r="AG21" i="3" s="1"/>
  <c r="Q19" i="25"/>
  <c r="G15" i="25"/>
  <c r="G23" i="10"/>
  <c r="G30" i="10" s="1"/>
  <c r="T15" i="25"/>
  <c r="T18" i="25" s="1"/>
  <c r="T33" i="25" s="1"/>
  <c r="G23" i="24"/>
  <c r="G30" i="24" s="1"/>
  <c r="S26" i="3"/>
  <c r="U26" i="3" s="1"/>
  <c r="F24" i="20"/>
  <c r="F30" i="20" s="1"/>
  <c r="R15" i="25"/>
  <c r="R18" i="25" s="1"/>
  <c r="G23" i="21"/>
  <c r="G30" i="21" s="1"/>
  <c r="G23" i="20"/>
  <c r="G30" i="20" s="1"/>
  <c r="Q15" i="25"/>
  <c r="Q18" i="25" s="1"/>
  <c r="Q33" i="25" s="1"/>
  <c r="I21" i="17"/>
  <c r="I30" i="17" s="1"/>
  <c r="M16" i="25"/>
  <c r="F30" i="17"/>
  <c r="I31" i="20"/>
  <c r="N31" i="10"/>
  <c r="H37" i="14"/>
  <c r="H38" i="14" s="1"/>
  <c r="H45" i="14" s="1"/>
  <c r="O31" i="17"/>
  <c r="O44" i="18"/>
  <c r="O44" i="15"/>
  <c r="I44" i="23"/>
  <c r="N31" i="17"/>
  <c r="N31" i="12"/>
  <c r="H44" i="13"/>
  <c r="O44" i="24"/>
  <c r="H42" i="24"/>
  <c r="H43" i="24"/>
  <c r="H41" i="24"/>
  <c r="H46" i="24"/>
  <c r="H40" i="24"/>
  <c r="N31" i="9"/>
  <c r="G23" i="22"/>
  <c r="G30" i="22" s="1"/>
  <c r="S15" i="25"/>
  <c r="T34" i="25"/>
  <c r="M11" i="17"/>
  <c r="L11" i="17"/>
  <c r="K11" i="17"/>
  <c r="F13" i="17"/>
  <c r="L11" i="24"/>
  <c r="F13" i="24"/>
  <c r="K11" i="24"/>
  <c r="M11" i="24"/>
  <c r="G23" i="16"/>
  <c r="G30" i="16" s="1"/>
  <c r="N15" i="25"/>
  <c r="N18" i="25" s="1"/>
  <c r="I21" i="24"/>
  <c r="I30" i="24" s="1"/>
  <c r="T16" i="25"/>
  <c r="M10" i="25"/>
  <c r="M11" i="25"/>
  <c r="E12" i="25"/>
  <c r="J11" i="25"/>
  <c r="J12" i="25" s="1"/>
  <c r="J13" i="25" s="1"/>
  <c r="J32" i="25" s="1"/>
  <c r="J34" i="25" s="1"/>
  <c r="K11" i="25"/>
  <c r="K12" i="25" s="1"/>
  <c r="K13" i="25" s="1"/>
  <c r="K32" i="25" s="1"/>
  <c r="U11" i="25"/>
  <c r="U12" i="25" s="1"/>
  <c r="U13" i="25" s="1"/>
  <c r="U32" i="25" s="1"/>
  <c r="Q11" i="25"/>
  <c r="Q12" i="25" s="1"/>
  <c r="Q13" i="25" s="1"/>
  <c r="Q32" i="25" s="1"/>
  <c r="Q34" i="25" s="1"/>
  <c r="O11" i="25"/>
  <c r="O12" i="25" s="1"/>
  <c r="O13" i="25" s="1"/>
  <c r="O32" i="25" s="1"/>
  <c r="O34" i="25" s="1"/>
  <c r="N11" i="25"/>
  <c r="N12" i="25" s="1"/>
  <c r="N13" i="25" s="1"/>
  <c r="N32" i="25" s="1"/>
  <c r="I11" i="25"/>
  <c r="I12" i="25" s="1"/>
  <c r="I13" i="25" s="1"/>
  <c r="I32" i="25" s="1"/>
  <c r="I34" i="25" s="1"/>
  <c r="S11" i="25"/>
  <c r="S12" i="25" s="1"/>
  <c r="S13" i="25" s="1"/>
  <c r="S32" i="25" s="1"/>
  <c r="D76" i="1"/>
  <c r="D77" i="1" s="1"/>
  <c r="S16" i="25"/>
  <c r="I21" i="22"/>
  <c r="I30" i="22" s="1"/>
  <c r="C80" i="1"/>
  <c r="D80" i="1" s="1"/>
  <c r="D81" i="1" s="1"/>
  <c r="G86" i="4"/>
  <c r="H8" i="41"/>
  <c r="I8" i="51"/>
  <c r="H69" i="51" s="1"/>
  <c r="I69" i="51" s="1"/>
  <c r="I16" i="31" s="1"/>
  <c r="C24" i="5"/>
  <c r="C25" i="5" s="1"/>
  <c r="C52" i="5" s="1"/>
  <c r="C57" i="5" s="1"/>
  <c r="G34" i="4" s="1"/>
  <c r="J63" i="40"/>
  <c r="J207" i="40"/>
  <c r="J385" i="40"/>
  <c r="J19" i="40"/>
  <c r="J215" i="40"/>
  <c r="J186" i="40"/>
  <c r="J672" i="40"/>
  <c r="J216" i="40"/>
  <c r="J767" i="40"/>
  <c r="J34" i="40"/>
  <c r="J580" i="40"/>
  <c r="J80" i="40"/>
  <c r="J451" i="40"/>
  <c r="J250" i="40"/>
  <c r="J167" i="40"/>
  <c r="J428" i="40"/>
  <c r="J753" i="40"/>
  <c r="J613" i="40"/>
  <c r="J379" i="40"/>
  <c r="J762" i="40"/>
  <c r="J178" i="40"/>
  <c r="J16" i="40"/>
  <c r="J289" i="40"/>
  <c r="J485" i="40"/>
  <c r="J225" i="40"/>
  <c r="J352" i="40"/>
  <c r="J197" i="40"/>
  <c r="J529" i="40"/>
  <c r="J193" i="40"/>
  <c r="J338" i="40"/>
  <c r="J243" i="40"/>
  <c r="J329" i="40"/>
  <c r="J439" i="40"/>
  <c r="J32" i="40"/>
  <c r="J531" i="40"/>
  <c r="J383" i="40"/>
  <c r="J610" i="40"/>
  <c r="J452" i="40"/>
  <c r="J208" i="40"/>
  <c r="J707" i="40"/>
  <c r="J389" i="40"/>
  <c r="J22" i="40"/>
  <c r="J478" i="40"/>
  <c r="J391" i="40"/>
  <c r="J566" i="40"/>
  <c r="J190" i="40"/>
  <c r="J732" i="40"/>
  <c r="J153" i="40"/>
  <c r="J607" i="40"/>
  <c r="J232" i="40"/>
  <c r="J624" i="40"/>
  <c r="J721" i="40"/>
  <c r="J20" i="40"/>
  <c r="J674" i="40"/>
  <c r="J725" i="40"/>
  <c r="J475" i="40"/>
  <c r="J685" i="40"/>
  <c r="J616" i="40"/>
  <c r="J542" i="40"/>
  <c r="J155" i="40"/>
  <c r="J522" i="40"/>
  <c r="J380" i="40"/>
  <c r="J318" i="40"/>
  <c r="J218" i="40"/>
  <c r="J583" i="40"/>
  <c r="J489" i="40"/>
  <c r="J461" i="40"/>
  <c r="J421" i="40"/>
  <c r="J254" i="40"/>
  <c r="J144" i="40"/>
  <c r="J651" i="40"/>
  <c r="J717" i="40"/>
  <c r="J82" i="40"/>
  <c r="J108" i="40"/>
  <c r="J330" i="40"/>
  <c r="J256" i="40"/>
  <c r="J755" i="40"/>
  <c r="J437" i="40"/>
  <c r="J24" i="40"/>
  <c r="J544" i="40"/>
  <c r="J265" i="40"/>
  <c r="J689" i="40"/>
  <c r="J163" i="40"/>
  <c r="J584" i="40"/>
  <c r="J720" i="40"/>
  <c r="J569" i="40"/>
  <c r="J567" i="40"/>
  <c r="J171" i="40"/>
  <c r="J175" i="40"/>
  <c r="J676" i="40"/>
  <c r="J601" i="40"/>
  <c r="J33" i="40"/>
  <c r="J224" i="40"/>
  <c r="J223" i="40"/>
  <c r="J608" i="40"/>
  <c r="J661" i="40"/>
  <c r="J227" i="40"/>
  <c r="J530" i="40"/>
  <c r="J423" i="40"/>
  <c r="J563" i="40"/>
  <c r="J150" i="40"/>
  <c r="J284" i="40"/>
  <c r="J541" i="40"/>
  <c r="J760" i="40"/>
  <c r="J573" i="40"/>
  <c r="J382" i="40"/>
  <c r="J145" i="40"/>
  <c r="J669" i="40"/>
  <c r="J625" i="40"/>
  <c r="J779" i="40"/>
  <c r="J602" i="40"/>
  <c r="J411" i="40"/>
  <c r="J349" i="40"/>
  <c r="J39" i="40"/>
  <c r="J776" i="40"/>
  <c r="J69" i="40"/>
  <c r="J78" i="40"/>
  <c r="J737" i="40"/>
  <c r="J581" i="40"/>
  <c r="J686" i="40"/>
  <c r="J112" i="40"/>
  <c r="J384" i="40"/>
  <c r="J327" i="40"/>
  <c r="J565" i="40"/>
  <c r="J58" i="40"/>
  <c r="J129" i="40"/>
  <c r="J52" i="40"/>
  <c r="J482" i="40"/>
  <c r="J291" i="40"/>
  <c r="J31" i="40"/>
  <c r="J257" i="40"/>
  <c r="J100" i="40"/>
  <c r="J312" i="40"/>
  <c r="J299" i="40"/>
  <c r="J527" i="40"/>
  <c r="J599" i="40"/>
  <c r="J73" i="40"/>
  <c r="J306" i="40"/>
  <c r="J209" i="40"/>
  <c r="J576" i="40"/>
  <c r="J418" i="40"/>
  <c r="J295" i="40"/>
  <c r="J483" i="40"/>
  <c r="J233" i="40"/>
  <c r="J392" i="40"/>
  <c r="J151" i="40"/>
  <c r="J326" i="40"/>
  <c r="J444" i="40"/>
  <c r="J141" i="40"/>
  <c r="J41" i="40"/>
  <c r="J77" i="40"/>
  <c r="J766" i="40"/>
  <c r="J99" i="40"/>
  <c r="J605" i="40"/>
  <c r="J339" i="40"/>
  <c r="J220" i="40"/>
  <c r="J514" i="40"/>
  <c r="J603" i="40"/>
  <c r="J597" i="40"/>
  <c r="J344" i="40"/>
  <c r="J765" i="40"/>
  <c r="J501" i="40"/>
  <c r="J270" i="40"/>
  <c r="J125" i="40"/>
  <c r="J248" i="40"/>
  <c r="J729" i="40"/>
  <c r="J496" i="40"/>
  <c r="J768" i="40"/>
  <c r="J148" i="40"/>
  <c r="J504" i="40"/>
  <c r="J367" i="40"/>
  <c r="J578" i="40"/>
  <c r="J436" i="40"/>
  <c r="J176" i="40"/>
  <c r="J675" i="40"/>
  <c r="J415" i="40"/>
  <c r="J706" i="40"/>
  <c r="J484" i="40"/>
  <c r="J166" i="40"/>
  <c r="J683" i="40"/>
  <c r="J192" i="40"/>
  <c r="J277" i="40"/>
  <c r="J235" i="40"/>
  <c r="J13" i="40"/>
  <c r="J551" i="40"/>
  <c r="J425" i="40"/>
  <c r="J211" i="40"/>
  <c r="J102" i="40"/>
  <c r="J745" i="40"/>
  <c r="J515" i="40"/>
  <c r="J310" i="40"/>
  <c r="J340" i="40"/>
  <c r="J375" i="40"/>
  <c r="J286" i="40"/>
  <c r="J410" i="40"/>
  <c r="J347" i="40"/>
  <c r="J746" i="40"/>
  <c r="J716" i="40"/>
  <c r="J245" i="40"/>
  <c r="J590" i="40"/>
  <c r="J341" i="40"/>
  <c r="J206" i="40"/>
  <c r="J132" i="40"/>
  <c r="J412" i="40"/>
  <c r="J61" i="40"/>
  <c r="J59" i="40"/>
  <c r="J557" i="40"/>
  <c r="J534" i="40"/>
  <c r="J481" i="40"/>
  <c r="J733" i="40"/>
  <c r="J519" i="40"/>
  <c r="J480" i="40"/>
  <c r="J79" i="40"/>
  <c r="J705" i="40"/>
  <c r="J276" i="40"/>
  <c r="J473" i="40"/>
  <c r="J495" i="40"/>
  <c r="J681" i="40"/>
  <c r="J564" i="40"/>
  <c r="J304" i="40"/>
  <c r="J103" i="40"/>
  <c r="J543" i="40"/>
  <c r="J81" i="40"/>
  <c r="J612" i="40"/>
  <c r="J294" i="40"/>
  <c r="J44" i="40"/>
  <c r="J528" i="40"/>
  <c r="J453" i="40"/>
  <c r="J523" i="40"/>
  <c r="J589" i="40"/>
  <c r="J212" i="40"/>
  <c r="J724" i="40"/>
  <c r="J467" i="40"/>
  <c r="J262" i="40"/>
  <c r="J260" i="40"/>
  <c r="J771" i="40"/>
  <c r="J47" i="40"/>
  <c r="J596" i="40"/>
  <c r="J264" i="40"/>
  <c r="J430" i="40"/>
  <c r="J65" i="40"/>
  <c r="J539" i="40"/>
  <c r="J701" i="40"/>
  <c r="J365" i="40"/>
  <c r="J741" i="40"/>
  <c r="J668" i="40"/>
  <c r="J757" i="40"/>
  <c r="J177" i="40"/>
  <c r="J249" i="40"/>
  <c r="J29" i="40"/>
  <c r="J637" i="40"/>
  <c r="J251" i="40"/>
  <c r="J98" i="40"/>
  <c r="J263" i="40"/>
  <c r="J89" i="40"/>
  <c r="J397" i="40"/>
  <c r="J568" i="40"/>
  <c r="J311" i="40"/>
  <c r="J191" i="40"/>
  <c r="J463" i="40"/>
  <c r="J121" i="40"/>
  <c r="J532" i="40"/>
  <c r="J214" i="40"/>
  <c r="J751" i="40"/>
  <c r="J146" i="40"/>
  <c r="J183" i="40"/>
  <c r="J560" i="40"/>
  <c r="J280" i="40"/>
  <c r="J113" i="40"/>
  <c r="J226" i="40"/>
  <c r="J343" i="40"/>
  <c r="J550" i="40"/>
  <c r="J300" i="40"/>
  <c r="J441" i="40"/>
  <c r="J72" i="40"/>
  <c r="J60" i="40"/>
  <c r="J394" i="40"/>
  <c r="J56" i="40"/>
  <c r="J469" i="40"/>
  <c r="J679" i="40"/>
  <c r="J303" i="40"/>
  <c r="J772" i="40"/>
  <c r="J36" i="40"/>
  <c r="J735" i="40"/>
  <c r="J648" i="40"/>
  <c r="J328" i="40"/>
  <c r="J718" i="40"/>
  <c r="J83" i="40"/>
  <c r="J156" i="40"/>
  <c r="J666" i="40"/>
  <c r="J398" i="40"/>
  <c r="J694" i="40"/>
  <c r="J381" i="40"/>
  <c r="J454" i="40"/>
  <c r="J458" i="40"/>
  <c r="J359" i="40"/>
  <c r="J414" i="40"/>
  <c r="J96" i="40"/>
  <c r="J635" i="40"/>
  <c r="J315" i="40"/>
  <c r="J777" i="40"/>
  <c r="J109" i="40"/>
  <c r="J479" i="40"/>
  <c r="J106" i="40"/>
  <c r="J680" i="40"/>
  <c r="J319" i="40"/>
  <c r="J591" i="40"/>
  <c r="J577" i="40"/>
  <c r="J660" i="40"/>
  <c r="J342" i="40"/>
  <c r="J305" i="40"/>
  <c r="J18" i="40"/>
  <c r="J663" i="40"/>
  <c r="J688" i="40"/>
  <c r="J313" i="40"/>
  <c r="J417" i="40"/>
  <c r="J67" i="40"/>
  <c r="J136" i="40"/>
  <c r="J678" i="40"/>
  <c r="J556" i="40"/>
  <c r="J130" i="40"/>
  <c r="J696" i="40"/>
  <c r="J204" i="40"/>
  <c r="J554" i="40"/>
  <c r="J117" i="40"/>
  <c r="J135" i="40"/>
  <c r="J633" i="40"/>
  <c r="J655" i="40"/>
  <c r="J296" i="40"/>
  <c r="J292" i="40"/>
  <c r="J210" i="40"/>
  <c r="J37" i="40"/>
  <c r="J90" i="40"/>
  <c r="J657" i="40"/>
  <c r="J520" i="40"/>
  <c r="J364" i="40"/>
  <c r="J752" i="40"/>
  <c r="J93" i="40"/>
  <c r="J137" i="40"/>
  <c r="J221" i="40"/>
  <c r="J710" i="40"/>
  <c r="J429" i="40"/>
  <c r="J21" i="40"/>
  <c r="J622" i="40"/>
  <c r="J754" i="40"/>
  <c r="J76" i="40"/>
  <c r="J524" i="40"/>
  <c r="J74" i="40"/>
  <c r="J301" i="40"/>
  <c r="J552" i="40"/>
  <c r="J107" i="40"/>
  <c r="J124" i="40"/>
  <c r="J447" i="40"/>
  <c r="J719" i="40"/>
  <c r="J114" i="40"/>
  <c r="J71" i="40"/>
  <c r="J470" i="40"/>
  <c r="J641" i="40"/>
  <c r="J147" i="40"/>
  <c r="J536" i="40"/>
  <c r="J161" i="40"/>
  <c r="J68" i="40"/>
  <c r="J769" i="40"/>
  <c r="J195" i="40"/>
  <c r="J744" i="40"/>
  <c r="J775" i="40"/>
  <c r="J94" i="40"/>
  <c r="J131" i="40"/>
  <c r="J54" i="40"/>
  <c r="J348" i="40"/>
  <c r="J618" i="40"/>
  <c r="J293" i="40"/>
  <c r="J70" i="40"/>
  <c r="J244" i="40"/>
  <c r="J609" i="40"/>
  <c r="J14" i="40"/>
  <c r="J548" i="40"/>
  <c r="J64" i="40"/>
  <c r="J213" i="40"/>
  <c r="J26" i="40"/>
  <c r="J722" i="40"/>
  <c r="J407" i="40"/>
  <c r="J540" i="40"/>
  <c r="J361" i="40"/>
  <c r="J636" i="40"/>
  <c r="J202" i="40"/>
  <c r="J493" i="40"/>
  <c r="J104" i="40"/>
  <c r="J634" i="40"/>
  <c r="J486" i="40"/>
  <c r="J321" i="40"/>
  <c r="J595" i="40"/>
  <c r="J252" i="40"/>
  <c r="J242" i="40"/>
  <c r="J75" i="40"/>
  <c r="J173" i="40"/>
  <c r="J23" i="40"/>
  <c r="J283" i="40"/>
  <c r="J702" i="40"/>
  <c r="J378" i="40"/>
  <c r="J181" i="40"/>
  <c r="J288" i="40"/>
  <c r="J639" i="40"/>
  <c r="J231" i="40"/>
  <c r="J615" i="40"/>
  <c r="J138" i="40"/>
  <c r="J164" i="40"/>
  <c r="J494" i="40"/>
  <c r="J406" i="40"/>
  <c r="J149" i="40"/>
  <c r="J656" i="40"/>
  <c r="J51" i="40"/>
  <c r="J763" i="40"/>
  <c r="J646" i="40"/>
  <c r="J188" i="40"/>
  <c r="J558" i="40"/>
  <c r="J395" i="40"/>
  <c r="J346" i="40"/>
  <c r="J118" i="40"/>
  <c r="J611" i="40"/>
  <c r="J110" i="40"/>
  <c r="J508" i="40"/>
  <c r="J128" i="40"/>
  <c r="J309" i="40"/>
  <c r="J416" i="40"/>
  <c r="J337" i="40"/>
  <c r="J727" i="40"/>
  <c r="J424" i="40"/>
  <c r="J43" i="40"/>
  <c r="J420" i="40"/>
  <c r="J638" i="40"/>
  <c r="J758" i="40"/>
  <c r="J325" i="40"/>
  <c r="J433" i="40"/>
  <c r="J307" i="40"/>
  <c r="J140" i="40"/>
  <c r="J711" i="40"/>
  <c r="J572" i="40"/>
  <c r="J466" i="40"/>
  <c r="J587" i="40"/>
  <c r="J219" i="40"/>
  <c r="J518" i="40"/>
  <c r="J388" i="40"/>
  <c r="J510" i="40"/>
  <c r="J302" i="40"/>
  <c r="J512" i="40"/>
  <c r="J693" i="40"/>
  <c r="J465" i="40"/>
  <c r="J728" i="40"/>
  <c r="J159" i="40"/>
  <c r="J228" i="40"/>
  <c r="J427" i="40"/>
  <c r="J409" i="40"/>
  <c r="J505" i="40"/>
  <c r="J179" i="40"/>
  <c r="J184" i="40"/>
  <c r="J585" i="40"/>
  <c r="J360" i="40"/>
  <c r="J588" i="40"/>
  <c r="J170" i="40"/>
  <c r="J442" i="40"/>
  <c r="J28" i="40"/>
  <c r="J396" i="40"/>
  <c r="J27" i="40"/>
  <c r="J697" i="40"/>
  <c r="J695" i="40"/>
  <c r="J333" i="40"/>
  <c r="J317" i="40"/>
  <c r="J640" i="40"/>
  <c r="J759" i="40"/>
  <c r="J194" i="40"/>
  <c r="J48" i="40"/>
  <c r="J287" i="40"/>
  <c r="J356" i="40"/>
  <c r="J555" i="40"/>
  <c r="J101" i="40"/>
  <c r="J445" i="40"/>
  <c r="J691" i="40"/>
  <c r="J297" i="40"/>
  <c r="J259" i="40"/>
  <c r="J84" i="40"/>
  <c r="J142" i="40"/>
  <c r="J139" i="40"/>
  <c r="J298" i="40"/>
  <c r="J652" i="40"/>
  <c r="J604" i="40"/>
  <c r="J236" i="40"/>
  <c r="J42" i="40"/>
  <c r="J182" i="40"/>
  <c r="J506" i="40"/>
  <c r="J362" i="40"/>
  <c r="J498" i="40"/>
  <c r="J86" i="40"/>
  <c r="J17" i="40"/>
  <c r="J432" i="40"/>
  <c r="J671" i="40"/>
  <c r="J740" i="40"/>
  <c r="J172" i="40"/>
  <c r="J55" i="40"/>
  <c r="J157" i="40"/>
  <c r="J537" i="40"/>
  <c r="J438" i="40"/>
  <c r="J152" i="40"/>
  <c r="J279" i="40"/>
  <c r="J574" i="40"/>
  <c r="J731" i="40"/>
  <c r="J30" i="40"/>
  <c r="J700" i="40"/>
  <c r="J546" i="40"/>
  <c r="J238" i="40"/>
  <c r="J443" i="40"/>
  <c r="J408" i="40"/>
  <c r="J538" i="40"/>
  <c r="J165" i="40"/>
  <c r="J513" i="40"/>
  <c r="J371" i="40"/>
  <c r="J168" i="40"/>
  <c r="J659" i="40"/>
  <c r="J314" i="40"/>
  <c r="J336" i="40"/>
  <c r="J517" i="40"/>
  <c r="J606" i="40"/>
  <c r="J742" i="40"/>
  <c r="J559" i="40"/>
  <c r="J449" i="40"/>
  <c r="J353" i="40"/>
  <c r="J357" i="40"/>
  <c r="J487" i="40"/>
  <c r="J682" i="40"/>
  <c r="J750" i="40"/>
  <c r="J715" i="40"/>
  <c r="J780" i="40"/>
  <c r="J123" i="40"/>
  <c r="J586" i="40"/>
  <c r="J446" i="40"/>
  <c r="J92" i="40"/>
  <c r="J247" i="40"/>
  <c r="J274" i="40"/>
  <c r="J499" i="40"/>
  <c r="J632" i="40"/>
  <c r="J87" i="40"/>
  <c r="J162" i="40"/>
  <c r="J464" i="40"/>
  <c r="J645" i="40"/>
  <c r="J734" i="40"/>
  <c r="J647" i="40"/>
  <c r="J369" i="40"/>
  <c r="J105" i="40"/>
  <c r="J450" i="40"/>
  <c r="J533" i="40"/>
  <c r="J472" i="40"/>
  <c r="J778" i="40"/>
  <c r="J386" i="40"/>
  <c r="J45" i="40"/>
  <c r="J650" i="40"/>
  <c r="J332" i="40"/>
  <c r="J698" i="40"/>
  <c r="J654" i="40"/>
  <c r="J268" i="40"/>
  <c r="J628" i="40"/>
  <c r="J642" i="40"/>
  <c r="J627" i="40"/>
  <c r="J553" i="40"/>
  <c r="J455" i="40"/>
  <c r="J35" i="40"/>
  <c r="J592" i="40"/>
  <c r="J773" i="40"/>
  <c r="J561" i="40"/>
  <c r="J488" i="40"/>
  <c r="J738" i="40"/>
  <c r="J272" i="40"/>
  <c r="J354" i="40"/>
  <c r="J709" i="40"/>
  <c r="J649" i="40"/>
  <c r="J189" i="40"/>
  <c r="J269" i="40"/>
  <c r="J620" i="40"/>
  <c r="J402" i="40"/>
  <c r="J526" i="40"/>
  <c r="J748" i="40"/>
  <c r="J401" i="40"/>
  <c r="J476" i="40"/>
  <c r="J85" i="40"/>
  <c r="J240" i="40"/>
  <c r="J40" i="40"/>
  <c r="J111" i="40"/>
  <c r="J180" i="40"/>
  <c r="J419" i="40"/>
  <c r="J593" i="40"/>
  <c r="J217" i="40"/>
  <c r="J273" i="40"/>
  <c r="J154" i="40"/>
  <c r="J322" i="40"/>
  <c r="J97" i="40"/>
  <c r="J739" i="40"/>
  <c r="J521" i="40"/>
  <c r="J502" i="40"/>
  <c r="J621" i="40"/>
  <c r="J477" i="40"/>
  <c r="J600" i="40"/>
  <c r="J116" i="40"/>
  <c r="J673" i="40"/>
  <c r="J122" i="40"/>
  <c r="J684" i="40"/>
  <c r="J462" i="40"/>
  <c r="J198" i="40"/>
  <c r="J335" i="40"/>
  <c r="J404" i="40"/>
  <c r="J623" i="40"/>
  <c r="J692" i="40"/>
  <c r="J503" i="40"/>
  <c r="J66" i="40"/>
  <c r="J422" i="40"/>
  <c r="J49" i="40"/>
  <c r="J667" i="40"/>
  <c r="J468" i="40"/>
  <c r="J723" i="40"/>
  <c r="J516" i="40"/>
  <c r="J399" i="40"/>
  <c r="J281" i="40"/>
  <c r="J736" i="40"/>
  <c r="J413" i="40"/>
  <c r="J374" i="40"/>
  <c r="J761" i="40"/>
  <c r="J405" i="40"/>
  <c r="J95" i="40"/>
  <c r="J630" i="40"/>
  <c r="J474" i="40"/>
  <c r="J282" i="40"/>
  <c r="J545" i="40"/>
  <c r="J376" i="40"/>
  <c r="J770" i="40"/>
  <c r="J255" i="40"/>
  <c r="J324" i="40"/>
  <c r="J579" i="40"/>
  <c r="J345" i="40"/>
  <c r="J643" i="40"/>
  <c r="J46" i="40"/>
  <c r="J120" i="40"/>
  <c r="J756" i="40"/>
  <c r="J687" i="40"/>
  <c r="J704" i="40"/>
  <c r="J331" i="40"/>
  <c r="J677" i="40"/>
  <c r="J57" i="40"/>
  <c r="J747" i="40"/>
  <c r="J201" i="40"/>
  <c r="J200" i="40"/>
  <c r="J713" i="40"/>
  <c r="J143" i="40"/>
  <c r="J490" i="40"/>
  <c r="J699" i="40"/>
  <c r="J434" i="40"/>
  <c r="J199" i="40"/>
  <c r="J205" i="40"/>
  <c r="J440" i="40"/>
  <c r="J509" i="40"/>
  <c r="J774" i="40"/>
  <c r="J234" i="40"/>
  <c r="J160" i="40"/>
  <c r="J133" i="40"/>
  <c r="J426" i="40"/>
  <c r="J134" i="40"/>
  <c r="J88" i="40"/>
  <c r="J25" i="40"/>
  <c r="J431" i="40"/>
  <c r="J275" i="40"/>
  <c r="J261" i="40"/>
  <c r="J435" i="40"/>
  <c r="J400" i="40"/>
  <c r="J571" i="40"/>
  <c r="J626" i="40"/>
  <c r="J448" i="40"/>
  <c r="J575" i="40"/>
  <c r="J403" i="40"/>
  <c r="J38" i="40"/>
  <c r="J629" i="40"/>
  <c r="J50" i="40"/>
  <c r="J653" i="40"/>
  <c r="J749" i="40"/>
  <c r="J614" i="40"/>
  <c r="J703" i="40"/>
  <c r="J308" i="40"/>
  <c r="J456" i="40"/>
  <c r="J246" i="40"/>
  <c r="J373" i="40"/>
  <c r="J266" i="40"/>
  <c r="J126" i="40"/>
  <c r="J491" i="40"/>
  <c r="J368" i="40"/>
  <c r="J127" i="40"/>
  <c r="J377" i="40"/>
  <c r="J582" i="40"/>
  <c r="J549" i="40"/>
  <c r="J471" i="40"/>
  <c r="J372" i="40"/>
  <c r="J316" i="40"/>
  <c r="J241" i="40"/>
  <c r="J511" i="40"/>
  <c r="J222" i="40"/>
  <c r="J271" i="40"/>
  <c r="J662" i="40"/>
  <c r="J363" i="40"/>
  <c r="J631" i="40"/>
  <c r="J253" i="40"/>
  <c r="J690" i="40"/>
  <c r="J497" i="40"/>
  <c r="J350" i="40"/>
  <c r="J258" i="40"/>
  <c r="J187" i="40"/>
  <c r="J174" i="40"/>
  <c r="J460" i="40"/>
  <c r="J658" i="40"/>
  <c r="J290" i="40"/>
  <c r="J594" i="40"/>
  <c r="J500" i="40"/>
  <c r="J619" i="40"/>
  <c r="J278" i="40"/>
  <c r="J62" i="40"/>
  <c r="J115" i="40"/>
  <c r="J547" i="40"/>
  <c r="J387" i="40"/>
  <c r="J617" i="40"/>
  <c r="J570" i="40"/>
  <c r="J507" i="40"/>
  <c r="J764" i="40"/>
  <c r="J664" i="40"/>
  <c r="J196" i="40"/>
  <c r="J185" i="40"/>
  <c r="J665" i="40"/>
  <c r="J285" i="40"/>
  <c r="J169" i="40"/>
  <c r="J714" i="40"/>
  <c r="J535" i="40"/>
  <c r="J708" i="40"/>
  <c r="J230" i="40"/>
  <c r="J320" i="40"/>
  <c r="J730" i="40"/>
  <c r="J393" i="40"/>
  <c r="J712" i="40"/>
  <c r="J53" i="40"/>
  <c r="J562" i="40"/>
  <c r="J390" i="40"/>
  <c r="J743" i="40"/>
  <c r="J229" i="40"/>
  <c r="J203" i="40"/>
  <c r="J267" i="40"/>
  <c r="J598" i="40"/>
  <c r="J457" i="40"/>
  <c r="J91" i="40"/>
  <c r="J351" i="40"/>
  <c r="J358" i="40"/>
  <c r="J525" i="40"/>
  <c r="J459" i="40"/>
  <c r="J726" i="40"/>
  <c r="J370" i="40"/>
  <c r="J492" i="40"/>
  <c r="J15" i="40"/>
  <c r="J158" i="40"/>
  <c r="J644" i="40"/>
  <c r="J670" i="40"/>
  <c r="J239" i="40"/>
  <c r="J323" i="40"/>
  <c r="J334" i="40"/>
  <c r="J119" i="40"/>
  <c r="J366" i="40"/>
  <c r="J355" i="40"/>
  <c r="J237" i="40"/>
  <c r="O44" i="12"/>
  <c r="E11" i="21"/>
  <c r="F11" i="21" s="1"/>
  <c r="R9" i="25"/>
  <c r="N41" i="16"/>
  <c r="N40" i="16"/>
  <c r="N42" i="16"/>
  <c r="N46" i="16"/>
  <c r="J48" i="1" s="1"/>
  <c r="AE20" i="3" s="1"/>
  <c r="M11" i="19"/>
  <c r="F13" i="19"/>
  <c r="L11" i="19"/>
  <c r="K11" i="19"/>
  <c r="I35" i="16"/>
  <c r="I36" i="16" s="1"/>
  <c r="I37" i="16" s="1"/>
  <c r="I38" i="16" s="1"/>
  <c r="I45" i="16" s="1"/>
  <c r="N44" i="13"/>
  <c r="P11" i="25"/>
  <c r="P10" i="25"/>
  <c r="L13" i="15"/>
  <c r="L12" i="15"/>
  <c r="O44" i="11"/>
  <c r="AG15" i="3"/>
  <c r="N31" i="18"/>
  <c r="H37" i="16"/>
  <c r="H38" i="16" s="1"/>
  <c r="H45" i="16" s="1"/>
  <c r="O41" i="19"/>
  <c r="O46" i="19"/>
  <c r="L53" i="1" s="1"/>
  <c r="AG25" i="3" s="1"/>
  <c r="O42" i="19"/>
  <c r="O40" i="19"/>
  <c r="O44" i="19" s="1"/>
  <c r="M12" i="15"/>
  <c r="M13" i="15" s="1"/>
  <c r="K28" i="43"/>
  <c r="J28" i="43"/>
  <c r="J37" i="43" s="1"/>
  <c r="F30" i="14"/>
  <c r="F22" i="19"/>
  <c r="F30" i="19" s="1"/>
  <c r="G23" i="14"/>
  <c r="G30" i="14" s="1"/>
  <c r="J15" i="25"/>
  <c r="J18" i="25" s="1"/>
  <c r="J33" i="25" s="1"/>
  <c r="F30" i="22"/>
  <c r="H37" i="10"/>
  <c r="H38" i="10" s="1"/>
  <c r="H45" i="10" s="1"/>
  <c r="H44" i="9"/>
  <c r="N44" i="22"/>
  <c r="N44" i="14"/>
  <c r="G52" i="5"/>
  <c r="F55" i="5"/>
  <c r="F30" i="11"/>
  <c r="H15" i="25"/>
  <c r="G23" i="12"/>
  <c r="G30" i="12" s="1"/>
  <c r="F24" i="10"/>
  <c r="S14" i="3" s="1"/>
  <c r="U14" i="3" s="1"/>
  <c r="H42" i="19"/>
  <c r="H46" i="19"/>
  <c r="H41" i="19"/>
  <c r="H40" i="19"/>
  <c r="H43" i="19"/>
  <c r="K13" i="15"/>
  <c r="K12" i="15"/>
  <c r="I46" i="21"/>
  <c r="G27" i="3" s="1"/>
  <c r="I27" i="3" s="1"/>
  <c r="I42" i="21"/>
  <c r="I43" i="21"/>
  <c r="I40" i="21"/>
  <c r="I41" i="21"/>
  <c r="I44" i="18"/>
  <c r="N44" i="19"/>
  <c r="J19" i="25"/>
  <c r="O31" i="20"/>
  <c r="F30" i="13"/>
  <c r="S23" i="3"/>
  <c r="U23" i="3" s="1"/>
  <c r="F24" i="15"/>
  <c r="F30" i="15" s="1"/>
  <c r="F24" i="16"/>
  <c r="S20" i="3" s="1"/>
  <c r="U20" i="3" s="1"/>
  <c r="U29" i="3" s="1"/>
  <c r="N29" i="1" s="1"/>
  <c r="I21" i="15"/>
  <c r="I30" i="15" s="1"/>
  <c r="L16" i="25"/>
  <c r="I21" i="10"/>
  <c r="G16" i="25"/>
  <c r="G40" i="11"/>
  <c r="G41" i="11"/>
  <c r="P18" i="3"/>
  <c r="R18" i="3" s="1"/>
  <c r="G43" i="11"/>
  <c r="G42" i="11"/>
  <c r="G46" i="11"/>
  <c r="H46" i="11"/>
  <c r="H40" i="11"/>
  <c r="H43" i="11"/>
  <c r="H42" i="11"/>
  <c r="H41" i="11"/>
  <c r="H16" i="25"/>
  <c r="I21" i="12"/>
  <c r="U15" i="25"/>
  <c r="U18" i="25" s="1"/>
  <c r="G23" i="23"/>
  <c r="G30" i="23" s="1"/>
  <c r="H37" i="17"/>
  <c r="H38" i="17" s="1"/>
  <c r="H45" i="17" s="1"/>
  <c r="H35" i="17"/>
  <c r="H36" i="17" s="1"/>
  <c r="F22" i="12"/>
  <c r="F30" i="12" s="1"/>
  <c r="I30" i="14"/>
  <c r="I41" i="16" l="1"/>
  <c r="I40" i="16"/>
  <c r="I43" i="16"/>
  <c r="I42" i="16"/>
  <c r="I46" i="16"/>
  <c r="G20" i="3" s="1"/>
  <c r="I20" i="3" s="1"/>
  <c r="E14" i="21"/>
  <c r="E14" i="9"/>
  <c r="F14" i="9" s="1"/>
  <c r="E14" i="13"/>
  <c r="E14" i="15"/>
  <c r="F14" i="15" s="1"/>
  <c r="F15" i="15" s="1"/>
  <c r="E14" i="16"/>
  <c r="E14" i="24"/>
  <c r="F14" i="24" s="1"/>
  <c r="E14" i="11"/>
  <c r="E14" i="10"/>
  <c r="F14" i="10" s="1"/>
  <c r="E14" i="14"/>
  <c r="E14" i="23"/>
  <c r="E14" i="19"/>
  <c r="F14" i="19" s="1"/>
  <c r="E14" i="20"/>
  <c r="E14" i="17"/>
  <c r="F14" i="17" s="1"/>
  <c r="E14" i="12"/>
  <c r="E14" i="18"/>
  <c r="E14" i="22"/>
  <c r="G31" i="21"/>
  <c r="G34" i="21" s="1"/>
  <c r="H44" i="19"/>
  <c r="N44" i="16"/>
  <c r="S34" i="25"/>
  <c r="M12" i="24"/>
  <c r="M13" i="24"/>
  <c r="R33" i="25"/>
  <c r="R19" i="25"/>
  <c r="K33" i="25"/>
  <c r="K34" i="25" s="1"/>
  <c r="K19" i="25"/>
  <c r="I21" i="25"/>
  <c r="K13" i="24"/>
  <c r="K12" i="24"/>
  <c r="G31" i="13"/>
  <c r="G34" i="13" s="1"/>
  <c r="R11" i="25"/>
  <c r="R10" i="25"/>
  <c r="N34" i="25"/>
  <c r="F15" i="24"/>
  <c r="O35" i="17"/>
  <c r="O36" i="17" s="1"/>
  <c r="O34" i="17"/>
  <c r="O35" i="20"/>
  <c r="O36" i="20" s="1"/>
  <c r="O34" i="20"/>
  <c r="I14" i="31"/>
  <c r="J14" i="31" s="1"/>
  <c r="H14" i="31"/>
  <c r="P12" i="25"/>
  <c r="P13" i="25" s="1"/>
  <c r="P32" i="25" s="1"/>
  <c r="P34" i="25" s="1"/>
  <c r="Q21" i="25"/>
  <c r="F15" i="17"/>
  <c r="G31" i="24"/>
  <c r="G34" i="24" s="1"/>
  <c r="F19" i="25"/>
  <c r="L11" i="21"/>
  <c r="K11" i="21"/>
  <c r="F13" i="21"/>
  <c r="M11" i="21"/>
  <c r="G31" i="12"/>
  <c r="G34" i="12" s="1"/>
  <c r="K38" i="43"/>
  <c r="K37" i="43"/>
  <c r="E16" i="43" s="1"/>
  <c r="K12" i="17"/>
  <c r="K13" i="17"/>
  <c r="N34" i="10"/>
  <c r="N35" i="10" s="1"/>
  <c r="N36" i="10" s="1"/>
  <c r="I30" i="9"/>
  <c r="H18" i="25"/>
  <c r="H33" i="25" s="1"/>
  <c r="H34" i="25" s="1"/>
  <c r="F30" i="16"/>
  <c r="L12" i="17"/>
  <c r="L13" i="17"/>
  <c r="G31" i="10"/>
  <c r="G34" i="10" s="1"/>
  <c r="N34" i="21"/>
  <c r="N35" i="21"/>
  <c r="N36" i="21" s="1"/>
  <c r="G44" i="19"/>
  <c r="J21" i="25"/>
  <c r="M12" i="17"/>
  <c r="M13" i="17"/>
  <c r="G18" i="25"/>
  <c r="G33" i="25" s="1"/>
  <c r="H41" i="14"/>
  <c r="H40" i="14"/>
  <c r="H42" i="14"/>
  <c r="H43" i="14"/>
  <c r="H46" i="14"/>
  <c r="J16" i="31"/>
  <c r="H16" i="31"/>
  <c r="T21" i="25"/>
  <c r="F30" i="10"/>
  <c r="I34" i="20"/>
  <c r="G31" i="9"/>
  <c r="G34" i="9" s="1"/>
  <c r="O21" i="25"/>
  <c r="I44" i="21"/>
  <c r="H52" i="5"/>
  <c r="H55" i="5" s="1"/>
  <c r="G55" i="5"/>
  <c r="H106" i="41"/>
  <c r="H506" i="41"/>
  <c r="H58" i="41"/>
  <c r="H25" i="41"/>
  <c r="H332" i="41"/>
  <c r="H451" i="41"/>
  <c r="H429" i="41"/>
  <c r="H354" i="41"/>
  <c r="H477" i="41"/>
  <c r="H450" i="41"/>
  <c r="H358" i="41"/>
  <c r="H45" i="41"/>
  <c r="H101" i="41"/>
  <c r="H298" i="41"/>
  <c r="H571" i="41"/>
  <c r="H346" i="41"/>
  <c r="H39" i="41"/>
  <c r="H508" i="41"/>
  <c r="H19" i="41"/>
  <c r="H512" i="41"/>
  <c r="H545" i="41"/>
  <c r="H88" i="41"/>
  <c r="H553" i="41"/>
  <c r="H139" i="41"/>
  <c r="H95" i="41"/>
  <c r="H370" i="41"/>
  <c r="H598" i="41"/>
  <c r="H412" i="41"/>
  <c r="H224" i="41"/>
  <c r="H464" i="41"/>
  <c r="H502" i="41"/>
  <c r="H492" i="41"/>
  <c r="H369" i="41"/>
  <c r="H352" i="41"/>
  <c r="H262" i="41"/>
  <c r="H173" i="41"/>
  <c r="H377" i="41"/>
  <c r="H608" i="41"/>
  <c r="H485" i="41"/>
  <c r="H325" i="41"/>
  <c r="H550" i="41"/>
  <c r="H584" i="41"/>
  <c r="H326" i="41"/>
  <c r="H355" i="41"/>
  <c r="H525" i="41"/>
  <c r="H282" i="41"/>
  <c r="H393" i="41"/>
  <c r="H591" i="41"/>
  <c r="H141" i="41"/>
  <c r="H531" i="41"/>
  <c r="H593" i="41"/>
  <c r="H428" i="41"/>
  <c r="H252" i="41"/>
  <c r="H193" i="41"/>
  <c r="H177" i="41"/>
  <c r="H579" i="41"/>
  <c r="H105" i="41"/>
  <c r="H510" i="41"/>
  <c r="H232" i="41"/>
  <c r="H91" i="41"/>
  <c r="H372" i="41"/>
  <c r="H166" i="41"/>
  <c r="H353" i="41"/>
  <c r="H555" i="41"/>
  <c r="H85" i="41"/>
  <c r="H73" i="41"/>
  <c r="H578" i="41"/>
  <c r="H581" i="41"/>
  <c r="H22" i="41"/>
  <c r="H613" i="41"/>
  <c r="H137" i="41"/>
  <c r="H112" i="41"/>
  <c r="H99" i="41"/>
  <c r="H599" i="41"/>
  <c r="H111" i="41"/>
  <c r="H327" i="41"/>
  <c r="H300" i="41"/>
  <c r="H154" i="41"/>
  <c r="H316" i="41"/>
  <c r="H433" i="41"/>
  <c r="H535" i="41"/>
  <c r="H179" i="41"/>
  <c r="H191" i="41"/>
  <c r="H109" i="41"/>
  <c r="H582" i="41"/>
  <c r="H253" i="41"/>
  <c r="H226" i="41"/>
  <c r="H31" i="41"/>
  <c r="H227" i="41"/>
  <c r="H496" i="41"/>
  <c r="H258" i="41"/>
  <c r="H469" i="41"/>
  <c r="H211" i="41"/>
  <c r="H255" i="41"/>
  <c r="H363" i="41"/>
  <c r="H213" i="41"/>
  <c r="H266" i="41"/>
  <c r="H144" i="41"/>
  <c r="H540" i="41"/>
  <c r="H314" i="41"/>
  <c r="H350" i="41"/>
  <c r="H50" i="41"/>
  <c r="H169" i="41"/>
  <c r="H331" i="41"/>
  <c r="H568" i="41"/>
  <c r="H420" i="41"/>
  <c r="H107" i="41"/>
  <c r="H509" i="41"/>
  <c r="H155" i="41"/>
  <c r="H89" i="41"/>
  <c r="H170" i="41"/>
  <c r="H572" i="41"/>
  <c r="H41" i="41"/>
  <c r="H328" i="41"/>
  <c r="H601" i="41"/>
  <c r="H605" i="41"/>
  <c r="H312" i="41"/>
  <c r="H277" i="41"/>
  <c r="H38" i="41"/>
  <c r="H622" i="41"/>
  <c r="H156" i="41"/>
  <c r="H515" i="41"/>
  <c r="H161" i="41"/>
  <c r="H562" i="41"/>
  <c r="H344" i="41"/>
  <c r="H329" i="41"/>
  <c r="H162" i="41"/>
  <c r="H460" i="41"/>
  <c r="H383" i="41"/>
  <c r="H438" i="41"/>
  <c r="H387" i="41"/>
  <c r="H218" i="41"/>
  <c r="H265" i="41"/>
  <c r="H453" i="41"/>
  <c r="H103" i="41"/>
  <c r="H249" i="41"/>
  <c r="H575" i="41"/>
  <c r="H104" i="41"/>
  <c r="H560" i="41"/>
  <c r="H324" i="41"/>
  <c r="H264" i="41"/>
  <c r="H364" i="41"/>
  <c r="H588" i="41"/>
  <c r="H335" i="41"/>
  <c r="H483" i="41"/>
  <c r="H59" i="41"/>
  <c r="H21" i="41"/>
  <c r="H147" i="41"/>
  <c r="H124" i="41"/>
  <c r="H184" i="41"/>
  <c r="H271" i="41"/>
  <c r="H219" i="41"/>
  <c r="H302" i="41"/>
  <c r="H37" i="41"/>
  <c r="H614" i="41"/>
  <c r="H68" i="41"/>
  <c r="H74" i="41"/>
  <c r="H549" i="41"/>
  <c r="H507" i="41"/>
  <c r="H472" i="41"/>
  <c r="H318" i="41"/>
  <c r="H334" i="41"/>
  <c r="H236" i="41"/>
  <c r="H360" i="41"/>
  <c r="H392" i="41"/>
  <c r="H416" i="41"/>
  <c r="H86" i="41"/>
  <c r="H432" i="41"/>
  <c r="H479" i="41"/>
  <c r="H234" i="41"/>
  <c r="H534" i="41"/>
  <c r="H30" i="41"/>
  <c r="H15" i="41"/>
  <c r="H212" i="41"/>
  <c r="H495" i="41"/>
  <c r="H524" i="41"/>
  <c r="H87" i="41"/>
  <c r="H497" i="41"/>
  <c r="H178" i="41"/>
  <c r="H55" i="41"/>
  <c r="H527" i="41"/>
  <c r="H210" i="41"/>
  <c r="H398" i="41"/>
  <c r="H288" i="41"/>
  <c r="H574" i="41"/>
  <c r="H122" i="41"/>
  <c r="H600" i="41"/>
  <c r="H452" i="41"/>
  <c r="H223" i="41"/>
  <c r="H186" i="41"/>
  <c r="H343" i="41"/>
  <c r="H442" i="41"/>
  <c r="H373" i="41"/>
  <c r="H229" i="41"/>
  <c r="H361" i="41"/>
  <c r="H517" i="41"/>
  <c r="H556" i="41"/>
  <c r="H612" i="41"/>
  <c r="H446" i="41"/>
  <c r="H81" i="41"/>
  <c r="H444" i="41"/>
  <c r="H304" i="41"/>
  <c r="H482" i="41"/>
  <c r="H62" i="41"/>
  <c r="H150" i="41"/>
  <c r="H294" i="41"/>
  <c r="H284" i="41"/>
  <c r="H225" i="41"/>
  <c r="H367" i="41"/>
  <c r="H200" i="41"/>
  <c r="H564" i="41"/>
  <c r="H455" i="41"/>
  <c r="H505" i="41"/>
  <c r="H203" i="41"/>
  <c r="H128" i="41"/>
  <c r="H235" i="41"/>
  <c r="H436" i="41"/>
  <c r="H250" i="41"/>
  <c r="H176" i="41"/>
  <c r="H32" i="41"/>
  <c r="H140" i="41"/>
  <c r="H53" i="41"/>
  <c r="H305" i="41"/>
  <c r="H148" i="41"/>
  <c r="H134" i="41"/>
  <c r="H44" i="41"/>
  <c r="H559" i="41"/>
  <c r="H159" i="41"/>
  <c r="H100" i="41"/>
  <c r="H174" i="41"/>
  <c r="H291" i="41"/>
  <c r="H26" i="41"/>
  <c r="H138" i="41"/>
  <c r="H97" i="41"/>
  <c r="H196" i="41"/>
  <c r="H143" i="41"/>
  <c r="H399" i="41"/>
  <c r="H474" i="41"/>
  <c r="H129" i="41"/>
  <c r="H199" i="41"/>
  <c r="H274" i="41"/>
  <c r="H362" i="41"/>
  <c r="H498" i="41"/>
  <c r="H164" i="41"/>
  <c r="H421" i="41"/>
  <c r="H341" i="41"/>
  <c r="H77" i="41"/>
  <c r="H114" i="41"/>
  <c r="H516" i="41"/>
  <c r="H194" i="41"/>
  <c r="H289" i="41"/>
  <c r="H303" i="41"/>
  <c r="H338" i="41"/>
  <c r="H20" i="41"/>
  <c r="H594" i="41"/>
  <c r="H293" i="41"/>
  <c r="H603" i="41"/>
  <c r="H521" i="41"/>
  <c r="H66" i="41"/>
  <c r="H113" i="41"/>
  <c r="H28" i="41"/>
  <c r="H487" i="41"/>
  <c r="H597" i="41"/>
  <c r="H215" i="41"/>
  <c r="H607" i="41"/>
  <c r="H489" i="41"/>
  <c r="H46" i="41"/>
  <c r="H72" i="41"/>
  <c r="H379" i="41"/>
  <c r="H592" i="41"/>
  <c r="H299" i="41"/>
  <c r="H381" i="41"/>
  <c r="H348" i="41"/>
  <c r="H51" i="41"/>
  <c r="H558" i="41"/>
  <c r="H244" i="41"/>
  <c r="H67" i="41"/>
  <c r="H285" i="41"/>
  <c r="H92" i="41"/>
  <c r="H61" i="41"/>
  <c r="H96" i="41"/>
  <c r="H80" i="41"/>
  <c r="H167" i="41"/>
  <c r="H494" i="41"/>
  <c r="H619" i="41"/>
  <c r="H306" i="41"/>
  <c r="H270" i="41"/>
  <c r="H307" i="41"/>
  <c r="H356" i="41"/>
  <c r="H43" i="41"/>
  <c r="H397" i="41"/>
  <c r="H557" i="41"/>
  <c r="H34" i="41"/>
  <c r="H195" i="41"/>
  <c r="H126" i="41"/>
  <c r="H317" i="41"/>
  <c r="H425" i="41"/>
  <c r="H544" i="41"/>
  <c r="H287" i="41"/>
  <c r="H171" i="41"/>
  <c r="H359" i="41"/>
  <c r="H577" i="41"/>
  <c r="H426" i="41"/>
  <c r="H56" i="41"/>
  <c r="H406" i="41"/>
  <c r="H610" i="41"/>
  <c r="H301" i="41"/>
  <c r="H110" i="41"/>
  <c r="H157" i="41"/>
  <c r="H78" i="41"/>
  <c r="H108" i="41"/>
  <c r="H315" i="41"/>
  <c r="H192" i="41"/>
  <c r="H532" i="41"/>
  <c r="H414" i="41"/>
  <c r="H514" i="41"/>
  <c r="H233" i="41"/>
  <c r="H263" i="41"/>
  <c r="H36" i="41"/>
  <c r="H322" i="41"/>
  <c r="H565" i="41"/>
  <c r="H548" i="41"/>
  <c r="H520" i="41"/>
  <c r="H407" i="41"/>
  <c r="H513" i="41"/>
  <c r="H65" i="41"/>
  <c r="H260" i="41"/>
  <c r="H281" i="41"/>
  <c r="H583" i="41"/>
  <c r="H413" i="41"/>
  <c r="H142" i="41"/>
  <c r="H333" i="41"/>
  <c r="H309" i="41"/>
  <c r="H435" i="41"/>
  <c r="H522" i="41"/>
  <c r="H340" i="41"/>
  <c r="H185" i="41"/>
  <c r="H589" i="41"/>
  <c r="H404" i="41"/>
  <c r="H261" i="41"/>
  <c r="H27" i="41"/>
  <c r="H145" i="41"/>
  <c r="H296" i="41"/>
  <c r="H64" i="41"/>
  <c r="H204" i="41"/>
  <c r="H503" i="41"/>
  <c r="H207" i="41"/>
  <c r="H456" i="41"/>
  <c r="H60" i="41"/>
  <c r="H440" i="41"/>
  <c r="H94" i="41"/>
  <c r="H175" i="41"/>
  <c r="H149" i="41"/>
  <c r="H321" i="41"/>
  <c r="H596" i="41"/>
  <c r="H606" i="41"/>
  <c r="H547" i="41"/>
  <c r="H402" i="41"/>
  <c r="H168" i="41"/>
  <c r="H434" i="41"/>
  <c r="H323" i="41"/>
  <c r="H541" i="41"/>
  <c r="H311" i="41"/>
  <c r="H133" i="41"/>
  <c r="H57" i="41"/>
  <c r="H585" i="41"/>
  <c r="H240" i="41"/>
  <c r="H395" i="41"/>
  <c r="H71" i="41"/>
  <c r="H530" i="41"/>
  <c r="H313" i="41"/>
  <c r="H590" i="41"/>
  <c r="H437" i="41"/>
  <c r="H529" i="41"/>
  <c r="H83" i="41"/>
  <c r="H339" i="41"/>
  <c r="H118" i="41"/>
  <c r="H243" i="41"/>
  <c r="H417" i="41"/>
  <c r="H84" i="41"/>
  <c r="H371" i="41"/>
  <c r="H49" i="41"/>
  <c r="H586" i="41"/>
  <c r="H127" i="41"/>
  <c r="H457" i="41"/>
  <c r="H54" i="41"/>
  <c r="H24" i="41"/>
  <c r="H273" i="41"/>
  <c r="H422" i="41"/>
  <c r="H478" i="41"/>
  <c r="H82" i="41"/>
  <c r="H342" i="41"/>
  <c r="H337" i="41"/>
  <c r="H448" i="41"/>
  <c r="H18" i="41"/>
  <c r="H283" i="41"/>
  <c r="H587" i="41"/>
  <c r="H528" i="41"/>
  <c r="H427" i="41"/>
  <c r="H576" i="41"/>
  <c r="H366" i="41"/>
  <c r="H209" i="41"/>
  <c r="H202" i="41"/>
  <c r="H214" i="41"/>
  <c r="H500" i="41"/>
  <c r="H374" i="41"/>
  <c r="H403" i="41"/>
  <c r="H467" i="41"/>
  <c r="H618" i="41"/>
  <c r="H347" i="41"/>
  <c r="H490" i="41"/>
  <c r="H117" i="41"/>
  <c r="H386" i="41"/>
  <c r="H153" i="41"/>
  <c r="H621" i="41"/>
  <c r="H625" i="41"/>
  <c r="H543" i="41"/>
  <c r="H269" i="41"/>
  <c r="H604" i="41"/>
  <c r="H230" i="41"/>
  <c r="H624" i="41"/>
  <c r="H458" i="41"/>
  <c r="H461" i="41"/>
  <c r="H241" i="41"/>
  <c r="H570" i="41"/>
  <c r="H504" i="41"/>
  <c r="H459" i="41"/>
  <c r="H385" i="41"/>
  <c r="H430" i="41"/>
  <c r="H465" i="41"/>
  <c r="H418" i="41"/>
  <c r="H491" i="41"/>
  <c r="H295" i="41"/>
  <c r="H376" i="41"/>
  <c r="H368" i="41"/>
  <c r="H187" i="41"/>
  <c r="H228" i="41"/>
  <c r="H573" i="41"/>
  <c r="H16" i="41"/>
  <c r="H131" i="41"/>
  <c r="H580" i="41"/>
  <c r="H523" i="41"/>
  <c r="H172" i="41"/>
  <c r="H567" i="41"/>
  <c r="H533" i="41"/>
  <c r="H136" i="41"/>
  <c r="H189" i="41"/>
  <c r="H254" i="41"/>
  <c r="H205" i="41"/>
  <c r="H349" i="41"/>
  <c r="H75" i="41"/>
  <c r="H375" i="41"/>
  <c r="H188" i="41"/>
  <c r="H231" i="41"/>
  <c r="H158" i="41"/>
  <c r="H351" i="41"/>
  <c r="H152" i="41"/>
  <c r="H470" i="41"/>
  <c r="H278" i="41"/>
  <c r="H76" i="41"/>
  <c r="H40" i="41"/>
  <c r="H33" i="41"/>
  <c r="H197" i="41"/>
  <c r="H23" i="41"/>
  <c r="H130" i="41"/>
  <c r="H441" i="41"/>
  <c r="H480" i="41"/>
  <c r="H90" i="41"/>
  <c r="H79" i="41"/>
  <c r="H320" i="41"/>
  <c r="H445" i="41"/>
  <c r="H388" i="41"/>
  <c r="H566" i="41"/>
  <c r="H486" i="41"/>
  <c r="H272" i="41"/>
  <c r="H160" i="41"/>
  <c r="H620" i="41"/>
  <c r="H242" i="41"/>
  <c r="H47" i="41"/>
  <c r="H539" i="41"/>
  <c r="H449" i="41"/>
  <c r="H259" i="41"/>
  <c r="H551" i="41"/>
  <c r="H401" i="41"/>
  <c r="H165" i="41"/>
  <c r="H611" i="41"/>
  <c r="H400" i="41"/>
  <c r="H146" i="41"/>
  <c r="H389" i="41"/>
  <c r="H454" i="41"/>
  <c r="H198" i="41"/>
  <c r="H561" i="41"/>
  <c r="H256" i="41"/>
  <c r="H121" i="41"/>
  <c r="H357" i="41"/>
  <c r="H336" i="41"/>
  <c r="H378" i="41"/>
  <c r="H163" i="41"/>
  <c r="H267" i="41"/>
  <c r="H69" i="41"/>
  <c r="H275" i="41"/>
  <c r="H216" i="41"/>
  <c r="H286" i="41"/>
  <c r="H135" i="41"/>
  <c r="H115" i="41"/>
  <c r="H617" i="41"/>
  <c r="H102" i="41"/>
  <c r="H190" i="41"/>
  <c r="H290" i="41"/>
  <c r="H63" i="41"/>
  <c r="H279" i="41"/>
  <c r="H552" i="41"/>
  <c r="H554" i="41"/>
  <c r="H394" i="41"/>
  <c r="H29" i="41"/>
  <c r="H542" i="41"/>
  <c r="H319" i="41"/>
  <c r="H98" i="41"/>
  <c r="H237" i="41"/>
  <c r="H537" i="41"/>
  <c r="H466" i="41"/>
  <c r="H382" i="41"/>
  <c r="H439" i="41"/>
  <c r="H201" i="41"/>
  <c r="H384" i="41"/>
  <c r="H48" i="41"/>
  <c r="H125" i="41"/>
  <c r="H116" i="41"/>
  <c r="H208" i="41"/>
  <c r="H391" i="41"/>
  <c r="H52" i="41"/>
  <c r="H93" i="41"/>
  <c r="H268" i="41"/>
  <c r="H396" i="41"/>
  <c r="H280" i="41"/>
  <c r="H447" i="41"/>
  <c r="H471" i="41"/>
  <c r="H609" i="41"/>
  <c r="H538" i="41"/>
  <c r="H297" i="41"/>
  <c r="H488" i="41"/>
  <c r="H151" i="41"/>
  <c r="H536" i="41"/>
  <c r="H569" i="41"/>
  <c r="H217" i="41"/>
  <c r="H330" i="41"/>
  <c r="H519" i="41"/>
  <c r="H42" i="41"/>
  <c r="H501" i="41"/>
  <c r="H602" i="41"/>
  <c r="H308" i="41"/>
  <c r="H70" i="41"/>
  <c r="H511" i="41"/>
  <c r="H238" i="41"/>
  <c r="H484" i="41"/>
  <c r="H183" i="41"/>
  <c r="H443" i="41"/>
  <c r="S18" i="25"/>
  <c r="S33" i="25" s="1"/>
  <c r="F18" i="25"/>
  <c r="F33" i="25" s="1"/>
  <c r="I31" i="14"/>
  <c r="F56" i="5"/>
  <c r="F58" i="5"/>
  <c r="F60" i="5" s="1"/>
  <c r="G44" i="11"/>
  <c r="K12" i="19"/>
  <c r="K13" i="19" s="1"/>
  <c r="M12" i="25"/>
  <c r="M13" i="25" s="1"/>
  <c r="M32" i="25" s="1"/>
  <c r="G31" i="22"/>
  <c r="G34" i="22" s="1"/>
  <c r="F10" i="25"/>
  <c r="F11" i="25"/>
  <c r="N44" i="23"/>
  <c r="L13" i="24"/>
  <c r="L12" i="24"/>
  <c r="H46" i="17"/>
  <c r="H42" i="17"/>
  <c r="H40" i="17"/>
  <c r="H41" i="17"/>
  <c r="H43" i="17"/>
  <c r="L12" i="19"/>
  <c r="L13" i="19" s="1"/>
  <c r="D82" i="1"/>
  <c r="D83" i="1" s="1"/>
  <c r="T19" i="25"/>
  <c r="N34" i="12"/>
  <c r="N35" i="12"/>
  <c r="N36" i="12" s="1"/>
  <c r="M19" i="25"/>
  <c r="M18" i="25"/>
  <c r="M33" i="25" s="1"/>
  <c r="F13" i="9"/>
  <c r="K11" i="9"/>
  <c r="L11" i="9"/>
  <c r="M11" i="9"/>
  <c r="G31" i="23"/>
  <c r="G34" i="23" s="1"/>
  <c r="I30" i="10"/>
  <c r="H40" i="16"/>
  <c r="H46" i="16"/>
  <c r="H43" i="16"/>
  <c r="H41" i="16"/>
  <c r="H42" i="16"/>
  <c r="F15" i="19"/>
  <c r="I31" i="22"/>
  <c r="I31" i="24"/>
  <c r="N34" i="9"/>
  <c r="N35" i="9"/>
  <c r="N36" i="9" s="1"/>
  <c r="I31" i="17"/>
  <c r="O44" i="22"/>
  <c r="F13" i="10"/>
  <c r="K11" i="10"/>
  <c r="M11" i="10"/>
  <c r="L11" i="10"/>
  <c r="U19" i="25"/>
  <c r="U33" i="25"/>
  <c r="U34" i="25" s="1"/>
  <c r="L18" i="25"/>
  <c r="L33" i="25" s="1"/>
  <c r="L34" i="25" s="1"/>
  <c r="M12" i="19"/>
  <c r="M13" i="19"/>
  <c r="S19" i="25"/>
  <c r="N19" i="25"/>
  <c r="N33" i="25"/>
  <c r="N34" i="17"/>
  <c r="N35" i="17"/>
  <c r="N36" i="17" s="1"/>
  <c r="H44" i="15"/>
  <c r="G11" i="25"/>
  <c r="G10" i="25"/>
  <c r="G12" i="25" s="1"/>
  <c r="G13" i="25" s="1"/>
  <c r="G32" i="25" s="1"/>
  <c r="G31" i="14"/>
  <c r="G34" i="14" s="1"/>
  <c r="H44" i="11"/>
  <c r="I30" i="12"/>
  <c r="I31" i="15"/>
  <c r="K14" i="15"/>
  <c r="K15" i="15"/>
  <c r="H42" i="10"/>
  <c r="H40" i="10"/>
  <c r="H46" i="10"/>
  <c r="H43" i="10"/>
  <c r="H41" i="10"/>
  <c r="N34" i="18"/>
  <c r="N35" i="18"/>
  <c r="N36" i="18" s="1"/>
  <c r="G31" i="16"/>
  <c r="G34" i="16" s="1"/>
  <c r="H44" i="24"/>
  <c r="G31" i="20"/>
  <c r="G34" i="20" s="1"/>
  <c r="K21" i="25" l="1"/>
  <c r="L14" i="19"/>
  <c r="L15" i="19" s="1"/>
  <c r="K14" i="19"/>
  <c r="K15" i="19" s="1"/>
  <c r="U21" i="25"/>
  <c r="F31" i="19"/>
  <c r="M14" i="24"/>
  <c r="M15" i="24"/>
  <c r="L12" i="10"/>
  <c r="L13" i="10" s="1"/>
  <c r="G37" i="22"/>
  <c r="G38" i="22" s="1"/>
  <c r="G45" i="22" s="1"/>
  <c r="G35" i="22"/>
  <c r="G36" i="22" s="1"/>
  <c r="G35" i="9"/>
  <c r="G36" i="9" s="1"/>
  <c r="G37" i="9" s="1"/>
  <c r="G38" i="9" s="1"/>
  <c r="G45" i="9" s="1"/>
  <c r="G37" i="24"/>
  <c r="G38" i="24" s="1"/>
  <c r="G45" i="24" s="1"/>
  <c r="G35" i="24"/>
  <c r="G36" i="24" s="1"/>
  <c r="R12" i="25"/>
  <c r="R13" i="25" s="1"/>
  <c r="R32" i="25" s="1"/>
  <c r="R34" i="25" s="1"/>
  <c r="F14" i="14"/>
  <c r="F15" i="14" s="1"/>
  <c r="L14" i="14"/>
  <c r="L15" i="14" s="1"/>
  <c r="K14" i="14"/>
  <c r="K15" i="14" s="1"/>
  <c r="M14" i="14"/>
  <c r="M15" i="14" s="1"/>
  <c r="G35" i="14"/>
  <c r="G36" i="14" s="1"/>
  <c r="G37" i="14" s="1"/>
  <c r="G38" i="14" s="1"/>
  <c r="G45" i="14" s="1"/>
  <c r="I37" i="20"/>
  <c r="I38" i="20" s="1"/>
  <c r="I45" i="20" s="1"/>
  <c r="H44" i="16"/>
  <c r="I35" i="20"/>
  <c r="I36" i="20" s="1"/>
  <c r="K14" i="17"/>
  <c r="K15" i="17" s="1"/>
  <c r="G35" i="13"/>
  <c r="G36" i="13" s="1"/>
  <c r="G37" i="13" s="1"/>
  <c r="G38" i="13" s="1"/>
  <c r="G45" i="13" s="1"/>
  <c r="F31" i="15"/>
  <c r="S21" i="25"/>
  <c r="G35" i="16"/>
  <c r="G36" i="16" s="1"/>
  <c r="G37" i="16" s="1"/>
  <c r="G38" i="16" s="1"/>
  <c r="G45" i="16" s="1"/>
  <c r="M12" i="10"/>
  <c r="M13" i="10" s="1"/>
  <c r="N37" i="10"/>
  <c r="N38" i="10" s="1"/>
  <c r="N45" i="10" s="1"/>
  <c r="F31" i="17"/>
  <c r="F14" i="16"/>
  <c r="F15" i="16" s="1"/>
  <c r="L14" i="16"/>
  <c r="L15" i="16" s="1"/>
  <c r="M14" i="16"/>
  <c r="M15" i="16" s="1"/>
  <c r="K14" i="16"/>
  <c r="K15" i="16" s="1"/>
  <c r="G34" i="25"/>
  <c r="K12" i="10"/>
  <c r="K13" i="10"/>
  <c r="M34" i="25"/>
  <c r="N37" i="18"/>
  <c r="N38" i="18" s="1"/>
  <c r="N45" i="18" s="1"/>
  <c r="F15" i="10"/>
  <c r="J22" i="25"/>
  <c r="J23" i="25" s="1"/>
  <c r="J28" i="25"/>
  <c r="J35" i="25" s="1"/>
  <c r="J36" i="25" s="1"/>
  <c r="F14" i="13"/>
  <c r="F15" i="13" s="1"/>
  <c r="L14" i="13"/>
  <c r="L15" i="13" s="1"/>
  <c r="K14" i="13"/>
  <c r="K15" i="13" s="1"/>
  <c r="M14" i="13"/>
  <c r="M15" i="13" s="1"/>
  <c r="H21" i="25"/>
  <c r="I31" i="12"/>
  <c r="F12" i="25"/>
  <c r="F13" i="25" s="1"/>
  <c r="F32" i="25" s="1"/>
  <c r="F34" i="25" s="1"/>
  <c r="N21" i="25"/>
  <c r="Q22" i="25"/>
  <c r="Q23" i="25" s="1"/>
  <c r="G35" i="21"/>
  <c r="G36" i="21" s="1"/>
  <c r="G37" i="21" s="1"/>
  <c r="G38" i="21" s="1"/>
  <c r="G45" i="21" s="1"/>
  <c r="G19" i="25"/>
  <c r="E17" i="43"/>
  <c r="D16" i="43"/>
  <c r="D17" i="43" s="1"/>
  <c r="P21" i="25"/>
  <c r="K14" i="24"/>
  <c r="K15" i="24"/>
  <c r="H19" i="25"/>
  <c r="F14" i="21"/>
  <c r="M14" i="17"/>
  <c r="M15" i="17" s="1"/>
  <c r="I31" i="10"/>
  <c r="N37" i="17"/>
  <c r="N38" i="17" s="1"/>
  <c r="N45" i="17" s="1"/>
  <c r="I34" i="17"/>
  <c r="I35" i="17"/>
  <c r="I36" i="17" s="1"/>
  <c r="T22" i="25"/>
  <c r="T23" i="25" s="1"/>
  <c r="N37" i="21"/>
  <c r="N38" i="21" s="1"/>
  <c r="N45" i="21" s="1"/>
  <c r="F14" i="22"/>
  <c r="F15" i="22" s="1"/>
  <c r="L14" i="22"/>
  <c r="L15" i="22" s="1"/>
  <c r="M14" i="22"/>
  <c r="M15" i="22" s="1"/>
  <c r="K14" i="22"/>
  <c r="K15" i="22" s="1"/>
  <c r="L21" i="25"/>
  <c r="F14" i="11"/>
  <c r="F15" i="11" s="1"/>
  <c r="L14" i="11"/>
  <c r="L15" i="11" s="1"/>
  <c r="K14" i="11"/>
  <c r="K15" i="11" s="1"/>
  <c r="M14" i="11"/>
  <c r="M15" i="11" s="1"/>
  <c r="G35" i="23"/>
  <c r="G36" i="23" s="1"/>
  <c r="G37" i="23"/>
  <c r="G38" i="23" s="1"/>
  <c r="G45" i="23" s="1"/>
  <c r="G35" i="10"/>
  <c r="G36" i="10" s="1"/>
  <c r="G37" i="10"/>
  <c r="G38" i="10" s="1"/>
  <c r="G45" i="10" s="1"/>
  <c r="L14" i="18"/>
  <c r="L15" i="18" s="1"/>
  <c r="K14" i="18"/>
  <c r="K15" i="18" s="1"/>
  <c r="F14" i="18"/>
  <c r="F15" i="18" s="1"/>
  <c r="M14" i="18"/>
  <c r="M15" i="18" s="1"/>
  <c r="M14" i="15"/>
  <c r="M15" i="15" s="1"/>
  <c r="N37" i="12"/>
  <c r="N38" i="12" s="1"/>
  <c r="N45" i="12" s="1"/>
  <c r="I31" i="9"/>
  <c r="H44" i="10"/>
  <c r="N37" i="9"/>
  <c r="N38" i="9" s="1"/>
  <c r="N45" i="9" s="1"/>
  <c r="M12" i="9"/>
  <c r="M13" i="9" s="1"/>
  <c r="H44" i="17"/>
  <c r="G37" i="12"/>
  <c r="G38" i="12" s="1"/>
  <c r="G45" i="12" s="1"/>
  <c r="G35" i="12"/>
  <c r="G36" i="12" s="1"/>
  <c r="O37" i="20"/>
  <c r="O38" i="20" s="1"/>
  <c r="O45" i="20" s="1"/>
  <c r="I22" i="25"/>
  <c r="I23" i="25" s="1"/>
  <c r="I28" i="25"/>
  <c r="I35" i="25" s="1"/>
  <c r="I36" i="25" s="1"/>
  <c r="F14" i="12"/>
  <c r="F15" i="12" s="1"/>
  <c r="M14" i="12"/>
  <c r="M15" i="12" s="1"/>
  <c r="K14" i="12"/>
  <c r="K15" i="12" s="1"/>
  <c r="L14" i="12"/>
  <c r="L15" i="12" s="1"/>
  <c r="F31" i="24"/>
  <c r="K31" i="15"/>
  <c r="I34" i="24"/>
  <c r="I35" i="24"/>
  <c r="I36" i="24" s="1"/>
  <c r="L12" i="9"/>
  <c r="L13" i="9"/>
  <c r="I34" i="14"/>
  <c r="I35" i="14" s="1"/>
  <c r="I36" i="14" s="1"/>
  <c r="I32" i="14"/>
  <c r="G56" i="5"/>
  <c r="G58" i="5"/>
  <c r="G60" i="5" s="1"/>
  <c r="L14" i="17"/>
  <c r="L15" i="17"/>
  <c r="M12" i="21"/>
  <c r="M13" i="21" s="1"/>
  <c r="G35" i="20"/>
  <c r="G36" i="20" s="1"/>
  <c r="G37" i="20" s="1"/>
  <c r="G38" i="20" s="1"/>
  <c r="G45" i="20" s="1"/>
  <c r="O22" i="25"/>
  <c r="O23" i="25" s="1"/>
  <c r="F14" i="20"/>
  <c r="F15" i="20" s="1"/>
  <c r="M14" i="20"/>
  <c r="M15" i="20" s="1"/>
  <c r="K14" i="20"/>
  <c r="K15" i="20" s="1"/>
  <c r="L14" i="20"/>
  <c r="L15" i="20" s="1"/>
  <c r="M14" i="19"/>
  <c r="M15" i="19" s="1"/>
  <c r="K12" i="9"/>
  <c r="K13" i="9" s="1"/>
  <c r="H56" i="5"/>
  <c r="H58" i="5" s="1"/>
  <c r="H60" i="5" s="1"/>
  <c r="F15" i="21"/>
  <c r="F15" i="9"/>
  <c r="K12" i="21"/>
  <c r="K13" i="21" s="1"/>
  <c r="L14" i="15"/>
  <c r="L15" i="15" s="1"/>
  <c r="I44" i="16"/>
  <c r="I35" i="15"/>
  <c r="I36" i="15" s="1"/>
  <c r="I34" i="15"/>
  <c r="L19" i="25"/>
  <c r="I34" i="22"/>
  <c r="I35" i="22"/>
  <c r="I36" i="22" s="1"/>
  <c r="L14" i="24"/>
  <c r="L15" i="24" s="1"/>
  <c r="H44" i="14"/>
  <c r="L12" i="21"/>
  <c r="L13" i="21"/>
  <c r="O37" i="17"/>
  <c r="O38" i="17" s="1"/>
  <c r="O45" i="17" s="1"/>
  <c r="F14" i="23"/>
  <c r="F15" i="23" s="1"/>
  <c r="M14" i="23"/>
  <c r="M15" i="23" s="1"/>
  <c r="K14" i="23"/>
  <c r="K15" i="23" s="1"/>
  <c r="L14" i="23"/>
  <c r="L15" i="23" s="1"/>
  <c r="G41" i="20" l="1"/>
  <c r="G42" i="20"/>
  <c r="G40" i="20"/>
  <c r="G46" i="20"/>
  <c r="G43" i="20"/>
  <c r="P26" i="3"/>
  <c r="R26" i="3" s="1"/>
  <c r="L31" i="19"/>
  <c r="K14" i="21"/>
  <c r="K15" i="21"/>
  <c r="M31" i="17"/>
  <c r="M14" i="10"/>
  <c r="M15" i="10" s="1"/>
  <c r="T13" i="1"/>
  <c r="T14" i="1"/>
  <c r="P42" i="1" s="1"/>
  <c r="T27" i="1"/>
  <c r="P55" i="1" s="1"/>
  <c r="T23" i="1"/>
  <c r="P51" i="1" s="1"/>
  <c r="T19" i="1"/>
  <c r="P47" i="1" s="1"/>
  <c r="T17" i="1"/>
  <c r="P45" i="1" s="1"/>
  <c r="T25" i="1"/>
  <c r="P53" i="1" s="1"/>
  <c r="O39" i="1"/>
  <c r="T16" i="1"/>
  <c r="P44" i="1" s="1"/>
  <c r="T20" i="1"/>
  <c r="P48" i="1" s="1"/>
  <c r="T18" i="1"/>
  <c r="P46" i="1" s="1"/>
  <c r="T28" i="1"/>
  <c r="P56" i="1" s="1"/>
  <c r="T15" i="1"/>
  <c r="P43" i="1" s="1"/>
  <c r="T26" i="1"/>
  <c r="P54" i="1" s="1"/>
  <c r="T21" i="1"/>
  <c r="P49" i="1" s="1"/>
  <c r="T24" i="1"/>
  <c r="P52" i="1" s="1"/>
  <c r="T22" i="1"/>
  <c r="P50" i="1" s="1"/>
  <c r="M14" i="9"/>
  <c r="M15" i="9"/>
  <c r="K14" i="9"/>
  <c r="K15" i="9" s="1"/>
  <c r="M31" i="19"/>
  <c r="G40" i="13"/>
  <c r="G42" i="13"/>
  <c r="G46" i="13"/>
  <c r="G41" i="13"/>
  <c r="G43" i="13"/>
  <c r="P15" i="3"/>
  <c r="R15" i="3" s="1"/>
  <c r="L15" i="10"/>
  <c r="L14" i="10"/>
  <c r="K31" i="17"/>
  <c r="M47" i="1"/>
  <c r="G43" i="16"/>
  <c r="G40" i="16"/>
  <c r="P20" i="3"/>
  <c r="R20" i="3" s="1"/>
  <c r="G41" i="16"/>
  <c r="G42" i="16"/>
  <c r="G46" i="16"/>
  <c r="G41" i="9"/>
  <c r="G46" i="9"/>
  <c r="G42" i="9"/>
  <c r="G40" i="9"/>
  <c r="G43" i="9"/>
  <c r="P13" i="3"/>
  <c r="R13" i="3" s="1"/>
  <c r="L31" i="24"/>
  <c r="G40" i="21"/>
  <c r="G46" i="21"/>
  <c r="G41" i="21"/>
  <c r="G42" i="21"/>
  <c r="G43" i="21"/>
  <c r="P27" i="3"/>
  <c r="R27" i="3" s="1"/>
  <c r="G42" i="14"/>
  <c r="G40" i="14"/>
  <c r="G43" i="14"/>
  <c r="G46" i="14"/>
  <c r="G41" i="14"/>
  <c r="P16" i="3"/>
  <c r="R16" i="3" s="1"/>
  <c r="K31" i="19"/>
  <c r="M53" i="1"/>
  <c r="O53" i="1" s="1"/>
  <c r="Q53" i="1" s="1"/>
  <c r="M14" i="21"/>
  <c r="M15" i="21" s="1"/>
  <c r="L31" i="23"/>
  <c r="L31" i="15"/>
  <c r="O28" i="25"/>
  <c r="O35" i="25" s="1"/>
  <c r="O36" i="25" s="1"/>
  <c r="M31" i="11"/>
  <c r="N40" i="17"/>
  <c r="N46" i="17"/>
  <c r="J47" i="1" s="1"/>
  <c r="AE19" i="3" s="1"/>
  <c r="N42" i="17"/>
  <c r="N41" i="17"/>
  <c r="J25" i="25"/>
  <c r="M16" i="3"/>
  <c r="O16" i="3" s="1"/>
  <c r="J26" i="25"/>
  <c r="J27" i="25"/>
  <c r="J24" i="25"/>
  <c r="K31" i="23"/>
  <c r="M56" i="1"/>
  <c r="O56" i="1" s="1"/>
  <c r="Q56" i="1" s="1"/>
  <c r="M46" i="1"/>
  <c r="O46" i="1" s="1"/>
  <c r="Q46" i="1" s="1"/>
  <c r="K31" i="11"/>
  <c r="M31" i="14"/>
  <c r="F34" i="19"/>
  <c r="F35" i="19" s="1"/>
  <c r="I37" i="24"/>
  <c r="I38" i="24" s="1"/>
  <c r="I45" i="24" s="1"/>
  <c r="K34" i="15"/>
  <c r="M31" i="23"/>
  <c r="M51" i="1"/>
  <c r="O51" i="1" s="1"/>
  <c r="Q51" i="1" s="1"/>
  <c r="N41" i="9"/>
  <c r="N40" i="9"/>
  <c r="N46" i="9"/>
  <c r="J41" i="1" s="1"/>
  <c r="N42" i="9"/>
  <c r="L31" i="11"/>
  <c r="I34" i="10"/>
  <c r="Q28" i="25"/>
  <c r="Q35" i="25" s="1"/>
  <c r="Q36" i="25" s="1"/>
  <c r="F31" i="10"/>
  <c r="M44" i="1"/>
  <c r="O44" i="1" s="1"/>
  <c r="Q44" i="1" s="1"/>
  <c r="K31" i="14"/>
  <c r="I32" i="10"/>
  <c r="M31" i="24"/>
  <c r="F31" i="23"/>
  <c r="F31" i="9"/>
  <c r="F31" i="11"/>
  <c r="N42" i="18"/>
  <c r="N40" i="18"/>
  <c r="N46" i="18"/>
  <c r="J52" i="1" s="1"/>
  <c r="AE24" i="3" s="1"/>
  <c r="N41" i="18"/>
  <c r="L31" i="14"/>
  <c r="K14" i="10"/>
  <c r="K15" i="10"/>
  <c r="L31" i="13"/>
  <c r="M21" i="25"/>
  <c r="U22" i="25"/>
  <c r="U23" i="25" s="1"/>
  <c r="U28" i="25"/>
  <c r="U35" i="25" s="1"/>
  <c r="U36" i="25" s="1"/>
  <c r="L31" i="12"/>
  <c r="N40" i="12"/>
  <c r="N42" i="12"/>
  <c r="N41" i="12"/>
  <c r="N46" i="12"/>
  <c r="J45" i="1" s="1"/>
  <c r="AE17" i="3" s="1"/>
  <c r="F21" i="25"/>
  <c r="F31" i="20"/>
  <c r="F34" i="24"/>
  <c r="E36" i="24" s="1"/>
  <c r="F36" i="24" s="1"/>
  <c r="F35" i="24"/>
  <c r="S22" i="25"/>
  <c r="S23" i="25" s="1"/>
  <c r="K31" i="12"/>
  <c r="M45" i="1"/>
  <c r="O45" i="1" s="1"/>
  <c r="Q45" i="1" s="1"/>
  <c r="M31" i="15"/>
  <c r="K31" i="22"/>
  <c r="M49" i="1"/>
  <c r="O49" i="1" s="1"/>
  <c r="K31" i="24"/>
  <c r="M50" i="1"/>
  <c r="O50" i="1" s="1"/>
  <c r="Q50" i="1" s="1"/>
  <c r="G21" i="25"/>
  <c r="F34" i="15"/>
  <c r="E36" i="15" s="1"/>
  <c r="F36" i="15" s="1"/>
  <c r="F35" i="15"/>
  <c r="G43" i="24"/>
  <c r="P22" i="3"/>
  <c r="R22" i="3" s="1"/>
  <c r="G40" i="24"/>
  <c r="G42" i="24"/>
  <c r="G46" i="24"/>
  <c r="G41" i="24"/>
  <c r="F31" i="13"/>
  <c r="F31" i="21"/>
  <c r="F31" i="14"/>
  <c r="L31" i="17"/>
  <c r="I35" i="9"/>
  <c r="I36" i="9" s="1"/>
  <c r="I34" i="9"/>
  <c r="I32" i="9"/>
  <c r="L22" i="25"/>
  <c r="L23" i="25" s="1"/>
  <c r="L28" i="25" s="1"/>
  <c r="L35" i="25" s="1"/>
  <c r="L36" i="25" s="1"/>
  <c r="R21" i="25"/>
  <c r="M31" i="12"/>
  <c r="M31" i="18"/>
  <c r="M31" i="22"/>
  <c r="I34" i="12"/>
  <c r="I35" i="12" s="1"/>
  <c r="I36" i="12" s="1"/>
  <c r="I32" i="12"/>
  <c r="K31" i="16"/>
  <c r="M48" i="1"/>
  <c r="O48" i="1" s="1"/>
  <c r="Q48" i="1" s="1"/>
  <c r="I46" i="20"/>
  <c r="G26" i="3" s="1"/>
  <c r="I26" i="3" s="1"/>
  <c r="I41" i="20"/>
  <c r="I42" i="20"/>
  <c r="I40" i="20"/>
  <c r="I43" i="20"/>
  <c r="O41" i="17"/>
  <c r="O40" i="17"/>
  <c r="O46" i="17"/>
  <c r="L47" i="1" s="1"/>
  <c r="O42" i="17"/>
  <c r="N22" i="25"/>
  <c r="N23" i="25" s="1"/>
  <c r="N28" i="25" s="1"/>
  <c r="N35" i="25" s="1"/>
  <c r="N36" i="25" s="1"/>
  <c r="L14" i="21"/>
  <c r="L15" i="21"/>
  <c r="F31" i="12"/>
  <c r="F31" i="18"/>
  <c r="L31" i="22"/>
  <c r="M31" i="16"/>
  <c r="N46" i="10"/>
  <c r="J42" i="1" s="1"/>
  <c r="AE14" i="3" s="1"/>
  <c r="N40" i="10"/>
  <c r="N41" i="10"/>
  <c r="N42" i="10"/>
  <c r="M52" i="1"/>
  <c r="O52" i="1" s="1"/>
  <c r="Q52" i="1" s="1"/>
  <c r="K31" i="18"/>
  <c r="F31" i="22"/>
  <c r="L31" i="16"/>
  <c r="G40" i="12"/>
  <c r="G46" i="12"/>
  <c r="P17" i="3"/>
  <c r="R17" i="3" s="1"/>
  <c r="G42" i="12"/>
  <c r="G43" i="12"/>
  <c r="G41" i="12"/>
  <c r="M18" i="3"/>
  <c r="O18" i="3" s="1"/>
  <c r="I27" i="25"/>
  <c r="I26" i="25"/>
  <c r="I25" i="25"/>
  <c r="I24" i="25"/>
  <c r="L31" i="18"/>
  <c r="N42" i="21"/>
  <c r="N41" i="21"/>
  <c r="N46" i="21"/>
  <c r="J55" i="1" s="1"/>
  <c r="AE27" i="3" s="1"/>
  <c r="N40" i="21"/>
  <c r="N44" i="21" s="1"/>
  <c r="P22" i="25"/>
  <c r="P23" i="25" s="1"/>
  <c r="P28" i="25"/>
  <c r="P35" i="25" s="1"/>
  <c r="P36" i="25" s="1"/>
  <c r="H22" i="25"/>
  <c r="H23" i="25" s="1"/>
  <c r="H28" i="25" s="1"/>
  <c r="H35" i="25" s="1"/>
  <c r="H36" i="25" s="1"/>
  <c r="F31" i="16"/>
  <c r="K31" i="20"/>
  <c r="M54" i="1"/>
  <c r="O54" i="1" s="1"/>
  <c r="Q54" i="1" s="1"/>
  <c r="L14" i="9"/>
  <c r="L15" i="9" s="1"/>
  <c r="O42" i="20"/>
  <c r="O46" i="20"/>
  <c r="L54" i="1" s="1"/>
  <c r="AG26" i="3" s="1"/>
  <c r="O40" i="20"/>
  <c r="O41" i="20"/>
  <c r="G46" i="10"/>
  <c r="G41" i="10"/>
  <c r="P14" i="3"/>
  <c r="R14" i="3" s="1"/>
  <c r="G43" i="10"/>
  <c r="G42" i="10"/>
  <c r="G40" i="10"/>
  <c r="M31" i="13"/>
  <c r="K22" i="25"/>
  <c r="K23" i="25" s="1"/>
  <c r="K28" i="25"/>
  <c r="K35" i="25" s="1"/>
  <c r="K36" i="25" s="1"/>
  <c r="G40" i="23"/>
  <c r="G42" i="23"/>
  <c r="G41" i="23"/>
  <c r="P28" i="3"/>
  <c r="R28" i="3" s="1"/>
  <c r="G46" i="23"/>
  <c r="G43" i="23"/>
  <c r="I37" i="17"/>
  <c r="I38" i="17" s="1"/>
  <c r="I45" i="17" s="1"/>
  <c r="I37" i="14"/>
  <c r="I38" i="14" s="1"/>
  <c r="I45" i="14" s="1"/>
  <c r="I37" i="22"/>
  <c r="I38" i="22" s="1"/>
  <c r="I45" i="22" s="1"/>
  <c r="L31" i="20"/>
  <c r="G42" i="22"/>
  <c r="G46" i="22"/>
  <c r="G43" i="22"/>
  <c r="G41" i="22"/>
  <c r="G40" i="22"/>
  <c r="G44" i="22" s="1"/>
  <c r="P21" i="3"/>
  <c r="R21" i="3" s="1"/>
  <c r="I37" i="15"/>
  <c r="I38" i="15" s="1"/>
  <c r="I45" i="15" s="1"/>
  <c r="M31" i="20"/>
  <c r="T28" i="25"/>
  <c r="T35" i="25" s="1"/>
  <c r="T36" i="25" s="1"/>
  <c r="K31" i="13"/>
  <c r="M43" i="1"/>
  <c r="O43" i="1" s="1"/>
  <c r="Q43" i="1" s="1"/>
  <c r="F34" i="17"/>
  <c r="L31" i="9" l="1"/>
  <c r="M41" i="1"/>
  <c r="K31" i="9"/>
  <c r="H27" i="25"/>
  <c r="H24" i="25"/>
  <c r="M17" i="3"/>
  <c r="O17" i="3" s="1"/>
  <c r="H25" i="25"/>
  <c r="H26" i="25"/>
  <c r="N25" i="25"/>
  <c r="M20" i="3"/>
  <c r="O20" i="3" s="1"/>
  <c r="N24" i="25"/>
  <c r="N27" i="25"/>
  <c r="N26" i="25"/>
  <c r="F23" i="25"/>
  <c r="M31" i="10"/>
  <c r="L26" i="25"/>
  <c r="M23" i="3"/>
  <c r="O23" i="3" s="1"/>
  <c r="L27" i="25"/>
  <c r="L24" i="25"/>
  <c r="L25" i="25"/>
  <c r="M31" i="21"/>
  <c r="L31" i="10"/>
  <c r="I42" i="14"/>
  <c r="I43" i="14"/>
  <c r="I41" i="14"/>
  <c r="I40" i="14"/>
  <c r="I46" i="14"/>
  <c r="G16" i="3" s="1"/>
  <c r="I16" i="3" s="1"/>
  <c r="L34" i="22"/>
  <c r="L35" i="22" s="1"/>
  <c r="L36" i="22" s="1"/>
  <c r="I46" i="17"/>
  <c r="G19" i="3" s="1"/>
  <c r="I19" i="3" s="1"/>
  <c r="I41" i="17"/>
  <c r="I43" i="17"/>
  <c r="I42" i="17"/>
  <c r="I40" i="17"/>
  <c r="I44" i="17" s="1"/>
  <c r="M34" i="15"/>
  <c r="M35" i="15" s="1"/>
  <c r="M36" i="15" s="1"/>
  <c r="F34" i="10"/>
  <c r="E36" i="10"/>
  <c r="F36" i="10" s="1"/>
  <c r="F35" i="10"/>
  <c r="E36" i="19"/>
  <c r="F36" i="19" s="1"/>
  <c r="F37" i="19" s="1"/>
  <c r="F38" i="19" s="1"/>
  <c r="F45" i="19" s="1"/>
  <c r="G44" i="9"/>
  <c r="K34" i="13"/>
  <c r="K35" i="13"/>
  <c r="K36" i="13" s="1"/>
  <c r="F34" i="18"/>
  <c r="F35" i="18" s="1"/>
  <c r="N44" i="12"/>
  <c r="N44" i="18"/>
  <c r="Q26" i="25"/>
  <c r="M26" i="3"/>
  <c r="O26" i="3" s="1"/>
  <c r="Q27" i="25"/>
  <c r="Q25" i="25"/>
  <c r="Q24" i="25"/>
  <c r="M34" i="17"/>
  <c r="M35" i="17"/>
  <c r="M36" i="17" s="1"/>
  <c r="R28" i="25"/>
  <c r="R35" i="25" s="1"/>
  <c r="R36" i="25" s="1"/>
  <c r="R22" i="25"/>
  <c r="R23" i="25" s="1"/>
  <c r="I43" i="24"/>
  <c r="I46" i="24"/>
  <c r="G22" i="3" s="1"/>
  <c r="I22" i="3" s="1"/>
  <c r="I40" i="24"/>
  <c r="I41" i="24"/>
  <c r="I42" i="24"/>
  <c r="G44" i="12"/>
  <c r="G44" i="24"/>
  <c r="T24" i="25"/>
  <c r="T25" i="25"/>
  <c r="T26" i="25"/>
  <c r="T27" i="25"/>
  <c r="M22" i="3"/>
  <c r="O22" i="3" s="1"/>
  <c r="O44" i="20"/>
  <c r="L34" i="16"/>
  <c r="K34" i="12"/>
  <c r="K35" i="12"/>
  <c r="K36" i="12" s="1"/>
  <c r="L35" i="12"/>
  <c r="L36" i="12" s="1"/>
  <c r="L34" i="12"/>
  <c r="K31" i="21"/>
  <c r="M55" i="1"/>
  <c r="O55" i="1" s="1"/>
  <c r="Q55" i="1" s="1"/>
  <c r="F34" i="12"/>
  <c r="E36" i="12"/>
  <c r="F36" i="12" s="1"/>
  <c r="F35" i="12"/>
  <c r="K34" i="16"/>
  <c r="K35" i="16"/>
  <c r="K36" i="16" s="1"/>
  <c r="I37" i="9"/>
  <c r="I38" i="9" s="1"/>
  <c r="I45" i="9" s="1"/>
  <c r="F34" i="11"/>
  <c r="I35" i="10"/>
  <c r="I36" i="10" s="1"/>
  <c r="I37" i="10" s="1"/>
  <c r="I38" i="10" s="1"/>
  <c r="I45" i="10" s="1"/>
  <c r="N44" i="17"/>
  <c r="L35" i="11"/>
  <c r="L36" i="11" s="1"/>
  <c r="L34" i="11"/>
  <c r="M34" i="14"/>
  <c r="M35" i="14" s="1"/>
  <c r="M36" i="14" s="1"/>
  <c r="M35" i="11"/>
  <c r="M36" i="11" s="1"/>
  <c r="M34" i="11"/>
  <c r="G44" i="14"/>
  <c r="G44" i="13"/>
  <c r="M34" i="20"/>
  <c r="M35" i="20"/>
  <c r="M36" i="20" s="1"/>
  <c r="L31" i="21"/>
  <c r="U27" i="25"/>
  <c r="U24" i="25"/>
  <c r="U26" i="25"/>
  <c r="U25" i="25"/>
  <c r="M28" i="3"/>
  <c r="O28" i="3" s="1"/>
  <c r="I46" i="15"/>
  <c r="G23" i="3" s="1"/>
  <c r="I23" i="3" s="1"/>
  <c r="I40" i="15"/>
  <c r="I44" i="15" s="1"/>
  <c r="I41" i="15"/>
  <c r="I43" i="15"/>
  <c r="I42" i="15"/>
  <c r="L34" i="18"/>
  <c r="L35" i="18" s="1"/>
  <c r="L36" i="18" s="1"/>
  <c r="F37" i="15"/>
  <c r="F38" i="15" s="1"/>
  <c r="F45" i="15" s="1"/>
  <c r="S28" i="25"/>
  <c r="S35" i="25" s="1"/>
  <c r="S36" i="25" s="1"/>
  <c r="K34" i="19"/>
  <c r="K35" i="19"/>
  <c r="K36" i="19" s="1"/>
  <c r="F34" i="22"/>
  <c r="E36" i="22"/>
  <c r="F36" i="22" s="1"/>
  <c r="F35" i="22"/>
  <c r="G44" i="23"/>
  <c r="K34" i="18"/>
  <c r="K35" i="18" s="1"/>
  <c r="K36" i="18" s="1"/>
  <c r="I37" i="12"/>
  <c r="I38" i="12" s="1"/>
  <c r="I45" i="12" s="1"/>
  <c r="L34" i="17"/>
  <c r="L35" i="17"/>
  <c r="L36" i="17" s="1"/>
  <c r="F34" i="9"/>
  <c r="E36" i="9" s="1"/>
  <c r="F36" i="9" s="1"/>
  <c r="K34" i="11"/>
  <c r="K35" i="11"/>
  <c r="K36" i="11" s="1"/>
  <c r="O26" i="25"/>
  <c r="O25" i="25"/>
  <c r="O27" i="25"/>
  <c r="M24" i="3"/>
  <c r="O24" i="3" s="1"/>
  <c r="O24" i="25"/>
  <c r="L34" i="19"/>
  <c r="L35" i="19"/>
  <c r="L36" i="19" s="1"/>
  <c r="P25" i="25"/>
  <c r="P24" i="25"/>
  <c r="M25" i="3"/>
  <c r="O25" i="3" s="1"/>
  <c r="P27" i="25"/>
  <c r="P26" i="25"/>
  <c r="K34" i="22"/>
  <c r="K35" i="22" s="1"/>
  <c r="K36" i="22" s="1"/>
  <c r="M34" i="19"/>
  <c r="M35" i="19"/>
  <c r="M36" i="19" s="1"/>
  <c r="M28" i="25"/>
  <c r="M35" i="25" s="1"/>
  <c r="M36" i="25" s="1"/>
  <c r="M22" i="25"/>
  <c r="M23" i="25" s="1"/>
  <c r="F34" i="23"/>
  <c r="E36" i="23" s="1"/>
  <c r="F36" i="23" s="1"/>
  <c r="F35" i="23"/>
  <c r="N44" i="9"/>
  <c r="L34" i="15"/>
  <c r="L35" i="15"/>
  <c r="L36" i="15" s="1"/>
  <c r="G44" i="16"/>
  <c r="R29" i="3"/>
  <c r="M29" i="1" s="1"/>
  <c r="K27" i="25"/>
  <c r="M15" i="3"/>
  <c r="O15" i="3" s="1"/>
  <c r="K24" i="25"/>
  <c r="K25" i="25"/>
  <c r="K26" i="25"/>
  <c r="M34" i="13"/>
  <c r="K34" i="20"/>
  <c r="K35" i="20" s="1"/>
  <c r="K36" i="20" s="1"/>
  <c r="AG19" i="3"/>
  <c r="AG29" i="3" s="1"/>
  <c r="L57" i="1"/>
  <c r="F34" i="14"/>
  <c r="F35" i="14" s="1"/>
  <c r="E36" i="14"/>
  <c r="F36" i="14" s="1"/>
  <c r="G22" i="25"/>
  <c r="G23" i="25" s="1"/>
  <c r="G28" i="25" s="1"/>
  <c r="G35" i="25" s="1"/>
  <c r="G36" i="25" s="1"/>
  <c r="F37" i="24"/>
  <c r="F38" i="24" s="1"/>
  <c r="F45" i="24" s="1"/>
  <c r="N44" i="10"/>
  <c r="O44" i="17"/>
  <c r="M34" i="18"/>
  <c r="M35" i="18" s="1"/>
  <c r="M36" i="18" s="1"/>
  <c r="F34" i="21"/>
  <c r="F34" i="20"/>
  <c r="F35" i="20"/>
  <c r="E36" i="20"/>
  <c r="F36" i="20" s="1"/>
  <c r="L34" i="13"/>
  <c r="L35" i="13" s="1"/>
  <c r="L36" i="13" s="1"/>
  <c r="M34" i="24"/>
  <c r="M35" i="24" s="1"/>
  <c r="M36" i="24" s="1"/>
  <c r="K34" i="23"/>
  <c r="K35" i="23" s="1"/>
  <c r="K36" i="23" s="1"/>
  <c r="L34" i="23"/>
  <c r="L35" i="23" s="1"/>
  <c r="L36" i="23" s="1"/>
  <c r="M34" i="22"/>
  <c r="M35" i="22"/>
  <c r="M36" i="22" s="1"/>
  <c r="AE13" i="3"/>
  <c r="AE29" i="3" s="1"/>
  <c r="J57" i="1"/>
  <c r="G44" i="10"/>
  <c r="F34" i="16"/>
  <c r="E36" i="16" s="1"/>
  <c r="F36" i="16" s="1"/>
  <c r="K34" i="24"/>
  <c r="K35" i="24" s="1"/>
  <c r="K36" i="24" s="1"/>
  <c r="K31" i="10"/>
  <c r="M42" i="1"/>
  <c r="O42" i="1" s="1"/>
  <c r="Q42" i="1" s="1"/>
  <c r="G44" i="21"/>
  <c r="O47" i="1"/>
  <c r="Q47" i="1" s="1"/>
  <c r="M31" i="9"/>
  <c r="G44" i="20"/>
  <c r="I40" i="22"/>
  <c r="I44" i="22" s="1"/>
  <c r="I46" i="22"/>
  <c r="G21" i="3" s="1"/>
  <c r="I21" i="3" s="1"/>
  <c r="I42" i="22"/>
  <c r="I43" i="22"/>
  <c r="I41" i="22"/>
  <c r="F34" i="13"/>
  <c r="E36" i="13" s="1"/>
  <c r="F36" i="13" s="1"/>
  <c r="Q49" i="1"/>
  <c r="M34" i="23"/>
  <c r="M35" i="23" s="1"/>
  <c r="M36" i="23" s="1"/>
  <c r="K34" i="17"/>
  <c r="K35" i="17"/>
  <c r="K36" i="17" s="1"/>
  <c r="F35" i="17"/>
  <c r="M34" i="12"/>
  <c r="E36" i="17"/>
  <c r="F36" i="17" s="1"/>
  <c r="F37" i="17" s="1"/>
  <c r="F38" i="17" s="1"/>
  <c r="F45" i="17" s="1"/>
  <c r="L34" i="20"/>
  <c r="M34" i="16"/>
  <c r="I44" i="20"/>
  <c r="F22" i="25"/>
  <c r="F28" i="25" s="1"/>
  <c r="F35" i="25" s="1"/>
  <c r="F36" i="25" s="1"/>
  <c r="L34" i="14"/>
  <c r="L35" i="14" s="1"/>
  <c r="L36" i="14" s="1"/>
  <c r="K35" i="14"/>
  <c r="K36" i="14" s="1"/>
  <c r="K34" i="14"/>
  <c r="K35" i="15"/>
  <c r="K36" i="15" s="1"/>
  <c r="K37" i="15" s="1"/>
  <c r="K38" i="15" s="1"/>
  <c r="K45" i="15" s="1"/>
  <c r="L34" i="24"/>
  <c r="L35" i="24"/>
  <c r="L36" i="24" s="1"/>
  <c r="P41" i="1"/>
  <c r="P57" i="1" s="1"/>
  <c r="T29" i="1"/>
  <c r="F43" i="17" l="1"/>
  <c r="F41" i="17"/>
  <c r="F46" i="17"/>
  <c r="F42" i="17"/>
  <c r="F40" i="17"/>
  <c r="F44" i="17" s="1"/>
  <c r="K40" i="15"/>
  <c r="K42" i="15"/>
  <c r="K41" i="15"/>
  <c r="K46" i="15"/>
  <c r="D51" i="1" s="1"/>
  <c r="Y23" i="3" s="1"/>
  <c r="F40" i="19"/>
  <c r="F43" i="19"/>
  <c r="F41" i="19"/>
  <c r="F42" i="19"/>
  <c r="F46" i="19"/>
  <c r="G25" i="25"/>
  <c r="M14" i="3"/>
  <c r="O14" i="3" s="1"/>
  <c r="G26" i="25"/>
  <c r="G27" i="25"/>
  <c r="G24" i="25"/>
  <c r="F26" i="25"/>
  <c r="F25" i="25"/>
  <c r="F27" i="25"/>
  <c r="F24" i="25"/>
  <c r="M13" i="3"/>
  <c r="I41" i="10"/>
  <c r="I42" i="10"/>
  <c r="I43" i="10"/>
  <c r="I40" i="10"/>
  <c r="I46" i="10"/>
  <c r="G14" i="3" s="1"/>
  <c r="I14" i="3" s="1"/>
  <c r="F37" i="21"/>
  <c r="F38" i="21" s="1"/>
  <c r="F45" i="21" s="1"/>
  <c r="L37" i="16"/>
  <c r="L38" i="16" s="1"/>
  <c r="L45" i="16" s="1"/>
  <c r="F37" i="10"/>
  <c r="F38" i="10" s="1"/>
  <c r="F45" i="10" s="1"/>
  <c r="L35" i="16"/>
  <c r="L36" i="16" s="1"/>
  <c r="L34" i="21"/>
  <c r="L35" i="21" s="1"/>
  <c r="L36" i="21" s="1"/>
  <c r="K37" i="16"/>
  <c r="K38" i="16" s="1"/>
  <c r="K45" i="16" s="1"/>
  <c r="L37" i="24"/>
  <c r="L38" i="24" s="1"/>
  <c r="L45" i="24" s="1"/>
  <c r="M34" i="9"/>
  <c r="M35" i="9"/>
  <c r="M36" i="9" s="1"/>
  <c r="F35" i="9"/>
  <c r="L34" i="10"/>
  <c r="L35" i="10"/>
  <c r="L36" i="10" s="1"/>
  <c r="L37" i="20"/>
  <c r="L38" i="20" s="1"/>
  <c r="L45" i="20" s="1"/>
  <c r="F37" i="11"/>
  <c r="F38" i="11" s="1"/>
  <c r="F45" i="11" s="1"/>
  <c r="I46" i="9"/>
  <c r="G13" i="3" s="1"/>
  <c r="I13" i="3" s="1"/>
  <c r="I41" i="9"/>
  <c r="I42" i="9"/>
  <c r="I40" i="9"/>
  <c r="M37" i="17"/>
  <c r="M38" i="17" s="1"/>
  <c r="M45" i="17" s="1"/>
  <c r="L37" i="23"/>
  <c r="L38" i="23" s="1"/>
  <c r="L45" i="23" s="1"/>
  <c r="L37" i="18"/>
  <c r="L38" i="18" s="1"/>
  <c r="L45" i="18" s="1"/>
  <c r="M37" i="15"/>
  <c r="M38" i="15" s="1"/>
  <c r="M45" i="15" s="1"/>
  <c r="R27" i="25"/>
  <c r="R25" i="25"/>
  <c r="R24" i="25"/>
  <c r="R26" i="25"/>
  <c r="M27" i="3"/>
  <c r="O27" i="3" s="1"/>
  <c r="M35" i="13"/>
  <c r="M36" i="13" s="1"/>
  <c r="M37" i="13" s="1"/>
  <c r="M38" i="13" s="1"/>
  <c r="M45" i="13" s="1"/>
  <c r="K37" i="14"/>
  <c r="K38" i="14" s="1"/>
  <c r="K45" i="14" s="1"/>
  <c r="K37" i="17"/>
  <c r="K38" i="17" s="1"/>
  <c r="K45" i="17" s="1"/>
  <c r="F46" i="24"/>
  <c r="F43" i="24"/>
  <c r="F41" i="24"/>
  <c r="F42" i="24"/>
  <c r="F40" i="24"/>
  <c r="M37" i="11"/>
  <c r="M38" i="11" s="1"/>
  <c r="M45" i="11" s="1"/>
  <c r="F37" i="12"/>
  <c r="F38" i="12" s="1"/>
  <c r="F45" i="12" s="1"/>
  <c r="K37" i="23"/>
  <c r="K38" i="23" s="1"/>
  <c r="K45" i="23" s="1"/>
  <c r="M34" i="21"/>
  <c r="M35" i="21" s="1"/>
  <c r="M36" i="21" s="1"/>
  <c r="M37" i="23"/>
  <c r="M38" i="23" s="1"/>
  <c r="M45" i="23" s="1"/>
  <c r="L37" i="17"/>
  <c r="L38" i="17" s="1"/>
  <c r="L45" i="17" s="1"/>
  <c r="M37" i="12"/>
  <c r="M38" i="12" s="1"/>
  <c r="M45" i="12" s="1"/>
  <c r="K37" i="22"/>
  <c r="K38" i="22" s="1"/>
  <c r="K45" i="22" s="1"/>
  <c r="L37" i="14"/>
  <c r="L38" i="14" s="1"/>
  <c r="L45" i="14" s="1"/>
  <c r="M37" i="24"/>
  <c r="M38" i="24" s="1"/>
  <c r="M45" i="24" s="1"/>
  <c r="I43" i="12"/>
  <c r="I41" i="12"/>
  <c r="I42" i="12"/>
  <c r="I40" i="12"/>
  <c r="I46" i="12"/>
  <c r="G17" i="3" s="1"/>
  <c r="I17" i="3" s="1"/>
  <c r="M37" i="14"/>
  <c r="M38" i="14" s="1"/>
  <c r="M45" i="14" s="1"/>
  <c r="K34" i="21"/>
  <c r="K35" i="21"/>
  <c r="K36" i="21" s="1"/>
  <c r="F35" i="21"/>
  <c r="M35" i="12"/>
  <c r="M36" i="12" s="1"/>
  <c r="K37" i="11"/>
  <c r="K38" i="11" s="1"/>
  <c r="K45" i="11" s="1"/>
  <c r="F37" i="9"/>
  <c r="F38" i="9" s="1"/>
  <c r="F45" i="9" s="1"/>
  <c r="K34" i="10"/>
  <c r="K35" i="10" s="1"/>
  <c r="K36" i="10" s="1"/>
  <c r="F35" i="13"/>
  <c r="L37" i="15"/>
  <c r="L38" i="15" s="1"/>
  <c r="L45" i="15" s="1"/>
  <c r="L37" i="11"/>
  <c r="L38" i="11" s="1"/>
  <c r="L45" i="11" s="1"/>
  <c r="E38" i="3"/>
  <c r="F38" i="3" s="1"/>
  <c r="AE30" i="3"/>
  <c r="M37" i="19"/>
  <c r="M38" i="19" s="1"/>
  <c r="M45" i="19" s="1"/>
  <c r="M37" i="22"/>
  <c r="M38" i="22" s="1"/>
  <c r="M45" i="22" s="1"/>
  <c r="F42" i="15"/>
  <c r="F46" i="15"/>
  <c r="F43" i="15"/>
  <c r="F40" i="15"/>
  <c r="F41" i="15"/>
  <c r="K37" i="24"/>
  <c r="K38" i="24" s="1"/>
  <c r="K45" i="24" s="1"/>
  <c r="L37" i="13"/>
  <c r="L38" i="13" s="1"/>
  <c r="L45" i="13" s="1"/>
  <c r="F37" i="14"/>
  <c r="F38" i="14" s="1"/>
  <c r="F45" i="14" s="1"/>
  <c r="K37" i="18"/>
  <c r="K38" i="18" s="1"/>
  <c r="K45" i="18" s="1"/>
  <c r="F37" i="18"/>
  <c r="F38" i="18" s="1"/>
  <c r="F45" i="18" s="1"/>
  <c r="K35" i="9"/>
  <c r="K36" i="9" s="1"/>
  <c r="K34" i="9"/>
  <c r="M19" i="3"/>
  <c r="O19" i="3" s="1"/>
  <c r="M24" i="25"/>
  <c r="M27" i="25"/>
  <c r="M26" i="25"/>
  <c r="M25" i="25"/>
  <c r="K37" i="19"/>
  <c r="K38" i="19" s="1"/>
  <c r="K45" i="19" s="1"/>
  <c r="M37" i="20"/>
  <c r="M38" i="20" s="1"/>
  <c r="M45" i="20" s="1"/>
  <c r="F37" i="13"/>
  <c r="F38" i="13" s="1"/>
  <c r="F45" i="13" s="1"/>
  <c r="L37" i="19"/>
  <c r="L38" i="19" s="1"/>
  <c r="L45" i="19" s="1"/>
  <c r="L37" i="12"/>
  <c r="L38" i="12" s="1"/>
  <c r="L45" i="12" s="1"/>
  <c r="I44" i="24"/>
  <c r="E36" i="18"/>
  <c r="F36" i="18" s="1"/>
  <c r="O41" i="1"/>
  <c r="M57" i="1"/>
  <c r="S26" i="25"/>
  <c r="S25" i="25"/>
  <c r="M21" i="3"/>
  <c r="O21" i="3" s="1"/>
  <c r="S24" i="25"/>
  <c r="S27" i="25"/>
  <c r="F37" i="16"/>
  <c r="F38" i="16" s="1"/>
  <c r="F45" i="16" s="1"/>
  <c r="M37" i="18"/>
  <c r="M38" i="18" s="1"/>
  <c r="M45" i="18" s="1"/>
  <c r="AG30" i="3"/>
  <c r="E39" i="3"/>
  <c r="F39" i="3" s="1"/>
  <c r="L37" i="22"/>
  <c r="L38" i="22" s="1"/>
  <c r="L45" i="22" s="1"/>
  <c r="M35" i="16"/>
  <c r="M36" i="16" s="1"/>
  <c r="M37" i="16" s="1"/>
  <c r="M38" i="16" s="1"/>
  <c r="M45" i="16" s="1"/>
  <c r="F35" i="16"/>
  <c r="F37" i="20"/>
  <c r="F38" i="20" s="1"/>
  <c r="F45" i="20" s="1"/>
  <c r="F37" i="23"/>
  <c r="F38" i="23" s="1"/>
  <c r="F45" i="23" s="1"/>
  <c r="F35" i="11"/>
  <c r="K37" i="13"/>
  <c r="K38" i="13" s="1"/>
  <c r="K45" i="13" s="1"/>
  <c r="L35" i="20"/>
  <c r="L36" i="20" s="1"/>
  <c r="E36" i="21"/>
  <c r="F36" i="21" s="1"/>
  <c r="K37" i="20"/>
  <c r="K38" i="20" s="1"/>
  <c r="K45" i="20" s="1"/>
  <c r="F37" i="22"/>
  <c r="F38" i="22" s="1"/>
  <c r="F45" i="22" s="1"/>
  <c r="E36" i="11"/>
  <c r="F36" i="11" s="1"/>
  <c r="K37" i="12"/>
  <c r="K38" i="12" s="1"/>
  <c r="K45" i="12" s="1"/>
  <c r="I44" i="14"/>
  <c r="M34" i="10"/>
  <c r="M35" i="10"/>
  <c r="M36" i="10" s="1"/>
  <c r="L34" i="9"/>
  <c r="L35" i="9" s="1"/>
  <c r="L36" i="9" s="1"/>
  <c r="M41" i="13" l="1"/>
  <c r="M42" i="13"/>
  <c r="M40" i="13"/>
  <c r="M46" i="13"/>
  <c r="H43" i="1" s="1"/>
  <c r="AC15" i="3" s="1"/>
  <c r="M42" i="16"/>
  <c r="M40" i="16"/>
  <c r="M41" i="16"/>
  <c r="M46" i="16"/>
  <c r="H48" i="1" s="1"/>
  <c r="AC20" i="3" s="1"/>
  <c r="F42" i="10"/>
  <c r="F40" i="10"/>
  <c r="F43" i="10"/>
  <c r="F46" i="10"/>
  <c r="F41" i="10"/>
  <c r="F46" i="23"/>
  <c r="F41" i="23"/>
  <c r="F42" i="23"/>
  <c r="F43" i="23"/>
  <c r="F40" i="23"/>
  <c r="L46" i="11"/>
  <c r="F46" i="1" s="1"/>
  <c r="AA18" i="3" s="1"/>
  <c r="L40" i="11"/>
  <c r="L42" i="11"/>
  <c r="L41" i="11"/>
  <c r="L40" i="16"/>
  <c r="L42" i="16"/>
  <c r="L41" i="16"/>
  <c r="L46" i="16"/>
  <c r="F48" i="1" s="1"/>
  <c r="AA20" i="3" s="1"/>
  <c r="E25" i="3"/>
  <c r="F25" i="3" s="1"/>
  <c r="F47" i="19"/>
  <c r="J25" i="3"/>
  <c r="L25" i="3" s="1"/>
  <c r="V25" i="3" s="1"/>
  <c r="P25" i="1" s="1"/>
  <c r="F46" i="21"/>
  <c r="F42" i="21"/>
  <c r="F41" i="21"/>
  <c r="F43" i="21"/>
  <c r="F40" i="21"/>
  <c r="K40" i="18"/>
  <c r="K46" i="18"/>
  <c r="D52" i="1" s="1"/>
  <c r="Y24" i="3" s="1"/>
  <c r="K42" i="18"/>
  <c r="K41" i="18"/>
  <c r="L40" i="15"/>
  <c r="L41" i="15"/>
  <c r="L46" i="15"/>
  <c r="F51" i="1" s="1"/>
  <c r="AA23" i="3" s="1"/>
  <c r="L42" i="15"/>
  <c r="M46" i="24"/>
  <c r="H50" i="1" s="1"/>
  <c r="AC22" i="3" s="1"/>
  <c r="M42" i="24"/>
  <c r="M40" i="24"/>
  <c r="M41" i="24"/>
  <c r="K41" i="17"/>
  <c r="K42" i="17"/>
  <c r="K40" i="17"/>
  <c r="K46" i="17"/>
  <c r="D47" i="1" s="1"/>
  <c r="Y19" i="3" s="1"/>
  <c r="F40" i="11"/>
  <c r="F43" i="11"/>
  <c r="F46" i="11"/>
  <c r="F42" i="11"/>
  <c r="F41" i="11"/>
  <c r="F43" i="14"/>
  <c r="F41" i="14"/>
  <c r="F46" i="14"/>
  <c r="F40" i="14"/>
  <c r="F44" i="14" s="1"/>
  <c r="F42" i="14"/>
  <c r="L40" i="14"/>
  <c r="L44" i="14" s="1"/>
  <c r="L42" i="14"/>
  <c r="L46" i="14"/>
  <c r="F44" i="1" s="1"/>
  <c r="AA16" i="3" s="1"/>
  <c r="L41" i="14"/>
  <c r="K42" i="14"/>
  <c r="K40" i="14"/>
  <c r="K41" i="14"/>
  <c r="K46" i="14"/>
  <c r="D44" i="1" s="1"/>
  <c r="Y16" i="3" s="1"/>
  <c r="L46" i="20"/>
  <c r="F54" i="1" s="1"/>
  <c r="AA26" i="3" s="1"/>
  <c r="L41" i="20"/>
  <c r="L42" i="20"/>
  <c r="L40" i="20"/>
  <c r="I44" i="10"/>
  <c r="L46" i="13"/>
  <c r="F43" i="1" s="1"/>
  <c r="AA15" i="3" s="1"/>
  <c r="L41" i="13"/>
  <c r="L40" i="13"/>
  <c r="L42" i="13"/>
  <c r="M37" i="10"/>
  <c r="M38" i="10" s="1"/>
  <c r="M45" i="10" s="1"/>
  <c r="L40" i="19"/>
  <c r="L44" i="19" s="1"/>
  <c r="L41" i="19"/>
  <c r="L46" i="19"/>
  <c r="F53" i="1" s="1"/>
  <c r="AA25" i="3" s="1"/>
  <c r="L42" i="19"/>
  <c r="K42" i="24"/>
  <c r="K40" i="24"/>
  <c r="K44" i="24" s="1"/>
  <c r="K41" i="24"/>
  <c r="K46" i="24"/>
  <c r="D50" i="1" s="1"/>
  <c r="Y22" i="3" s="1"/>
  <c r="M42" i="12"/>
  <c r="M46" i="12"/>
  <c r="H45" i="1" s="1"/>
  <c r="AC17" i="3" s="1"/>
  <c r="M40" i="12"/>
  <c r="M41" i="12"/>
  <c r="L37" i="10"/>
  <c r="L38" i="10" s="1"/>
  <c r="L45" i="10" s="1"/>
  <c r="F44" i="19"/>
  <c r="F40" i="20"/>
  <c r="F42" i="20"/>
  <c r="F46" i="20"/>
  <c r="F43" i="20"/>
  <c r="F41" i="20"/>
  <c r="F43" i="9"/>
  <c r="F40" i="9"/>
  <c r="F42" i="9"/>
  <c r="F46" i="9"/>
  <c r="F41" i="9"/>
  <c r="L41" i="17"/>
  <c r="L42" i="17"/>
  <c r="L40" i="17"/>
  <c r="L44" i="17" s="1"/>
  <c r="L46" i="17"/>
  <c r="F47" i="1" s="1"/>
  <c r="AA19" i="3" s="1"/>
  <c r="I29" i="3"/>
  <c r="H29" i="1" s="1"/>
  <c r="K40" i="22"/>
  <c r="K44" i="22" s="1"/>
  <c r="K46" i="22"/>
  <c r="D49" i="1" s="1"/>
  <c r="Y21" i="3" s="1"/>
  <c r="AH21" i="3" s="1"/>
  <c r="K42" i="22"/>
  <c r="K41" i="22"/>
  <c r="F44" i="15"/>
  <c r="K46" i="19"/>
  <c r="D53" i="1" s="1"/>
  <c r="Y25" i="3" s="1"/>
  <c r="K40" i="19"/>
  <c r="K44" i="19" s="1"/>
  <c r="K41" i="19"/>
  <c r="K42" i="19"/>
  <c r="M37" i="9"/>
  <c r="M38" i="9" s="1"/>
  <c r="M45" i="9" s="1"/>
  <c r="L40" i="24"/>
  <c r="L41" i="24"/>
  <c r="L46" i="24"/>
  <c r="F50" i="1" s="1"/>
  <c r="AA22" i="3" s="1"/>
  <c r="L42" i="24"/>
  <c r="K44" i="15"/>
  <c r="L37" i="9"/>
  <c r="L38" i="9" s="1"/>
  <c r="L45" i="9" s="1"/>
  <c r="L46" i="12"/>
  <c r="F45" i="1" s="1"/>
  <c r="AA17" i="3" s="1"/>
  <c r="L42" i="12"/>
  <c r="L40" i="12"/>
  <c r="L41" i="12"/>
  <c r="K42" i="12"/>
  <c r="K41" i="12"/>
  <c r="K40" i="12"/>
  <c r="K44" i="12" s="1"/>
  <c r="K46" i="12"/>
  <c r="D45" i="1" s="1"/>
  <c r="Y17" i="3" s="1"/>
  <c r="AH17" i="3" s="1"/>
  <c r="K40" i="11"/>
  <c r="K44" i="11" s="1"/>
  <c r="K41" i="11"/>
  <c r="K42" i="11"/>
  <c r="K46" i="11"/>
  <c r="D46" i="1" s="1"/>
  <c r="Y18" i="3" s="1"/>
  <c r="M29" i="3"/>
  <c r="O13" i="3"/>
  <c r="O29" i="3" s="1"/>
  <c r="L29" i="1" s="1"/>
  <c r="K41" i="20"/>
  <c r="K46" i="20"/>
  <c r="D54" i="1" s="1"/>
  <c r="Y26" i="3" s="1"/>
  <c r="K40" i="20"/>
  <c r="K42" i="20"/>
  <c r="K42" i="23"/>
  <c r="K41" i="23"/>
  <c r="K40" i="23"/>
  <c r="K46" i="23"/>
  <c r="D56" i="1" s="1"/>
  <c r="Y28" i="3" s="1"/>
  <c r="M42" i="15"/>
  <c r="M41" i="15"/>
  <c r="M46" i="15"/>
  <c r="H51" i="1" s="1"/>
  <c r="AC23" i="3" s="1"/>
  <c r="AH23" i="3" s="1"/>
  <c r="M40" i="15"/>
  <c r="K40" i="16"/>
  <c r="K41" i="16"/>
  <c r="K42" i="16"/>
  <c r="K46" i="16"/>
  <c r="D48" i="1" s="1"/>
  <c r="Y20" i="3" s="1"/>
  <c r="AH20" i="3" s="1"/>
  <c r="L46" i="22"/>
  <c r="F49" i="1" s="1"/>
  <c r="AA21" i="3" s="1"/>
  <c r="L41" i="22"/>
  <c r="L40" i="22"/>
  <c r="L42" i="22"/>
  <c r="F46" i="13"/>
  <c r="F42" i="13"/>
  <c r="F43" i="13"/>
  <c r="F41" i="13"/>
  <c r="F40" i="13"/>
  <c r="F44" i="13" s="1"/>
  <c r="M41" i="20"/>
  <c r="M46" i="20"/>
  <c r="H54" i="1" s="1"/>
  <c r="AC26" i="3" s="1"/>
  <c r="M42" i="20"/>
  <c r="M40" i="20"/>
  <c r="F46" i="22"/>
  <c r="F42" i="22"/>
  <c r="F41" i="22"/>
  <c r="F40" i="22"/>
  <c r="F43" i="22"/>
  <c r="F47" i="15"/>
  <c r="J23" i="3"/>
  <c r="L23" i="3" s="1"/>
  <c r="V23" i="3" s="1"/>
  <c r="P23" i="1" s="1"/>
  <c r="E23" i="3"/>
  <c r="F23" i="3" s="1"/>
  <c r="M40" i="22"/>
  <c r="M44" i="22" s="1"/>
  <c r="M42" i="22"/>
  <c r="M41" i="22"/>
  <c r="M46" i="22"/>
  <c r="H49" i="1" s="1"/>
  <c r="AC21" i="3" s="1"/>
  <c r="K37" i="21"/>
  <c r="K38" i="21" s="1"/>
  <c r="K45" i="21" s="1"/>
  <c r="F41" i="12"/>
  <c r="F43" i="12"/>
  <c r="F42" i="12"/>
  <c r="F46" i="12"/>
  <c r="F40" i="12"/>
  <c r="L42" i="18"/>
  <c r="L46" i="18"/>
  <c r="F52" i="1" s="1"/>
  <c r="AA24" i="3" s="1"/>
  <c r="L41" i="18"/>
  <c r="L40" i="18"/>
  <c r="O57" i="1"/>
  <c r="Q41" i="1"/>
  <c r="Q57" i="1" s="1"/>
  <c r="M37" i="21"/>
  <c r="M38" i="21" s="1"/>
  <c r="M45" i="21" s="1"/>
  <c r="M42" i="19"/>
  <c r="M40" i="19"/>
  <c r="M46" i="19"/>
  <c r="H53" i="1" s="1"/>
  <c r="AC25" i="3" s="1"/>
  <c r="M41" i="19"/>
  <c r="M46" i="14"/>
  <c r="H44" i="1" s="1"/>
  <c r="AC16" i="3" s="1"/>
  <c r="M40" i="14"/>
  <c r="M42" i="14"/>
  <c r="M41" i="14"/>
  <c r="M42" i="11"/>
  <c r="M46" i="11"/>
  <c r="H46" i="1" s="1"/>
  <c r="AC18" i="3" s="1"/>
  <c r="M40" i="11"/>
  <c r="M44" i="11" s="1"/>
  <c r="M41" i="11"/>
  <c r="L41" i="23"/>
  <c r="L42" i="23"/>
  <c r="L40" i="23"/>
  <c r="L46" i="23"/>
  <c r="F56" i="1" s="1"/>
  <c r="AA28" i="3" s="1"/>
  <c r="L37" i="21"/>
  <c r="L38" i="21" s="1"/>
  <c r="L45" i="21" s="1"/>
  <c r="E19" i="3"/>
  <c r="F19" i="3" s="1"/>
  <c r="F47" i="17"/>
  <c r="J19" i="3"/>
  <c r="L19" i="3" s="1"/>
  <c r="V19" i="3" s="1"/>
  <c r="P19" i="1" s="1"/>
  <c r="F40" i="18"/>
  <c r="F44" i="18" s="1"/>
  <c r="F42" i="18"/>
  <c r="F46" i="18"/>
  <c r="F43" i="18"/>
  <c r="F41" i="18"/>
  <c r="F47" i="24"/>
  <c r="E22" i="3"/>
  <c r="F22" i="3" s="1"/>
  <c r="W22" i="3" s="1"/>
  <c r="R22" i="1" s="1"/>
  <c r="J22" i="3"/>
  <c r="L22" i="3" s="1"/>
  <c r="V22" i="3" s="1"/>
  <c r="P22" i="1" s="1"/>
  <c r="K37" i="10"/>
  <c r="K38" i="10" s="1"/>
  <c r="K45" i="10" s="1"/>
  <c r="M42" i="23"/>
  <c r="M46" i="23"/>
  <c r="H56" i="1" s="1"/>
  <c r="AC28" i="3" s="1"/>
  <c r="M41" i="23"/>
  <c r="M40" i="23"/>
  <c r="M41" i="18"/>
  <c r="M42" i="18"/>
  <c r="M46" i="18"/>
  <c r="H52" i="1" s="1"/>
  <c r="AC24" i="3" s="1"/>
  <c r="M40" i="18"/>
  <c r="M44" i="18" s="1"/>
  <c r="F41" i="16"/>
  <c r="F46" i="16"/>
  <c r="F42" i="16"/>
  <c r="F43" i="16"/>
  <c r="F40" i="16"/>
  <c r="F44" i="16" s="1"/>
  <c r="F44" i="24"/>
  <c r="M42" i="17"/>
  <c r="M40" i="17"/>
  <c r="M44" i="17" s="1"/>
  <c r="M41" i="17"/>
  <c r="M46" i="17"/>
  <c r="H47" i="1" s="1"/>
  <c r="AC19" i="3" s="1"/>
  <c r="K42" i="13"/>
  <c r="K40" i="13"/>
  <c r="K46" i="13"/>
  <c r="D43" i="1" s="1"/>
  <c r="Y15" i="3" s="1"/>
  <c r="AH15" i="3" s="1"/>
  <c r="K41" i="13"/>
  <c r="K37" i="9"/>
  <c r="K38" i="9" s="1"/>
  <c r="K45" i="9" s="1"/>
  <c r="I44" i="12"/>
  <c r="I44" i="9"/>
  <c r="J26" i="3" l="1"/>
  <c r="L26" i="3" s="1"/>
  <c r="V26" i="3" s="1"/>
  <c r="P26" i="1" s="1"/>
  <c r="F47" i="20"/>
  <c r="E26" i="3"/>
  <c r="F26" i="3" s="1"/>
  <c r="W26" i="3" s="1"/>
  <c r="R26" i="1" s="1"/>
  <c r="K46" i="10"/>
  <c r="D42" i="1" s="1"/>
  <c r="Y14" i="3" s="1"/>
  <c r="K42" i="10"/>
  <c r="K41" i="10"/>
  <c r="K40" i="10"/>
  <c r="K44" i="10" s="1"/>
  <c r="L44" i="18"/>
  <c r="L44" i="22"/>
  <c r="K44" i="20"/>
  <c r="M40" i="10"/>
  <c r="M44" i="10" s="1"/>
  <c r="M46" i="10"/>
  <c r="H42" i="1" s="1"/>
  <c r="AC14" i="3" s="1"/>
  <c r="M41" i="10"/>
  <c r="M42" i="10"/>
  <c r="J27" i="3"/>
  <c r="L27" i="3" s="1"/>
  <c r="V27" i="3" s="1"/>
  <c r="P27" i="1" s="1"/>
  <c r="E27" i="3"/>
  <c r="F27" i="3" s="1"/>
  <c r="W27" i="3" s="1"/>
  <c r="R27" i="1" s="1"/>
  <c r="F47" i="21"/>
  <c r="AH26" i="3"/>
  <c r="L40" i="9"/>
  <c r="L44" i="9" s="1"/>
  <c r="L41" i="9"/>
  <c r="L42" i="9"/>
  <c r="L46" i="9"/>
  <c r="F41" i="1" s="1"/>
  <c r="F44" i="20"/>
  <c r="M44" i="24"/>
  <c r="F47" i="23"/>
  <c r="J28" i="3"/>
  <c r="L28" i="3" s="1"/>
  <c r="V28" i="3" s="1"/>
  <c r="P28" i="1" s="1"/>
  <c r="E28" i="3"/>
  <c r="F28" i="3" s="1"/>
  <c r="W28" i="3" s="1"/>
  <c r="R28" i="1" s="1"/>
  <c r="F44" i="22"/>
  <c r="L44" i="13"/>
  <c r="L41" i="10"/>
  <c r="L42" i="10"/>
  <c r="L46" i="10"/>
  <c r="F42" i="1" s="1"/>
  <c r="AA14" i="3" s="1"/>
  <c r="L40" i="10"/>
  <c r="E14" i="3"/>
  <c r="F14" i="3" s="1"/>
  <c r="W14" i="3" s="1"/>
  <c r="R14" i="1" s="1"/>
  <c r="J14" i="3"/>
  <c r="L14" i="3" s="1"/>
  <c r="V14" i="3" s="1"/>
  <c r="P14" i="1" s="1"/>
  <c r="F47" i="10"/>
  <c r="W25" i="3"/>
  <c r="R25" i="1" s="1"/>
  <c r="E17" i="3"/>
  <c r="F17" i="3" s="1"/>
  <c r="F47" i="12"/>
  <c r="J17" i="3"/>
  <c r="L17" i="3" s="1"/>
  <c r="V17" i="3" s="1"/>
  <c r="P17" i="1" s="1"/>
  <c r="E21" i="3"/>
  <c r="F21" i="3" s="1"/>
  <c r="J21" i="3"/>
  <c r="L21" i="3" s="1"/>
  <c r="V21" i="3" s="1"/>
  <c r="P21" i="1" s="1"/>
  <c r="F47" i="22"/>
  <c r="AH18" i="3"/>
  <c r="M44" i="12"/>
  <c r="F44" i="10"/>
  <c r="E20" i="3"/>
  <c r="F20" i="3" s="1"/>
  <c r="W20" i="3" s="1"/>
  <c r="R20" i="1" s="1"/>
  <c r="J20" i="3"/>
  <c r="L20" i="3" s="1"/>
  <c r="V20" i="3" s="1"/>
  <c r="P20" i="1" s="1"/>
  <c r="F47" i="16"/>
  <c r="E24" i="3"/>
  <c r="F24" i="3" s="1"/>
  <c r="J24" i="3"/>
  <c r="L24" i="3" s="1"/>
  <c r="V24" i="3" s="1"/>
  <c r="P24" i="1" s="1"/>
  <c r="F47" i="18"/>
  <c r="M44" i="20"/>
  <c r="K44" i="16"/>
  <c r="L44" i="24"/>
  <c r="L44" i="20"/>
  <c r="F44" i="12"/>
  <c r="F47" i="14"/>
  <c r="J16" i="3"/>
  <c r="L16" i="3" s="1"/>
  <c r="V16" i="3" s="1"/>
  <c r="P16" i="1" s="1"/>
  <c r="E16" i="3"/>
  <c r="F16" i="3" s="1"/>
  <c r="W16" i="3" s="1"/>
  <c r="R16" i="1" s="1"/>
  <c r="M44" i="14"/>
  <c r="M44" i="15"/>
  <c r="M46" i="9"/>
  <c r="H41" i="1" s="1"/>
  <c r="M41" i="9"/>
  <c r="M42" i="9"/>
  <c r="M40" i="9"/>
  <c r="M44" i="9" s="1"/>
  <c r="L44" i="15"/>
  <c r="AH22" i="3"/>
  <c r="L44" i="16"/>
  <c r="F47" i="9"/>
  <c r="J13" i="3"/>
  <c r="E13" i="3"/>
  <c r="F13" i="3" s="1"/>
  <c r="J18" i="3"/>
  <c r="L18" i="3" s="1"/>
  <c r="V18" i="3" s="1"/>
  <c r="P18" i="1" s="1"/>
  <c r="F47" i="11"/>
  <c r="E18" i="3"/>
  <c r="F18" i="3" s="1"/>
  <c r="M44" i="16"/>
  <c r="K44" i="13"/>
  <c r="W19" i="3"/>
  <c r="R19" i="1" s="1"/>
  <c r="M44" i="19"/>
  <c r="AH28" i="3"/>
  <c r="AH25" i="3"/>
  <c r="F44" i="9"/>
  <c r="F44" i="11"/>
  <c r="K44" i="18"/>
  <c r="L44" i="11"/>
  <c r="K46" i="21"/>
  <c r="D55" i="1" s="1"/>
  <c r="Y27" i="3" s="1"/>
  <c r="K42" i="21"/>
  <c r="K40" i="21"/>
  <c r="K44" i="21" s="1"/>
  <c r="K41" i="21"/>
  <c r="AH24" i="3"/>
  <c r="M44" i="23"/>
  <c r="L41" i="21"/>
  <c r="L42" i="21"/>
  <c r="L40" i="21"/>
  <c r="L44" i="21" s="1"/>
  <c r="L46" i="21"/>
  <c r="F55" i="1" s="1"/>
  <c r="AA27" i="3" s="1"/>
  <c r="K44" i="23"/>
  <c r="K44" i="14"/>
  <c r="AH19" i="3"/>
  <c r="F44" i="21"/>
  <c r="M44" i="13"/>
  <c r="K42" i="9"/>
  <c r="K40" i="9"/>
  <c r="K44" i="9" s="1"/>
  <c r="K41" i="9"/>
  <c r="K46" i="9"/>
  <c r="D41" i="1" s="1"/>
  <c r="AH16" i="3"/>
  <c r="M46" i="21"/>
  <c r="H55" i="1" s="1"/>
  <c r="AC27" i="3" s="1"/>
  <c r="M42" i="21"/>
  <c r="M41" i="21"/>
  <c r="M40" i="21"/>
  <c r="M44" i="21" s="1"/>
  <c r="K44" i="17"/>
  <c r="F44" i="23"/>
  <c r="L44" i="23"/>
  <c r="W23" i="3"/>
  <c r="R23" i="1" s="1"/>
  <c r="E15" i="3"/>
  <c r="F15" i="3" s="1"/>
  <c r="W15" i="3" s="1"/>
  <c r="R15" i="1" s="1"/>
  <c r="F47" i="13"/>
  <c r="J15" i="3"/>
  <c r="L15" i="3" s="1"/>
  <c r="V15" i="3" s="1"/>
  <c r="P15" i="1" s="1"/>
  <c r="L44" i="12"/>
  <c r="H57" i="1" l="1"/>
  <c r="AC13" i="3"/>
  <c r="AC29" i="3" s="1"/>
  <c r="W18" i="3"/>
  <c r="R18" i="1" s="1"/>
  <c r="W21" i="3"/>
  <c r="R21" i="1" s="1"/>
  <c r="AH27" i="3"/>
  <c r="W17" i="3"/>
  <c r="R17" i="1" s="1"/>
  <c r="L13" i="3"/>
  <c r="J29" i="3"/>
  <c r="F57" i="1"/>
  <c r="AA13" i="3"/>
  <c r="AA29" i="3" s="1"/>
  <c r="Y13" i="3"/>
  <c r="D57" i="1"/>
  <c r="AH14" i="3"/>
  <c r="W24" i="3"/>
  <c r="R24" i="1" s="1"/>
  <c r="L44" i="10"/>
  <c r="F29" i="3"/>
  <c r="E36" i="3" l="1"/>
  <c r="F36" i="3" s="1"/>
  <c r="AA30" i="3"/>
  <c r="Y29" i="3"/>
  <c r="AH13" i="3"/>
  <c r="AH29" i="3" s="1"/>
  <c r="AH30" i="3" s="1"/>
  <c r="L29" i="3"/>
  <c r="K29" i="1" s="1"/>
  <c r="P29" i="1" s="1"/>
  <c r="V13" i="3"/>
  <c r="AC30" i="3"/>
  <c r="E37" i="3"/>
  <c r="F37" i="3" s="1"/>
  <c r="V29" i="3" l="1"/>
  <c r="P13" i="1"/>
  <c r="W13" i="3"/>
  <c r="E35" i="3"/>
  <c r="F35" i="3" s="1"/>
  <c r="Y30" i="3"/>
  <c r="R13" i="1" l="1"/>
  <c r="W29" i="3"/>
  <c r="AI29" i="3" l="1"/>
  <c r="AI13" i="3"/>
  <c r="W30" i="3"/>
  <c r="E34" i="3"/>
  <c r="R29" i="1"/>
  <c r="V16" i="1"/>
  <c r="V19" i="1" s="1"/>
  <c r="F34" i="3" l="1"/>
  <c r="F40" i="3" s="1"/>
  <c r="E40" i="3"/>
  <c r="E55" i="3" s="1"/>
  <c r="E56" i="3" s="1"/>
  <c r="D61" i="1" s="1"/>
  <c r="D63" i="1" s="1"/>
  <c r="D65" i="1" s="1"/>
  <c r="D85" i="1" s="1"/>
  <c r="AI30" i="3"/>
  <c r="I13" i="31" s="1"/>
  <c r="H13" i="31"/>
  <c r="H17" i="31" s="1"/>
  <c r="I17" i="31" l="1"/>
  <c r="J13" i="31"/>
  <c r="J17"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Fábio Lucas Gouveia dos Santos</author>
  </authors>
  <commentList>
    <comment ref="N12" authorId="0" shapeId="0" xr:uid="{0CD1EE5A-51EE-4C83-A302-5AF10B069526}">
      <text>
        <r>
          <rPr>
            <b/>
            <sz val="9"/>
            <color indexed="81"/>
            <rFont val="Segoe UI"/>
            <family val="2"/>
          </rPr>
          <t xml:space="preserve">SEGET: 
Mensalmente: </t>
        </r>
        <r>
          <rPr>
            <sz val="9"/>
            <color indexed="81"/>
            <rFont val="Segoe UI"/>
            <family val="2"/>
          </rPr>
          <t xml:space="preserve">Lançar mensalmente o nº de postos com ausências
</t>
        </r>
        <r>
          <rPr>
            <b/>
            <sz val="9"/>
            <color indexed="81"/>
            <rFont val="Segoe UI"/>
            <family val="2"/>
          </rPr>
          <t xml:space="preserve">Para férias | início ou término contratual </t>
        </r>
        <r>
          <rPr>
            <sz val="9"/>
            <color indexed="81"/>
            <rFont val="Segoe UI"/>
            <family val="2"/>
          </rPr>
          <t>=1/30*0
Onde o "0" é número de dias de ausências de férias sem cobertura / pagamento proporcional no mês de início ou mês de término contratual.</t>
        </r>
        <r>
          <rPr>
            <sz val="9"/>
            <color indexed="81"/>
            <rFont val="Segoe UI"/>
            <family val="2"/>
          </rPr>
          <t xml:space="preserve">
</t>
        </r>
      </text>
    </comment>
  </commentList>
</comments>
</file>

<file path=xl/sharedStrings.xml><?xml version="1.0" encoding="utf-8"?>
<sst xmlns="http://schemas.openxmlformats.org/spreadsheetml/2006/main" count="10288" uniqueCount="4487">
  <si>
    <t>Tribunal Regional Federal da 6ª Região</t>
  </si>
  <si>
    <t>Secretaria de Administração e Serviços - SECAM</t>
  </si>
  <si>
    <t>Subsecretaria de Manutenção, Engenharia e Serviços - SUMES</t>
  </si>
  <si>
    <t xml:space="preserve">OCORRÊNCIAS MENSAIS DO FATURAMENTO </t>
  </si>
  <si>
    <t>UTILIZAÇÃO DO GESTOR CONTRATUAL PARA REALIZAÇÃO DO FATURAMENTO MENSAL</t>
  </si>
  <si>
    <t>DEFINIR BASE DE DESCONTOS/GLOSAS:</t>
  </si>
  <si>
    <t>MÊS CONTÁBIL</t>
  </si>
  <si>
    <t>INSTRUÇÕES DE PREENCHIMENTO
UTILIZAÇÃO EXCLUSIVA FISCAL/GESTOR
PARA AUXILIAR NO VALOR DE FATURAMENTO
Preencher as células destacadas na cor vermelha para realização dos cálculos das demais abas.
Não é necessário preenchimento de outras abas.</t>
  </si>
  <si>
    <t>Informar número de Postos que não utilizam V.T.
(Coluna "D")</t>
  </si>
  <si>
    <t>Desconto automático de V.T.
(Coluna "E")</t>
  </si>
  <si>
    <t>Desconto automático de V.T.
(Coluna "F")</t>
  </si>
  <si>
    <t>Preencher o número de dias úteis em que o optante de V.T realizou trabalho em Home Office
(Coluna "G")</t>
  </si>
  <si>
    <t>Preencher o número de dias (corridos) que o terceirizado que não recebe vt ficou afastado por férias ou faltas
(Coluna "H")</t>
  </si>
  <si>
    <t>Conversão das horas de ausências em dias de ausências
(Coluna "I")</t>
  </si>
  <si>
    <t>Número de dias de ausência
(Coluna "J")</t>
  </si>
  <si>
    <t>Nº dias de faltas comuns sem substituição.
(Coluna "K")</t>
  </si>
  <si>
    <t>Informar número de dias por férias no mês (dias)
(Coluna "L")</t>
  </si>
  <si>
    <t>Desconto de V.A. por dias de recesso forense e/ou ponto facultativo.
(Coluna "M")</t>
  </si>
  <si>
    <t>Desconto de Cartão Cesta Básica por faltas (exceto acidente de trabalho)
(Coluna "N")</t>
  </si>
  <si>
    <t>Nº de dias de férias sem substituição quando o adicional de insalubridade é passado para outra servente do quadro 
(Coluna "O")</t>
  </si>
  <si>
    <t>Somatório de glosas.
(Coluna "P")</t>
  </si>
  <si>
    <t>Somatório de acrésimo por substituição do posto insalubre por outro profissional do quadro.
(Coluna "Q")</t>
  </si>
  <si>
    <t>Informativo sobre valor faturado por tipo de função.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</si>
  <si>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</si>
  <si>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</si>
  <si>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</si>
  <si>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</si>
  <si>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</si>
  <si>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</si>
  <si>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</si>
  <si>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</si>
  <si>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Dias de Home Office para os postos Optantes de V.T.</t>
  </si>
  <si>
    <t>Ajuste de V.T para fornecimento para
postos Não Optantes</t>
  </si>
  <si>
    <t>Dias de faltas após conversão das horas
(planilha auxiliar)</t>
  </si>
  <si>
    <t>Quant. Atrasos e Faltas</t>
  </si>
  <si>
    <t>Dias de Férias</t>
  </si>
  <si>
    <t>Dias de Glosas de V.A no Mês</t>
  </si>
  <si>
    <t>Quantidade de Postos que tiveram ausência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</si>
  <si>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</si>
  <si>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</si>
  <si>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</si>
  <si>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</si>
  <si>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</si>
  <si>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</si>
  <si>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</si>
  <si>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</si>
  <si>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</si>
  <si>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</si>
  <si>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</si>
  <si>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ELEMENTO 3</t>
  </si>
  <si>
    <t>ELEMENTO 4</t>
  </si>
  <si>
    <t>ELEMENTO 5</t>
  </si>
  <si>
    <t>ELEMENTO 6</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</si>
  <si>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</si>
  <si>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</si>
  <si>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</si>
  <si>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</si>
  <si>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</si>
  <si>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</si>
  <si>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</si>
  <si>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</si>
  <si>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</si>
  <si>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Quadro Resumo para cálculo de adicionais e Diárias
(Faturamento à parte - Serviços Extraordinários)</t>
  </si>
  <si>
    <t>BASE</t>
  </si>
  <si>
    <t>CONTA VINCULADA</t>
  </si>
  <si>
    <t>Qntde de horas em adicional noturno</t>
  </si>
  <si>
    <t>Total Pagamento de Adc Noturno</t>
  </si>
  <si>
    <t>Qntde de horas extras comuns</t>
  </si>
  <si>
    <t>Total Pagamento de Hora Extra Comum</t>
  </si>
  <si>
    <t>Qntde de horas extras feriado (em dobro)</t>
  </si>
  <si>
    <t>Total Pagamento de Hora Extra feriado (em dobro)</t>
  </si>
  <si>
    <t>Quantidade de V.A (Hora Extra - Adicional)</t>
  </si>
  <si>
    <t>Pagamento de V.A (Hora Extra - Adicional)</t>
  </si>
  <si>
    <t>Quantidade de V.t (Hora Extra - Adicional)</t>
  </si>
  <si>
    <t>Pagamento de V.t (Hora Extra - Adicional)</t>
  </si>
  <si>
    <t>Somatório Valor Remuneração Extra</t>
  </si>
  <si>
    <t>Contigenciamento Extra</t>
  </si>
  <si>
    <t>MÃO DE OBRA - FIXA</t>
  </si>
  <si>
    <t>TOTAL CONTIGENCIAMENTO</t>
  </si>
  <si>
    <t>Valor Total - Faturamento Extra</t>
  </si>
  <si>
    <t>RESUMO - NOTA FISCAL (FATURAMENTO)</t>
  </si>
  <si>
    <t>Natureza de despesa</t>
  </si>
  <si>
    <t>Nomenclatura</t>
  </si>
  <si>
    <t>1.1</t>
  </si>
  <si>
    <t>1.1 - Mão de Obra Residente</t>
  </si>
  <si>
    <t>339037-04</t>
  </si>
  <si>
    <t>Manutenção e Conservação de Bens Imóveis</t>
  </si>
  <si>
    <t>Total Materiais fornecidos no mês vigente</t>
  </si>
  <si>
    <t>-</t>
  </si>
  <si>
    <t>BDI</t>
  </si>
  <si>
    <t>Total Fornecido + BDI - (sem desconto)</t>
  </si>
  <si>
    <t>Desconto</t>
  </si>
  <si>
    <t>VALOR MENSAL COM DESCONTO</t>
  </si>
  <si>
    <t>1.2</t>
  </si>
  <si>
    <t>1.2 - Serviço Apoio Operacional</t>
  </si>
  <si>
    <t>339039-79</t>
  </si>
  <si>
    <t>Serviço de Apoio Administrativo, Técnico e Operacional</t>
  </si>
  <si>
    <t>1.3</t>
  </si>
  <si>
    <t>1.3 - Fornecimento de Insumos</t>
  </si>
  <si>
    <t>339030-24</t>
  </si>
  <si>
    <t>Material para Manutenção de Bens Imóveis e Instalações</t>
  </si>
  <si>
    <t xml:space="preserve">        </t>
  </si>
  <si>
    <t>BDI DIFERENCIADO</t>
  </si>
  <si>
    <t>1.4</t>
  </si>
  <si>
    <t>1.4 - Fornecimento de Serviços Eventuais</t>
  </si>
  <si>
    <t>339039-16</t>
  </si>
  <si>
    <t>Total Serviços fornecidos no mês vigente</t>
  </si>
  <si>
    <t>ESTIMATIVA</t>
  </si>
  <si>
    <t>DESCONTO</t>
  </si>
  <si>
    <t>VALOR TOTAL</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</si>
  <si>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</si>
  <si>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</si>
  <si>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</si>
  <si>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</si>
  <si>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</si>
  <si>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</si>
  <si>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</si>
  <si>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LISTA PARA JORNADA DE TRABALHO</t>
  </si>
  <si>
    <t>DIVISOR DE HORAS</t>
  </si>
  <si>
    <t>LISTA PARA TOTAL DE POSTOS</t>
  </si>
  <si>
    <t>TRIBUNAL REGIONAL FEDERAL DA 6ª REGIÃO</t>
  </si>
  <si>
    <t>SECAM - SECRETARIA DE ADMINISTRAÇÃO E SERVIÇOS</t>
  </si>
  <si>
    <t>SUMES - SUBSECRETARIA DE MANUTENÇÃO, ENGENHARIA E SERVIÇOS GERAIS</t>
  </si>
  <si>
    <t>SEADI - SEÇÃO DE ADMINISTRAÇÃO PREDIAL</t>
  </si>
  <si>
    <t>PLANILHA DE PROPOSTA DE PREÇOS PARA SERVIÇOS DE MANUTENÇÃO PREDIAL</t>
  </si>
  <si>
    <t>ITEM 1</t>
  </si>
  <si>
    <t>Contratação de empresa especializada em Engenharia para prestação de serviços contínuos de manutenção predial preventiva, corretiva e preditiva, incluindo pequenas adaptações e reformas, por meio de postos de trabalhos, com fornecimento de ferramentas, insumos, peças, equipamentos, EPIs e materiais de reposição, assim como para realização de serviços eventuais, nos sistemas, equipamentos e instalações prediais nos imóveis ocupados pelo Tribunal Regional Federal da 6ª Região (TRF6) e pela Justiça Federal de Primeiro Grau (SJMG) situados em Belo Horizonte/MG, nesta capital e região metropolitana.</t>
  </si>
  <si>
    <t>Subitem</t>
  </si>
  <si>
    <t>Especificação</t>
  </si>
  <si>
    <t>Valor Unitário Estimado
(Mensal)</t>
  </si>
  <si>
    <t>Valor Anual Estimado
(12 meses)</t>
  </si>
  <si>
    <t>Valor Global Estimado
(24 meses)</t>
  </si>
  <si>
    <t>Serviços de mão de obra - Postos de Trabalho</t>
  </si>
  <si>
    <t>Apoio Operacional e Logístico - Postos de Trabalho</t>
  </si>
  <si>
    <t>Materiais, equipamentos e Peças de Reposição – Preventiva e Corretiva</t>
  </si>
  <si>
    <t>Serviços eventuais manutenção/reforma predial</t>
  </si>
  <si>
    <t xml:space="preserve">TOTAL:    </t>
  </si>
  <si>
    <t>Instruções:</t>
  </si>
  <si>
    <t>- O licitante deverá preencher somente as células com fundo na cor amarelo, conforme o seguinte padrão:</t>
  </si>
  <si>
    <t>- O "Valor Unitário Estimado (Mensal)" do subitem 1.1 é o valor calculado por meio da PLANILHA Resumo_1.1</t>
  </si>
  <si>
    <t>- O "Valor Unitário Estimado (Mensal)" do subitem 1.2 é o valor calculado por meio da PLANILHA Resumo_1.2</t>
  </si>
  <si>
    <t>- Desconto aplicado aos itens 1.3 e 1.4, é automaticamente calculado pela seguinte fórmula:</t>
  </si>
  <si>
    <r>
      <t xml:space="preserve">             I</t>
    </r>
    <r>
      <rPr>
        <vertAlign val="subscript"/>
        <sz val="10"/>
        <color indexed="55"/>
        <rFont val="Arial"/>
        <family val="2"/>
      </rPr>
      <t xml:space="preserve">desc </t>
    </r>
    <r>
      <rPr>
        <sz val="10"/>
        <color indexed="55"/>
        <rFont val="Arial"/>
        <family val="2"/>
      </rPr>
      <t>= 1 - D</t>
    </r>
  </si>
  <si>
    <t xml:space="preserve">    onde:</t>
  </si>
  <si>
    <t xml:space="preserve">            Idesc = Índice de desconto a ser aplicado para a definição dos preços máximos de insumos e serviços eventuais </t>
  </si>
  <si>
    <t>- não alterar as fórmulas das células</t>
  </si>
  <si>
    <t>INSTRUÇÕES DE PREENCHIMENTO - ANEXO II – PLANILHAS DE FORMAÇÃO DE PREÇOS</t>
  </si>
  <si>
    <t>1.</t>
  </si>
  <si>
    <t>SOMENTE SERÃO ACEITAS MODIFICAÇÕES NAS CÉLULAS DESTACADAS NA COR AMARELA COMO NO EXEMPLO ABAIXO:</t>
  </si>
  <si>
    <t>Células de livre edição.</t>
  </si>
  <si>
    <t>2.</t>
  </si>
  <si>
    <t>As demais células, estarão bloqueadas para edição das licitantes.</t>
  </si>
  <si>
    <t>3.</t>
  </si>
  <si>
    <t>As Abas necessárias para o preenchimento estão organizadas em uma sequencia lógica, sendo Dados; Encargos; Uniforme, devidamente abreviadas para otimização da planilha.</t>
  </si>
  <si>
    <t>Sugere-se o preenchimento das seguintes abas em sequência, Dados, Encargos, Uniforme, para a realização de cálulos completa da planilha de composição de custos.</t>
  </si>
  <si>
    <t>Estas Abas estarão destacadas na Cor Amarela.</t>
  </si>
  <si>
    <t>3.1</t>
  </si>
  <si>
    <t>ITEM 1.1- SERVIÇOS DE MÃO DE OBRA - POSTOS DE TRABALHO</t>
  </si>
  <si>
    <t>3.1.1</t>
  </si>
  <si>
    <t>PREENCHIMENTO ABA "CCT"</t>
  </si>
  <si>
    <t>- Informar a opção de CCT a ser utilizada, ou preencher com os dados da CCT utilizada</t>
  </si>
  <si>
    <t>- Preencher valores referentes ao salário base da categoria</t>
  </si>
  <si>
    <t>- Informar piso salarial de cada categoria, correspondente à jornada de 220h. na eventualidade de ser superior aos salários fixados.</t>
  </si>
  <si>
    <t xml:space="preserve"> - Informar o valor unitário do tícket de Vale Alimentação, nos casos exigidos, conforme legislação vigente.</t>
  </si>
  <si>
    <t xml:space="preserve"> - Informar o percentual de desconto à título de participação do trabalhador em relação ao fornecimento de Vale Alimentação, nos casos exigidos, conforme legislação vigente.</t>
  </si>
  <si>
    <t xml:space="preserve"> - Incluir outros custos não previstos previamente, bem como descreve-los, em caso de previsão legal, devendo ser apresentadas justificativas para a inserção.</t>
  </si>
  <si>
    <r>
      <t xml:space="preserve"> - Em conformidade com o item 8.3.8 do Termo de Referência e com o Acórdão nº 1207/2024 – TCU – Plenário, </t>
    </r>
    <r>
      <rPr>
        <b/>
        <sz val="11"/>
        <rFont val="Calibri"/>
        <family val="2"/>
      </rPr>
      <t>a licitante deverá adotar</t>
    </r>
    <r>
      <rPr>
        <sz val="11"/>
        <rFont val="Calibri"/>
        <family val="2"/>
        <charset val="1"/>
      </rPr>
      <t xml:space="preserve">, em sua planilha de custos e formação de preços, </t>
    </r>
    <r>
      <rPr>
        <b/>
        <sz val="11"/>
        <rFont val="Calibri"/>
        <family val="2"/>
      </rPr>
      <t>valores de Salário e Auxílio-Alimentação</t>
    </r>
    <r>
      <rPr>
        <sz val="11"/>
        <rFont val="Calibri"/>
        <family val="2"/>
        <charset val="1"/>
      </rPr>
      <t xml:space="preserve"> que sejam, obrigatoriamente, </t>
    </r>
    <r>
      <rPr>
        <b/>
        <sz val="11"/>
        <rFont val="Calibri"/>
        <family val="2"/>
      </rPr>
      <t>iguais ou superiores aos valores fixados na planilha de estimativa</t>
    </r>
    <r>
      <rPr>
        <sz val="11"/>
        <rFont val="Calibri"/>
        <family val="2"/>
        <charset val="1"/>
      </rPr>
      <t xml:space="preserve"> da Administração </t>
    </r>
  </si>
  <si>
    <t xml:space="preserve"> - Alterar SOMENTE aqueles destacados na COR AMARELA.</t>
  </si>
  <si>
    <t>3.1.2</t>
  </si>
  <si>
    <t>PREENCHIMENTO ABA "DADOS"</t>
  </si>
  <si>
    <t xml:space="preserve"> - Informar os valores no campo Dados da Proposta.</t>
  </si>
  <si>
    <r>
      <t xml:space="preserve"> - O regime de contribuição da folha de pagamentos para a apresentação da proposta deverá ser considerado com </t>
    </r>
    <r>
      <rPr>
        <b/>
        <sz val="11"/>
        <rFont val="Calibri"/>
        <family val="2"/>
      </rPr>
      <t xml:space="preserve">ONERADO </t>
    </r>
  </si>
  <si>
    <t xml:space="preserve"> - Informar o percentual correspondente ao RAT, conforme atividade principal da licitante.</t>
  </si>
  <si>
    <t xml:space="preserve"> - Informar o fator correspdente ao FAP, conforme extraído do relatório FapWeb.</t>
  </si>
  <si>
    <t xml:space="preserve"> - Informar o valor unitário do Seguro de Vida, nos casos exigidos, conforme legislação vigente.</t>
  </si>
  <si>
    <t xml:space="preserve"> - Informar o quantitativo unitário diário de tarifas de transporte público (ex.: 2 tarifas para ida e 2 tarifas para volta = Total de 4 tarifas).</t>
  </si>
  <si>
    <t xml:space="preserve"> - Informar o valor unitário da tarifa de transporte público vigente à data de apresentação da proposta, nos casos exigidos, conforme legislação vigente.</t>
  </si>
  <si>
    <t xml:space="preserve"> - Informar o percentual de desconto à título de participação do trabalhador em relação ao fornecimento de vale transporte, nos casos exigidos, conforme legislação vigente.</t>
  </si>
  <si>
    <t xml:space="preserve"> - Informar o percentual relativo às Despesas Administrativas da licitante.</t>
  </si>
  <si>
    <t xml:space="preserve"> - Informar o percentual relativo ao Lucro da licitante.</t>
  </si>
  <si>
    <t xml:space="preserve"> - Informar a opção tributária da licitante (Células "G60") conforme legislação vigente, OBSERVANDO as instruções contantes na Célula "B57".</t>
  </si>
  <si>
    <t xml:space="preserve"> - Informar o percentual da alíquota COFINS conforme legislação vigente, OBSERVANDO as instruções contantes na Célula "B57".</t>
  </si>
  <si>
    <t xml:space="preserve"> - Informar o percentual da alíquota PIS/PASEP conforme legislação vigente, OBSERVANDO as instruções contantes na Célula "B57".</t>
  </si>
  <si>
    <t xml:space="preserve"> - Informar o percentual da alíquota ISSQN conforme legislação vigente</t>
  </si>
  <si>
    <r>
      <t xml:space="preserve"> - Incluir outros impostos não inseridos previamente, bem como descreve-los, em caso de previsão legal, devendo ser apresentadas justificativas para a inserção. (Célula "G64"). </t>
    </r>
    <r>
      <rPr>
        <b/>
        <sz val="11"/>
        <rFont val="Calibri"/>
        <family val="2"/>
      </rPr>
      <t>Não considerar a CPRB</t>
    </r>
    <r>
      <rPr>
        <sz val="11"/>
        <rFont val="Calibri"/>
        <family val="2"/>
        <charset val="1"/>
      </rPr>
      <t>.</t>
    </r>
  </si>
  <si>
    <t xml:space="preserve"> - Informar dados para preenchimento do BDI comum e diferenciado como Seguros + Garantiaa, Riscos, Despesas Financeiras, Administração Central do BDI diferenciado, Lucro Bruto do BDI diferenciado</t>
  </si>
  <si>
    <t xml:space="preserve"> - Informar o percentual do ISSQN considerando a dedução decorrente do fornecimento de materiais, conforme a legislação vigente municipal</t>
  </si>
  <si>
    <t xml:space="preserve"> - Informar custos reembolsáveis para adicional noturno, adicional noturno hora extra e adicional hora extra feriado</t>
  </si>
  <si>
    <t>3.1.3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</si>
  <si>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</si>
  <si>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</si>
  <si>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"B58"), com as demais instruções cabíveis aos percentuais dispostos nesta Aba.</t>
  </si>
  <si>
    <t>3.1.4</t>
  </si>
  <si>
    <t>PREENCHIMENTO ABA "UNIFORMES"</t>
  </si>
  <si>
    <t xml:space="preserve"> - Informar os valores unitários de cada peça de uniforme nas células destacadas em amarelo dispostas na "Coluna E", de acordo com sua descrição no Anexo I-J - Uniformes.</t>
  </si>
  <si>
    <t>3.1.5</t>
  </si>
  <si>
    <t>PREENCHIMENTO ABA "FERRAMENTAS"</t>
  </si>
  <si>
    <t xml:space="preserve"> - Informar os valores paras os equipamentos e ferramentas dispostos na "Coluna F", de acordo com sua descrição "Coluna B".</t>
  </si>
  <si>
    <t>PREENCHIMENTO ABA "EPI E EPC"</t>
  </si>
  <si>
    <t xml:space="preserve"> - Informar os valores paras os EPI's dispostos na "Coluna D", de acordo com sua descrição "Coluna B".</t>
  </si>
  <si>
    <t>3.2</t>
  </si>
  <si>
    <t>ITEM 1.2- APOIO OPERACIONAL E LOGÍSTICO - POSTOS DE TRABALHO</t>
  </si>
  <si>
    <t>3.2.1</t>
  </si>
  <si>
    <t>PREENCHIMENTO ABA "CPU's"</t>
  </si>
  <si>
    <t xml:space="preserve"> - Informar os valores paras os itens dispostos na "Coluna O:Q" ,de acordo com sua descrição "Coluna C".</t>
  </si>
  <si>
    <t>4.</t>
  </si>
  <si>
    <r>
      <rPr>
        <b/>
        <sz val="11"/>
        <rFont val="Calibri"/>
        <family val="2"/>
        <charset val="1"/>
      </rPr>
      <t xml:space="preserve">Destaca-se que após o preenchimento destas Abas, os preços individuais das categorias profissionais serão refletidos para as suas abas correspondentes </t>
    </r>
    <r>
      <rPr>
        <sz val="11"/>
        <rFont val="Calibri"/>
        <family val="2"/>
        <charset val="1"/>
      </rPr>
      <t>(Engenheiro, Lider, Tecnico Eletrotécnicos, Tecnico em Edificações e etc,).</t>
    </r>
  </si>
  <si>
    <t>4.1</t>
  </si>
  <si>
    <r>
      <rPr>
        <b/>
        <sz val="11"/>
        <color indexed="29"/>
        <rFont val="Calibri"/>
        <family val="2"/>
        <charset val="1"/>
      </rPr>
      <t xml:space="preserve">Não será necessário realizar nenhuma alteração nas abas contendo o detalhamento de custos de cada categoria profissional. </t>
    </r>
    <r>
      <rPr>
        <b/>
        <sz val="11"/>
        <rFont val="Calibri"/>
        <family val="2"/>
        <charset val="1"/>
      </rPr>
      <t>Estas abas conterão apenas o reflexo dos dados preenchdidos nas abas anteriores (conforme explicação nº 3).</t>
    </r>
  </si>
  <si>
    <t>4.2</t>
  </si>
  <si>
    <t>Estas abas estão destacadas na Cor Cinza.</t>
  </si>
  <si>
    <t>5.</t>
  </si>
  <si>
    <t>Observações</t>
  </si>
  <si>
    <t>5.1</t>
  </si>
  <si>
    <t>Para efeitos de lance/oferta as licitantes devem considerar os valores dos itens 1.1 e 1.2, da Aba "Proposta LICITANTE"</t>
  </si>
  <si>
    <t>5.2</t>
  </si>
  <si>
    <t>A Aba "Resumo_1.1", contém o detalhadamento dos custos unitários por categoria profissional, além de conter o preço final da proposta do item 1.1</t>
  </si>
  <si>
    <t>5.3</t>
  </si>
  <si>
    <t>A Aba "Resumo_1.2", contém o detalhadamento dos custos de Apoio Operacional e Logístico, além de conter o preço final da proposta do item 1.2</t>
  </si>
  <si>
    <t>5.4</t>
  </si>
  <si>
    <t>As Abas "1.3-insumos" e "1.4-Serviços Eventuais", contém os preços a que a Contratada será remunerada com relação ao desconto e BDI da proposta pelo fornecimento e execução de serviços, com atenção ao menor valor entre as colunas de Preço Máximo unit. e Preço Unit. C/ BDI</t>
  </si>
  <si>
    <t>5.5</t>
  </si>
  <si>
    <t>Tais abas estão destacada na Cor Azul.</t>
  </si>
  <si>
    <t>Seção de Administração Predial - Seadi</t>
  </si>
  <si>
    <t>TABELA DE TAXONOMIA DE VALORES COM RELAÇÃO A FUNÇÃO, CCT E SINAPI</t>
  </si>
  <si>
    <t>DESCRIÇÃO QUANTO À FUNÇÃO</t>
  </si>
  <si>
    <t>CCT UTILIZADA</t>
  </si>
  <si>
    <t>TAXONOMIA NA CCT</t>
  </si>
  <si>
    <t>TAXONOMIA NO SINAPI</t>
  </si>
  <si>
    <t>SUJEITO A INSTRUMENTO COLETIVO PRÓPRIO</t>
  </si>
  <si>
    <t>Engenheiro de Manutenção (Pleno)</t>
  </si>
  <si>
    <t>SINAENCO</t>
  </si>
  <si>
    <t>Engenheiro</t>
  </si>
  <si>
    <t>40813 - Engenheiro Civil de Obra Pleno (Mensalista)</t>
  </si>
  <si>
    <t>Conselho Regional Engenharia e Agronomia (CREA) / Conselho de Arquitetura e Urbanismo (CAU)</t>
  </si>
  <si>
    <t>Líder Técnico</t>
  </si>
  <si>
    <t>Desenhistas, Projetistas e Técnicos, com Formação Técnica</t>
  </si>
  <si>
    <t>40922 - Eletrotecnico (Mensalista)</t>
  </si>
  <si>
    <t>Conselho Federal dos Técnicos Industriais (CFT)</t>
  </si>
  <si>
    <t>Assistente de Engenharia</t>
  </si>
  <si>
    <t>Nível Universitário</t>
  </si>
  <si>
    <t>40931 - Auxiliar Tecnico / Assistente de Engenharia (Mensalista)</t>
  </si>
  <si>
    <t>N/A</t>
  </si>
  <si>
    <t>Técnico em Edificações</t>
  </si>
  <si>
    <t>40946 - Tecnico de Edificacoes (Mensalista)</t>
  </si>
  <si>
    <t>Técnico Eletrotécnico (12x36 diurno) - (EPI Eletricista)</t>
  </si>
  <si>
    <t>Técnico Eletrotécnico (12x36 noturno) - (EPI Eletricista)</t>
  </si>
  <si>
    <t>Oficial Eletricista - (EPI Eletricista)</t>
  </si>
  <si>
    <t>SINDEAC</t>
  </si>
  <si>
    <t>Eletricista de rede de baixa tensão</t>
  </si>
  <si>
    <t>40918 - Eletricista (Mensalista)</t>
  </si>
  <si>
    <t>Ajudante de Eletricista - (EPI Eletricista)</t>
  </si>
  <si>
    <t>Servente</t>
  </si>
  <si>
    <t>41086 - Ajudante De Operação Em Geral</t>
  </si>
  <si>
    <t>Oficial de Manutenção - (EPI Eletricista)</t>
  </si>
  <si>
    <t xml:space="preserve">Oficial de Manutenção </t>
  </si>
  <si>
    <t>Ajudante de Manutenção (meio oficial)</t>
  </si>
  <si>
    <t>Oficial em Telecom / Eletrônica</t>
  </si>
  <si>
    <t xml:space="preserve">Manutenção Técnica - Bombeiro Predial, demais empregados de manutenção e similares </t>
  </si>
  <si>
    <t>Oficial Encanador / Bombeiro</t>
  </si>
  <si>
    <t>40928 - Encanador Ou Bombeiro Hidraulico (Mensalista)</t>
  </si>
  <si>
    <t>Oficial Marceneiro</t>
  </si>
  <si>
    <t>Marceneiro</t>
  </si>
  <si>
    <t>40916 - Marceneiro (Mensalista)</t>
  </si>
  <si>
    <t>Pedreiro</t>
  </si>
  <si>
    <t>41065 - Pedreiro (Mensalista)</t>
  </si>
  <si>
    <t>Serralheiro</t>
  </si>
  <si>
    <t>40910 - Serralheiro (Mensalista)</t>
  </si>
  <si>
    <t>Pintor / Gesseiro</t>
  </si>
  <si>
    <t>Pintor</t>
  </si>
  <si>
    <t>41079 - Pintor (Mensalista)</t>
  </si>
  <si>
    <t>Data-base: SINAPI Dez/2026</t>
  </si>
  <si>
    <t>TABELA DE COMPARATIVO DE VALORES DE CCT E SINAPI E JUSTIFICATIVA DE SELEÇÃO DE VALORES</t>
  </si>
  <si>
    <t>FUNÇÕES</t>
  </si>
  <si>
    <t>TABELA SINAPI</t>
  </si>
  <si>
    <t>SINDEAC / SINAENCO</t>
  </si>
  <si>
    <t>SALÁRIO UTILIZADO</t>
  </si>
  <si>
    <t>REF. SALARIAL</t>
  </si>
  <si>
    <t>JUSTIFICATIVAS</t>
  </si>
  <si>
    <t>SINAPI DEZ/2025</t>
  </si>
  <si>
    <t>Para a escolha dos valores a serem definidos de base para os salários foi dada preferência ao sistema do SINAPI, com o uso da base sem considerar encargos sociais ou complementares, por representar base de dados com ampla aceitação em licitações e representatividade do mercado de Belo Horizonte. Dado que os salários em questão são coletados pelo IBGE na citada cidade. Deste modo, optou pelo uso do SINAPI, a despeito dos valores inferiores de piso salarial, por conterem o risco de não representar a realidade do mercado local. Há que se frisar a necessidade de contratos de manutenção predial necessitam de atratividade para a seleção de bons profissionais, dado que a retenção dos mesmos é vital para o bom desenvolvimento das atividades prestadas pelo órgão.</t>
  </si>
  <si>
    <t>O valor da CCT se refere ao piso da categoria, foi considerado o SINAPI por se tratar de seleção de profissional de nível pleno</t>
  </si>
  <si>
    <t>O valor da CCT se refere ao piso da categoria, foi considerado o SINAPI por se tratar de valor representativo do mercado, de modo a propiciar uma melhor retenção de mão de obra</t>
  </si>
  <si>
    <t>Ajudante de Eletricista - (EPI Eletricista - meio oficial)</t>
  </si>
  <si>
    <t>A CCT do SINDEAC não possui a figura do meio-oficial, somente do servente e do oficial, para este cargo foi considerada a figura de um profissional que possui mais aptidões técnicas e capaz de efetuar um apoio de qualidade ao oficial</t>
  </si>
  <si>
    <t>ANEXO II-1.1 – PLANILHA DE CUSTOS E FORMAÇÃO DE PREÇOS DO LICITANTE – EQUIPE RESIDENTE</t>
  </si>
  <si>
    <t xml:space="preserve"> RESUMO</t>
  </si>
  <si>
    <t>PREÇO MENSAL INTEGRAL</t>
  </si>
  <si>
    <t>VALORES EM R$</t>
  </si>
  <si>
    <t>ELEMENTO DE DESPESA</t>
  </si>
  <si>
    <t>CATEGORIA PROFISSIONAL</t>
  </si>
  <si>
    <t>TOTAL DO FATURAMENTO MENSAL</t>
  </si>
  <si>
    <t>FATURAMENTO OCORRÊNCIAS EXTRAS (DIÁRIAS, ADICIONAL NOTURNO, HORAS EXTRAS)</t>
  </si>
  <si>
    <r>
      <t xml:space="preserve">TOTAL DO FATURAMENTO MENSAL
</t>
    </r>
    <r>
      <rPr>
        <b/>
        <u/>
        <sz val="10"/>
        <rFont val="Calibri"/>
        <family val="2"/>
      </rPr>
      <t>(CUSTO VARIÁVEL - OCORRÊNCIAS EXTRAS)</t>
    </r>
  </si>
  <si>
    <t>TOTAL DO FATURAMENTO POR ELEMENTO DE DESPESA
Custo Mensal  Mão de Obra + Ocorrências Extras</t>
  </si>
  <si>
    <t>CUSTO MENSAL</t>
  </si>
  <si>
    <t>GLOSA VALE-TRANSPORTE</t>
  </si>
  <si>
    <t>GLOSA DE ATRASOS, FALTAS E DESCONTO DO TITULAR EM FÉRIAS (sem material)</t>
  </si>
  <si>
    <t>GLOSA VALE ALIMENTAÇÃO</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</si>
  <si>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</si>
  <si>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</si>
  <si>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</si>
  <si>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</si>
  <si>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</si>
  <si>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</si>
  <si>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Deconto por ausências - Cartão Cesta Básica</t>
  </si>
  <si>
    <t>Total da Glosa de Atrasos, Faltas e Desconto do Titular em Férias sem substituição e desconto de VA</t>
  </si>
  <si>
    <t>Custo Unitário da categoria</t>
  </si>
  <si>
    <t>Custo Mensal da categoria</t>
  </si>
  <si>
    <t>Dias de afastamento</t>
  </si>
  <si>
    <t>Valor da Glosa do vale-transporte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</si>
  <si>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</si>
  <si>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</si>
  <si>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</si>
  <si>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</si>
  <si>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</si>
  <si>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</si>
  <si>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</si>
  <si>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Custo Unitário por categoria</t>
  </si>
  <si>
    <t>Quantidade de Postos por categoria</t>
  </si>
  <si>
    <t>Valor da Glosa por categoria</t>
  </si>
  <si>
    <t xml:space="preserve">TOTAL DO FATURAMENTO MENSAL </t>
  </si>
  <si>
    <t>Valor a ser utilizado para lançamento da proposta / lance final de disputa. Valor Mensal.</t>
  </si>
  <si>
    <t>TOTAL DO FATURAMENTO ANUAL</t>
  </si>
  <si>
    <t>TOTAL RESUMO FATURAMENTO</t>
  </si>
  <si>
    <t>DESCRIÇÃO</t>
  </si>
  <si>
    <t>MENSAL</t>
  </si>
  <si>
    <t>GLOBAL</t>
  </si>
  <si>
    <t>MÃO DE OBRA (MENSAL)</t>
  </si>
  <si>
    <t>ADICIONAL NOTURNO</t>
  </si>
  <si>
    <t>HORA EXTRA COMUM</t>
  </si>
  <si>
    <t>HORA EXTRA EM DOBRO</t>
  </si>
  <si>
    <t>V.A - EXTRAORDINÁRIO</t>
  </si>
  <si>
    <t>V.T - EXTRAORDINÁRIO</t>
  </si>
  <si>
    <t>TOTAL</t>
  </si>
  <si>
    <t>APLICAÇÃO DE IMR - PLANILHA EXTERNA (VALOR DA NOTA FISCAL)</t>
  </si>
  <si>
    <t>TABELA DE SUPRESSÕES DE PAGAMENTO BASEADAS EM IMR
(APLICAÇÃO DE GLOSAS NO FATURAMENTO)</t>
  </si>
  <si>
    <t>FATURAMENTO</t>
  </si>
  <si>
    <t>PONTUAÇÃO DE GRAVIDADE DE OCORRÊNCIAS - CONVERSÃO</t>
  </si>
  <si>
    <t>REFLEXOS DO TOTAL DE OCORRÊNCIAS SOBRE O FATURAMENTO</t>
  </si>
  <si>
    <t xml:space="preserve">MÍNIMO </t>
  </si>
  <si>
    <t>MÁXIMO</t>
  </si>
  <si>
    <t>Sem supressão</t>
  </si>
  <si>
    <t>Sem supressão, com aplicação de advertência à Contratada</t>
  </si>
  <si>
    <t>Sem supressão, com aplicação de notificação à Contratada.</t>
  </si>
  <si>
    <t>Supressão de 1% do valor do faturamento</t>
  </si>
  <si>
    <t>Supressão de 2% do valor do faturamento</t>
  </si>
  <si>
    <t>Supressão de 3% do valor do faturamento</t>
  </si>
  <si>
    <r>
      <t xml:space="preserve">Supressão de 5% do valor do faturamento </t>
    </r>
    <r>
      <rPr>
        <sz val="10"/>
        <color indexed="45"/>
        <rFont val="Times New Roman"/>
        <family val="1"/>
      </rPr>
      <t>+ notificação?</t>
    </r>
  </si>
  <si>
    <t>Supressão de 4% do valor do faturamento</t>
  </si>
  <si>
    <r>
      <t xml:space="preserve">Supressão de 10% do valor do faturamento </t>
    </r>
    <r>
      <rPr>
        <sz val="10"/>
        <color indexed="45"/>
        <rFont val="Times New Roman"/>
        <family val="1"/>
      </rPr>
      <t>+ notificação?</t>
    </r>
  </si>
  <si>
    <t>QUADRO RESUMO - (VALOR DA NOTA FISCAL)</t>
  </si>
  <si>
    <t>TOTAL DE OCORRÊNCIAS COM APLICAÇÃO DA CONVERSÃO / PESO</t>
  </si>
  <si>
    <t>Valor obtido em tabela externa (IMR) à ser preenchida pela fiscalização contratual.</t>
  </si>
  <si>
    <t>PERCENTUAL APLICÁVEL AO FATURAMENTO MENSAL</t>
  </si>
  <si>
    <t>Percentual obtido em tabela externa (IMR) à ser preenchida pela fiscalização contratual.</t>
  </si>
  <si>
    <t>VALOR DO FATURAMENTO - SEM GLOSA</t>
  </si>
  <si>
    <t>VALOR DO FATURAMENTO - COM APLICAÇÃO DE GLOSA</t>
  </si>
  <si>
    <t>VALOR CORRESPONDENTE À NOTA FISCAL MENSAL (FATURAMENTO).</t>
  </si>
  <si>
    <t>PLANILHA DE DADOS</t>
  </si>
  <si>
    <t>BANCO DE DADOS (CCT)</t>
  </si>
  <si>
    <t>SINDICATO</t>
  </si>
  <si>
    <t>CCT REFERÊNCIA</t>
  </si>
  <si>
    <t>Número de registro da CCT - Código TEM</t>
  </si>
  <si>
    <t>Vigência da CCT utilizada</t>
  </si>
  <si>
    <t>Data base da categoria</t>
  </si>
  <si>
    <t>% 
Adicional 
Noturno</t>
  </si>
  <si>
    <t>Seguro de
 vida</t>
  </si>
  <si>
    <t>Plano de Saúde</t>
  </si>
  <si>
    <t>% de participação plano</t>
  </si>
  <si>
    <t>Custo Plano - Precificação</t>
  </si>
  <si>
    <t>Vale Alimentação</t>
  </si>
  <si>
    <t>% de participação V.A</t>
  </si>
  <si>
    <t>Número de 
dias para fornecimento</t>
  </si>
  <si>
    <t>Custo de Vale Alimentação</t>
  </si>
  <si>
    <t>Cesta Básica</t>
  </si>
  <si>
    <t>% de participação Cesta B.</t>
  </si>
  <si>
    <t>Custo de Cesta Básica</t>
  </si>
  <si>
    <t>Café da Manhã</t>
  </si>
  <si>
    <t>Custo de Café da Manhã</t>
  </si>
  <si>
    <t>PAF / PQM</t>
  </si>
  <si>
    <t>Outros (inserir somente com a justificativa legal)</t>
  </si>
  <si>
    <t>CCT referência (1)</t>
  </si>
  <si>
    <t>CCT referência (2)</t>
  </si>
  <si>
    <t>CCT (LICITANTE)</t>
  </si>
  <si>
    <t>OUTRO (1)</t>
  </si>
  <si>
    <t>OUTRO (2)</t>
  </si>
  <si>
    <t>Salário</t>
  </si>
  <si>
    <t>CCT UTILIZADA (SINALIZAR)</t>
  </si>
  <si>
    <t>Valores em R$</t>
  </si>
  <si>
    <t>Elemento Despesa</t>
  </si>
  <si>
    <t>Salário Base I (para 220h/m)
OBS 1</t>
  </si>
  <si>
    <t>Salário Base II
(Conforme Jornada Contratada)
(R$)</t>
  </si>
  <si>
    <t>Adicional de periculosidade</t>
  </si>
  <si>
    <t>Adicional de Insalubridade - 20% do S.M.</t>
  </si>
  <si>
    <t>Adicional de Insalubridade - 40% do S.M.</t>
  </si>
  <si>
    <t>Adicional Noturno (Escala 12x36)</t>
  </si>
  <si>
    <t>Gratificação de especialista – 10% do salário base</t>
  </si>
  <si>
    <t>Gratificação de Supervisão – 20% do salário base</t>
  </si>
  <si>
    <t>Gratificação de Lider (60% do salário base)</t>
  </si>
  <si>
    <t>Remuneração Total sem encargos
(R$)</t>
  </si>
  <si>
    <t>Uniforme
(R$)</t>
  </si>
  <si>
    <t>EPI 
DEMAIS POSTOS</t>
  </si>
  <si>
    <t>EPI
PARA POSTOS COM ELETRICIDADE</t>
  </si>
  <si>
    <t>Em conformidade com o Acordão n. 1207/2024 - PLENÁRIO do Tribunal de Contas da União, somente serão aceitas propostas que adotarem na planilha de custos e formação de preços valor igual ou superior ao orçado pela Administração para a soma dos itens de salário e auxílio-alimentação.</t>
  </si>
  <si>
    <r>
      <rPr>
        <b/>
        <sz val="11"/>
        <rFont val="Calibri"/>
        <family val="2"/>
        <charset val="1"/>
      </rPr>
      <t xml:space="preserve">OBS 1: </t>
    </r>
    <r>
      <rPr>
        <sz val="11"/>
        <rFont val="Calibri"/>
        <family val="2"/>
        <charset val="1"/>
      </rPr>
      <t>Inserir salário proposto, correspondente à jornada de 220h mensais.</t>
    </r>
  </si>
  <si>
    <t>DADOS DA PROPOSTA</t>
  </si>
  <si>
    <t>Data de apresentação da proposta</t>
  </si>
  <si>
    <t>ABERTURA DA PROPOSTA</t>
  </si>
  <si>
    <t>Informar data de abertura do certame / data final para cadastro da proposta comercial.</t>
  </si>
  <si>
    <t>Data base orçamento</t>
  </si>
  <si>
    <t>Informar a data de apresentação da proposta.</t>
  </si>
  <si>
    <t>Salário Mínimo Vigente</t>
  </si>
  <si>
    <t>Informar o salário mínimo nacional vigente.</t>
  </si>
  <si>
    <t>ENCARGOS SOCIAIS E TRABALHISTAS</t>
  </si>
  <si>
    <t xml:space="preserve"> -</t>
  </si>
  <si>
    <t>Percentual de Encargos</t>
  </si>
  <si>
    <t>Desoneração da Folha de Pagamento</t>
  </si>
  <si>
    <t>NÃO</t>
  </si>
  <si>
    <t>Atenção, todas as propostas devem ser efetuadas na base onerada</t>
  </si>
  <si>
    <t>SAT - Seguro Acidentes Trabalho</t>
  </si>
  <si>
    <t>RAT (Atividade Principal)</t>
  </si>
  <si>
    <t>Informar percentual correspondente à atividade preponderante da Licitante.</t>
  </si>
  <si>
    <t>FAP (Conforme FapWeb)</t>
  </si>
  <si>
    <t>Informar Fator extraído do documento FapWeb da Licitante.</t>
  </si>
  <si>
    <t>BENEFÍCIOS</t>
  </si>
  <si>
    <t>Seguro de Vida em Grupo</t>
  </si>
  <si>
    <t>Inserir valor unitário mensal.</t>
  </si>
  <si>
    <t>Transporte</t>
  </si>
  <si>
    <t>Nº de Tarifas por dia (tarifa 1)</t>
  </si>
  <si>
    <t>Inserir a quantidade de tarifas diárias.</t>
  </si>
  <si>
    <t>Valor da tarifa 1</t>
  </si>
  <si>
    <t>Inserir o valor unitário da tarifa 1.</t>
  </si>
  <si>
    <t>Nº de Tarifas por dia (tarifa 2)</t>
  </si>
  <si>
    <t>Valor da tarifa 2</t>
  </si>
  <si>
    <t>Inserir o valor unitário da tarifa 2.</t>
  </si>
  <si>
    <t>Número de dias para fornecimento - jornada 220h</t>
  </si>
  <si>
    <t>Número de dias fixo - Conforme definido noTermo de Referência.</t>
  </si>
  <si>
    <t>Número de dias para fornecimento - Plantonista 12x36</t>
  </si>
  <si>
    <t>Número de dias fixo - Conforme definido no Termo de Referência.</t>
  </si>
  <si>
    <t>Custeio do trabalhador (participação legal)</t>
  </si>
  <si>
    <t>Inserir percentual de participação do trabalhador.</t>
  </si>
  <si>
    <t>Equipamento e Ferramentas</t>
  </si>
  <si>
    <t>Valor preenchido na Aba "Ferramentas"</t>
  </si>
  <si>
    <t>MONTANTE C</t>
  </si>
  <si>
    <t>Despesas Administrativas</t>
  </si>
  <si>
    <t>Informar percentual da Licitante.</t>
  </si>
  <si>
    <t>Lucro</t>
  </si>
  <si>
    <t>MONTANTE D</t>
  </si>
  <si>
    <t>OBS:</t>
  </si>
  <si>
    <t>Opção Tributária</t>
  </si>
  <si>
    <t>Informar a opção tributária aplicável.</t>
  </si>
  <si>
    <t>COFINS</t>
  </si>
  <si>
    <t>Prencher conforme descrição do quadro Montante "D" e opção tributária selecionada na célula "G61"</t>
  </si>
  <si>
    <t>PIS/PASEP</t>
  </si>
  <si>
    <t>Prencher conforme descrição do quadro Montante "D"</t>
  </si>
  <si>
    <t>ISSQN</t>
  </si>
  <si>
    <r>
      <t>Outros (inserir somente com a justificativa legal) -</t>
    </r>
    <r>
      <rPr>
        <b/>
        <sz val="11"/>
        <rFont val="Calibri"/>
        <family val="2"/>
      </rPr>
      <t xml:space="preserve"> não será permitido o uso da CPRB para a elaboração da proposta conforme consta no TR</t>
    </r>
  </si>
  <si>
    <t>Soma dos tributos</t>
  </si>
  <si>
    <t>VALORES A SEREM APLICADOS AO BDI E AO BDI DIFERENCIADO</t>
  </si>
  <si>
    <t>BDI - Administração Central</t>
  </si>
  <si>
    <t>BDI - Seguro + Garantias</t>
  </si>
  <si>
    <t>BDI - Risco</t>
  </si>
  <si>
    <t>BDI - Despesas Financeiras</t>
  </si>
  <si>
    <t>BDI - Lucro Bruto</t>
  </si>
  <si>
    <t>BDI - PIS/PASEP</t>
  </si>
  <si>
    <t>BDI - COFINS</t>
  </si>
  <si>
    <t>BDI - ISSQN (INCLUINDO DEDUÇÃO DE FORNECIMENTO DE MATERIAIS)</t>
  </si>
  <si>
    <r>
      <t xml:space="preserve">BDI - CPRB - </t>
    </r>
    <r>
      <rPr>
        <b/>
        <sz val="11"/>
        <rFont val="Calibri"/>
        <family val="2"/>
      </rPr>
      <t>não será permitido o uso da CPRB para a elaboração da proposta conforme consta no TR</t>
    </r>
  </si>
  <si>
    <t>BDI DIFERENCIADO - Administração Central</t>
  </si>
  <si>
    <t>BDI DIFERENCIADO - Seguro + Garantias</t>
  </si>
  <si>
    <t>BDI DIFERENCIADO - Risco</t>
  </si>
  <si>
    <t>BDI DIFERENCIADO - Despesas Financeiras</t>
  </si>
  <si>
    <t>BDI DIFERENCIADO - Lucro Bruto</t>
  </si>
  <si>
    <t xml:space="preserve">VALOR DO BDI: </t>
  </si>
  <si>
    <t xml:space="preserve">VALOR DO BDI DIFERENCIADO: </t>
  </si>
  <si>
    <t xml:space="preserve">VALOR DO BDI DE EQUIPAMENTOS: </t>
  </si>
  <si>
    <t>DESCONTO A SER APLICADO ÀS ABAS DE INSUMOS, SERVIÇOS EVENTUAIS E NAS PLANILHAS DE REFERÊNCIAS A SEREM UTILIZADAS DE BASE PARA AS ORDENS DE SERVIÇO, COMO SINAPI, SETOP, SICRO</t>
  </si>
  <si>
    <t>PERCENTUAL DE DESCONTO A SER APLICADO NAS ABAS 1.3 E 1.4:</t>
  </si>
  <si>
    <t>Item</t>
  </si>
  <si>
    <t>Descrição</t>
  </si>
  <si>
    <t>Quantidade
Mensal</t>
  </si>
  <si>
    <t>Custo Unitário</t>
  </si>
  <si>
    <t>Percentual para fins de cálculos de adicional de hora extra (comum)</t>
  </si>
  <si>
    <t>Inserir percentual correspondente.</t>
  </si>
  <si>
    <t>Percentual para fins de cálculos de adicional de hora extra feriado (em dobro)</t>
  </si>
  <si>
    <t>QUANTIDADE MENSAL ESTIMADA DE OCORRÊNCIAS EM RELAÇÃO AOS FATOS EXTRAORDINÁRIOS</t>
  </si>
  <si>
    <t>ADC. NOTURNO</t>
  </si>
  <si>
    <t>H.E COMUM</t>
  </si>
  <si>
    <t>H.E DOBRO</t>
  </si>
  <si>
    <t>V.A EXTRAORDINÁRIO</t>
  </si>
  <si>
    <t>V.T EXTRAORDINÁRIO</t>
  </si>
  <si>
    <t>Quantitativos estimados - Não alterar.</t>
  </si>
  <si>
    <t>Seção de Administração Predial - SEADI</t>
  </si>
  <si>
    <t>ENCARGOS</t>
  </si>
  <si>
    <t>Planilha de Encargos Sociais e Trabalhistas</t>
  </si>
  <si>
    <t>ITEM</t>
  </si>
  <si>
    <t>PERCENTUAL</t>
  </si>
  <si>
    <t>Grupo A</t>
  </si>
  <si>
    <t>Encargos Previdenciários, FGTS e Outras Contribuições</t>
  </si>
  <si>
    <t>PREVIDÊNCIA SOCIAL - INSS</t>
  </si>
  <si>
    <t>Todas as propostas serão avaliadas com base na CPP Onerada</t>
  </si>
  <si>
    <t>SESI ou SESC</t>
  </si>
  <si>
    <t>SENAI ou SENAC</t>
  </si>
  <si>
    <t>INCRA</t>
  </si>
  <si>
    <t>Salário Educação</t>
  </si>
  <si>
    <t>FGTS</t>
  </si>
  <si>
    <t>Seguro Acidentes Trabalho - RAT</t>
  </si>
  <si>
    <t>SEBRAE</t>
  </si>
  <si>
    <t>Total Grupo A - Encargos previdenciários, FGTS e Outras Contribuições</t>
  </si>
  <si>
    <t>Grupo B</t>
  </si>
  <si>
    <t>Grupo B.1</t>
  </si>
  <si>
    <t>13º Salário e Adicional de Férias</t>
  </si>
  <si>
    <t>13º Salário</t>
  </si>
  <si>
    <t>Adicional de Férias</t>
  </si>
  <si>
    <t>Subtotal</t>
  </si>
  <si>
    <t>Incidência do Submódulo 4.1 sobre 13º salário e adicional de férias</t>
  </si>
  <si>
    <t>Total Grupo B.1 - 13º salário e adicional de férias</t>
  </si>
  <si>
    <t>Grupo B.2</t>
  </si>
  <si>
    <t>Afastamento Maternidade</t>
  </si>
  <si>
    <t>Licença Maternidade</t>
  </si>
  <si>
    <t>Incidência do submódulo 4.1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</si>
  <si>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</si>
  <si>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</si>
  <si>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</si>
  <si>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</si>
  <si>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</si>
  <si>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</si>
  <si>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</si>
  <si>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submódulo 4.1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</si>
  <si>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</si>
  <si>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</si>
  <si>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</si>
  <si>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</si>
  <si>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 em férias</t>
  </si>
  <si>
    <t>Ausência por doença</t>
  </si>
  <si>
    <t>Licença Paternidade</t>
  </si>
  <si>
    <t>Ausências Legais</t>
  </si>
  <si>
    <t>Ausência por acidente de trabalho</t>
  </si>
  <si>
    <t>Incidência do submódulo 4.1 sobre custo de reposição</t>
  </si>
  <si>
    <t>PERCENTUAIS PARA CONTINGENCIAMENTO DE ENCARGOS TRABALHISTAS A SEREM APLICADOS SOBRE A NOTA FISCAL (UTILIZAÇÃO DURANTE A VIGÊNCIA CONTRATUAL)</t>
  </si>
  <si>
    <t>Total Grupo B.4 - Custo de reposição do profissional ausente</t>
  </si>
  <si>
    <t>Grupo C</t>
  </si>
  <si>
    <t>Outros (especificar)</t>
  </si>
  <si>
    <t>Título</t>
  </si>
  <si>
    <t>VARIAÇÃO RAT AJUSTADO 0,50% A 6%</t>
  </si>
  <si>
    <t>Indenização Adicional</t>
  </si>
  <si>
    <t>EMPRESAS</t>
  </si>
  <si>
    <t>Total Grupo C - Indenização Adicional</t>
  </si>
  <si>
    <t xml:space="preserve">Grupo </t>
  </si>
  <si>
    <t>Mínimo</t>
  </si>
  <si>
    <t>Máximo</t>
  </si>
  <si>
    <t>LICITANTE</t>
  </si>
  <si>
    <t>Quadro Resumo - Encargos Sociais e Trabalhistas</t>
  </si>
  <si>
    <t>SUBMÓDULO E.1 - da IN 02/2008 MPOG:</t>
  </si>
  <si>
    <t>SAT (RATxFAP):</t>
  </si>
  <si>
    <t>13º Salário + Adicional de Férias</t>
  </si>
  <si>
    <t>13º salário</t>
  </si>
  <si>
    <t>Férias</t>
  </si>
  <si>
    <t>Custo de Rescisão</t>
  </si>
  <si>
    <t>1/3 constitucional</t>
  </si>
  <si>
    <t>Custo de Reposição do profissional Ausente</t>
  </si>
  <si>
    <t>Incidência do Grupo A (*)</t>
  </si>
  <si>
    <t>Total dos Encargos Sociais Trabalhistas</t>
  </si>
  <si>
    <t>Multa do FGTS</t>
  </si>
  <si>
    <t>OBSERVAÇÃO:</t>
  </si>
  <si>
    <t>Encargos a contingenciar</t>
  </si>
  <si>
    <t>Não deverá haver alteração nos itens 9(9,09%), 10(3,03%), 13(3,49%) e 16(9,09%) dos percentuais acima, considerando que a Justiça Federal segue as diretrizes da IN 1/2016, de 20 de janeiro de 2016, do CJF.</t>
  </si>
  <si>
    <t>Taxa da conta-corrente vinculada (inciso II art. 2º IN 001/2013</t>
  </si>
  <si>
    <t>Total a contingenciar</t>
  </si>
  <si>
    <t>VALORES UNITÁRIOS DO CONTRATO, CORRIGIDOS PELO REAJUSTE DE IPCA.
(SUBSTITUIR/IGUALAR MANUALMENTE OS PREÇOS UNITÁRIOS DA COLUNA "R" NA PLANILHA DE MATERIAIS - QUANDO HOUVER PLANIHA INICIAL DO CONTRATO)</t>
  </si>
  <si>
    <t>CUSTO ESTIMATIVO DE PREÇO DOS UNIFORMES</t>
  </si>
  <si>
    <t>As especificações dos uniformes constam no Anexo I-J - Uniformes</t>
  </si>
  <si>
    <t>VALOR INICIAL DO CONTRATO
(Informar após o término da licitação)</t>
  </si>
  <si>
    <t>1º REAJUSTE POR IPCA</t>
  </si>
  <si>
    <t>2º REAJUSTE POR IPCA</t>
  </si>
  <si>
    <t>3º REAJUSTE POR IPCA</t>
  </si>
  <si>
    <t>4º REAJUSTE POR IPCA</t>
  </si>
  <si>
    <t>5º REAJUSTE POR IPCA</t>
  </si>
  <si>
    <t>Fórmula SE, para inclusão após o término do processo licitatório. (INSERIR NA CÉLULA "E7" em diante)</t>
  </si>
  <si>
    <t>CATEGORIA</t>
  </si>
  <si>
    <t>UNIFORME</t>
  </si>
  <si>
    <t>QUANT. ANUAL</t>
  </si>
  <si>
    <t>TOTAL DO QUANTITATIVO</t>
  </si>
  <si>
    <t>MÉDIA DE PREÇO</t>
  </si>
  <si>
    <t>Total</t>
  </si>
  <si>
    <t>Engenheiro de Manutenção (Pleno) / Lider Técnico</t>
  </si>
  <si>
    <t>CALÇA – Jeans azul. Confeccionada em tecido algodão poliéster, tipo brim, padrão ou similar.</t>
  </si>
  <si>
    <t>CAMISA  – tipo gola polo com 02 (dois) botões, manga curta, bolso lado esquerdo, na cor branca, com logotipo da empresa.</t>
  </si>
  <si>
    <t>BLAZER/CALÇA – em tecido de micro-fibra, externo e interno poliéster na cor preta, sendo o paletó forrado internamente, inclusive manga em tecido tipo cetim, e calça social com dois bolsos na frente tipo faca e dois bolsos traseiros.</t>
  </si>
  <si>
    <t>CAMISA SOCIAL – em tecido, gola com intertela, na cor branca.</t>
  </si>
  <si>
    <t>GRAVATA – em tecido poliéster, na cor preta</t>
  </si>
  <si>
    <t>CINTO SOCIAL – em couro legítimo cor preta</t>
  </si>
  <si>
    <t>PARES DE SAPATOS – Modelo social, em pelica, cor preta, provida de palmilha acolchoada, com salto em borracha e solado em couro com proteção antiderrapante</t>
  </si>
  <si>
    <t>Soma</t>
  </si>
  <si>
    <t>CÁLCULO VALOR DO REPASSE MENSAL P/ ENGENHEIRO DE MANUTENÇÃO E LÍDER TÉCNICO</t>
  </si>
  <si>
    <t>Técnico Eletrotécnico / Técnico em Edificações / Assistente de Engenharia</t>
  </si>
  <si>
    <t>CAMISA  – tipo gola polo com 02 (dois) botões, manga longa, bolso lado esquerdo, na cor branca, com logotipo da empresa.</t>
  </si>
  <si>
    <t>BONÉ ÁRABE – Com aba longa para proteger contra ação do sol sobre pescoço, cabeça e ombro.</t>
  </si>
  <si>
    <t>CÁLCULO VALOR DO REPASSE MENSAL P/ TÉCNICO EM EDIFICAÇÕES, TÉCNICO ELETROTÉCNICO E ASSISTENTE DE ENGENHERIA</t>
  </si>
  <si>
    <t>OFICIAL DE TELECOM/ELETRÔNICA, OFICIAL ELETRICISTA, AJUDANTE DE ELETRICISTA, OFICAL ENCANADOR/BOMBEIRO HIDRÁULICO, MARCENEIRO, PEDREIRO, SERALHEIRO, OFICIAL DE MANUTENÇÃO, AJUDANTE DE MANUTENÇÃO, PINTOR/GESSEIRO.</t>
  </si>
  <si>
    <t>JALECO LONGO - Confeccionado em tecido algodão poliéster.</t>
  </si>
  <si>
    <t>CAMISA  – tipo gola polo com 02 (dois) botões, manga curta, bolso lado esquerdo, na cor azul (marinho), com logotipo da empresa.</t>
  </si>
  <si>
    <t>CAMISA  – tipo gola polo com 02 (dois) botões, manga longa, bolso lado esquerdo, na cor azul (marinho), com logotipo da empresa.</t>
  </si>
  <si>
    <t xml:space="preserve">CÁLCULO VALOR DO REPASSE MENSAL P/ OFICIAL DE TELECOM/ELETRÔNICA, OFICIAL ELETRICISTA, AJUDANTE DE ELETRICISTAM OFICIAL ENCANADOR/BOMBEIRO, MARCENEIRO, PEDREIRO, SERRALHEIRO, OFICIAL DE MANUTENÇÃO, AJUDANTE DE MANUTENÇÃ, PINTOR/GESSEIRO. </t>
  </si>
  <si>
    <t>FERRAMENTAL</t>
  </si>
  <si>
    <r>
      <rPr>
        <b/>
        <sz val="10"/>
        <color indexed="55"/>
        <rFont val="Aptos"/>
        <family val="2"/>
      </rPr>
      <t>Item</t>
    </r>
    <r>
      <rPr>
        <sz val="10"/>
        <color indexed="55"/>
        <rFont val="Aptos"/>
        <family val="2"/>
      </rPr>
      <t> </t>
    </r>
  </si>
  <si>
    <r>
      <rPr>
        <b/>
        <sz val="10"/>
        <color indexed="55"/>
        <rFont val="Aptos"/>
        <family val="2"/>
      </rPr>
      <t>Descrição</t>
    </r>
    <r>
      <rPr>
        <sz val="10"/>
        <color indexed="55"/>
        <rFont val="Aptos"/>
        <family val="2"/>
      </rPr>
      <t> </t>
    </r>
  </si>
  <si>
    <t>Código</t>
  </si>
  <si>
    <r>
      <rPr>
        <b/>
        <sz val="10"/>
        <color indexed="55"/>
        <rFont val="Aptos"/>
        <family val="2"/>
      </rPr>
      <t>Unidade</t>
    </r>
    <r>
      <rPr>
        <sz val="10"/>
        <color indexed="55"/>
        <rFont val="Aptos"/>
        <family val="2"/>
      </rPr>
      <t> </t>
    </r>
  </si>
  <si>
    <t>Quant.</t>
  </si>
  <si>
    <r>
      <rPr>
        <b/>
        <sz val="10"/>
        <color indexed="55"/>
        <rFont val="Aptos"/>
        <family val="2"/>
      </rPr>
      <t>Valor Unitário</t>
    </r>
    <r>
      <rPr>
        <sz val="10"/>
        <color indexed="55"/>
        <rFont val="Aptos"/>
        <family val="2"/>
      </rPr>
      <t> </t>
    </r>
  </si>
  <si>
    <r>
      <rPr>
        <b/>
        <sz val="10"/>
        <color indexed="55"/>
        <rFont val="Aptos"/>
        <family val="2"/>
      </rPr>
      <t>Total</t>
    </r>
    <r>
      <rPr>
        <sz val="10"/>
        <color indexed="55"/>
        <rFont val="Aptos"/>
        <family val="2"/>
      </rPr>
      <t> </t>
    </r>
  </si>
  <si>
    <r>
      <rPr>
        <b/>
        <sz val="10"/>
        <color indexed="55"/>
        <rFont val="Aptos"/>
        <family val="2"/>
      </rPr>
      <t>IN RFB Nº 1700/2017</t>
    </r>
    <r>
      <rPr>
        <sz val="10"/>
        <color indexed="55"/>
        <rFont val="Aptos"/>
        <family val="2"/>
      </rPr>
      <t> </t>
    </r>
  </si>
  <si>
    <r>
      <rPr>
        <b/>
        <sz val="10"/>
        <color indexed="55"/>
        <rFont val="Aptos"/>
        <family val="2"/>
      </rPr>
      <t>Anexo III Capítulo 82</t>
    </r>
    <r>
      <rPr>
        <sz val="10"/>
        <color indexed="55"/>
        <rFont val="Aptos"/>
        <family val="2"/>
      </rPr>
      <t> </t>
    </r>
  </si>
  <si>
    <r>
      <rPr>
        <b/>
        <sz val="10"/>
        <color indexed="55"/>
        <rFont val="Aptos"/>
        <family val="2"/>
      </rPr>
      <t>Vida útil (anos)</t>
    </r>
    <r>
      <rPr>
        <sz val="10"/>
        <color indexed="55"/>
        <rFont val="Aptos"/>
        <family val="2"/>
      </rPr>
      <t> </t>
    </r>
  </si>
  <si>
    <r>
      <rPr>
        <b/>
        <sz val="10"/>
        <color indexed="55"/>
        <rFont val="Aptos"/>
        <family val="2"/>
      </rPr>
      <t>Taxa Anula de depreciação</t>
    </r>
    <r>
      <rPr>
        <sz val="10"/>
        <color indexed="55"/>
        <rFont val="Aptos"/>
        <family val="2"/>
      </rPr>
      <t> </t>
    </r>
  </si>
  <si>
    <r>
      <rPr>
        <b/>
        <sz val="10"/>
        <color indexed="55"/>
        <rFont val="Aptos"/>
        <family val="2"/>
      </rPr>
      <t>Valor Anual</t>
    </r>
    <r>
      <rPr>
        <sz val="10"/>
        <color indexed="55"/>
        <rFont val="Aptos"/>
        <family val="2"/>
      </rPr>
      <t> </t>
    </r>
  </si>
  <si>
    <t>Alavanca 1" x 1,80m </t>
  </si>
  <si>
    <t>Cotação</t>
  </si>
  <si>
    <t>UN </t>
  </si>
  <si>
    <t>20% </t>
  </si>
  <si>
    <t>Alicate amperimetro digital para 1000A -m </t>
  </si>
  <si>
    <t>Alicate chato com cabo isolado 6" </t>
  </si>
  <si>
    <t>Alicate Coaxial - RG 58/59/62/72 </t>
  </si>
  <si>
    <t>Alicate Crimpar RJ45 Cat5 Cat6 tipo AMP </t>
  </si>
  <si>
    <t>Alicate de anéis de pistão capacidade 50-100 mm.</t>
  </si>
  <si>
    <t>38471</t>
  </si>
  <si>
    <t>Alicate de bico aço cromado cabo isolado p/ 1000 v. </t>
  </si>
  <si>
    <t>Alicate de bico fino com prot. P/1000v 6" </t>
  </si>
  <si>
    <t>Paramétrico</t>
  </si>
  <si>
    <t>Alicate de corte diagonal aço cromado cabo isolado 6" p/ 1000 v </t>
  </si>
  <si>
    <t>Alicate de prensa terminais (mc3, mc4) </t>
  </si>
  <si>
    <t>Alicate de Pressão 12" </t>
  </si>
  <si>
    <t>Alicate de pressão 11" para solda tipo C</t>
  </si>
  <si>
    <t>38467</t>
  </si>
  <si>
    <t>Alicate de pressão 11" para solda tipo U</t>
  </si>
  <si>
    <t>38468</t>
  </si>
  <si>
    <t>Alicate de pressão para solda de chapa 18"</t>
  </si>
  <si>
    <t>38469</t>
  </si>
  <si>
    <t>Alicate desencapador (2,5 a 6mm²) </t>
  </si>
  <si>
    <t>Alicate para crimpar cabo coaxial </t>
  </si>
  <si>
    <t>Alicate prensa terminais com catraca até 6mm² </t>
  </si>
  <si>
    <t>Alicate universal 8” profissional aço cromado cabo isolado. </t>
  </si>
  <si>
    <t>Alicate universal com proteção p/1000v 8" </t>
  </si>
  <si>
    <t>Andaime metálico tipo torre.</t>
  </si>
  <si>
    <t>UN</t>
  </si>
  <si>
    <t>Aparador de grama 1800W ou roçadeira costal.</t>
  </si>
  <si>
    <t>SUDECAP 54.34.02</t>
  </si>
  <si>
    <t>Arco de serra regulável 10 a 12" </t>
  </si>
  <si>
    <t>SINAPI</t>
  </si>
  <si>
    <t>Balde 10L</t>
  </si>
  <si>
    <t>Balancim individual</t>
  </si>
  <si>
    <t>38374</t>
  </si>
  <si>
    <t>Bandeja de pintura</t>
  </si>
  <si>
    <t>38381</t>
  </si>
  <si>
    <t>Bolsa de lona para ferramentas 40 x 30 x 20 cm</t>
  </si>
  <si>
    <t>Bucha de Espuma</t>
  </si>
  <si>
    <t xml:space="preserve">Carrinho de mão </t>
  </si>
  <si>
    <t>02711</t>
  </si>
  <si>
    <t>Carrinho com 2 pneus para transporte geral de carga, com estrutura em perfil ou tubo metalico.</t>
  </si>
  <si>
    <t>14615</t>
  </si>
  <si>
    <t>Carrinho Plataforma em madeira 1500 x 800 mm - cap.: 600kg</t>
  </si>
  <si>
    <t>Cavadeira articulada 180cm </t>
  </si>
  <si>
    <t>Cavalete de ferro</t>
  </si>
  <si>
    <t>Chave de Corrente Cap. 4" </t>
  </si>
  <si>
    <t>Chave de grifo de 24" </t>
  </si>
  <si>
    <t>45246</t>
  </si>
  <si>
    <t>Chave de teste digital com display. </t>
  </si>
  <si>
    <t>Chave fixa 19x22</t>
  </si>
  <si>
    <t>Chave inglesa 6" </t>
  </si>
  <si>
    <t>45252</t>
  </si>
  <si>
    <t>Chave inglesa 8" </t>
  </si>
  <si>
    <t xml:space="preserve">Chave inglesa 10" </t>
  </si>
  <si>
    <t>45248</t>
  </si>
  <si>
    <t xml:space="preserve">Chave inglesa 15" </t>
  </si>
  <si>
    <t>45243</t>
  </si>
  <si>
    <t>Colher para pedreiro nº 9</t>
  </si>
  <si>
    <t>45234</t>
  </si>
  <si>
    <t>Compressor de ar profissional 10 pés - 110L</t>
  </si>
  <si>
    <t>Cone de sinalização</t>
  </si>
  <si>
    <t>13244</t>
  </si>
  <si>
    <t>Corda de bombeiro 12 mm em nylon</t>
  </si>
  <si>
    <t>38200</t>
  </si>
  <si>
    <t>Corta tubos comprimento de 6-42mm </t>
  </si>
  <si>
    <t>45244</t>
  </si>
  <si>
    <t>Desempenadeira de Aço Inox 12x30cm </t>
  </si>
  <si>
    <t>38369</t>
  </si>
  <si>
    <t>Desempenadeira plástica lisa 14x27cm </t>
  </si>
  <si>
    <t>38372</t>
  </si>
  <si>
    <t>Desenpenadeira para Lixa</t>
  </si>
  <si>
    <t>45199</t>
  </si>
  <si>
    <t>Detector de tensão</t>
  </si>
  <si>
    <t>Enxada larga 2.5 com cabo de madeira com 145cm </t>
  </si>
  <si>
    <t>38403</t>
  </si>
  <si>
    <t>Escada dupla de abrir em alumínio 8 degraus </t>
  </si>
  <si>
    <t>38476</t>
  </si>
  <si>
    <t>Escada extensível de alumínio, altura fechada 3,60m, altura estendida de 6,0 a 6,30m, dobrável, degraus antiderrapantes. </t>
  </si>
  <si>
    <t>38477</t>
  </si>
  <si>
    <t>Escoda de aço com cabo.</t>
  </si>
  <si>
    <t>00012</t>
  </si>
  <si>
    <t>Esmeril Bancada 360W 6" 1/2cv </t>
  </si>
  <si>
    <t>Esmerilhadeira angular elétrica, diametro do disco 7" (180mm), rotação 8500 RPM, potência 2400W.</t>
  </si>
  <si>
    <t>11359</t>
  </si>
  <si>
    <t>Esmerilhadeira Industrial 9" 6500 RPM </t>
  </si>
  <si>
    <t>Espátula Plástica 150x80mm </t>
  </si>
  <si>
    <t>38368</t>
  </si>
  <si>
    <t>Espátulas em Inox cabo de madeira 10 cm </t>
  </si>
  <si>
    <t>38367</t>
  </si>
  <si>
    <t>Espátulas em Inox cabo de madeira 12cm </t>
  </si>
  <si>
    <t>Esquadro aço carbono 30 cm </t>
  </si>
  <si>
    <t>38380</t>
  </si>
  <si>
    <t>Esquadro para solda de alumínio 65mm</t>
  </si>
  <si>
    <t>Estilete Emborrachado Profissional 18mm </t>
  </si>
  <si>
    <t>38384</t>
  </si>
  <si>
    <t>Estopa</t>
  </si>
  <si>
    <t>00013</t>
  </si>
  <si>
    <t>Extensor de cabo de rolo 2m</t>
  </si>
  <si>
    <t>38392</t>
  </si>
  <si>
    <t>Ferramenta de Inserção Patch Panel (alicate Puch Down)</t>
  </si>
  <si>
    <t>Ferro de solda 100 W 2 </t>
  </si>
  <si>
    <t>Ferro de solda 60W </t>
  </si>
  <si>
    <t>Flangeadores Capacidade de 1/8 à 3/4 </t>
  </si>
  <si>
    <t>Fita crepe rolo de *25*mm x 50m</t>
  </si>
  <si>
    <t>12815</t>
  </si>
  <si>
    <t>Forcado para cascalho, 10 dentes, cabo de madeira 71cm </t>
  </si>
  <si>
    <t>Formão chanfrado 1"</t>
  </si>
  <si>
    <t>45256</t>
  </si>
  <si>
    <t>Fita zebrada 70mm 200m</t>
  </si>
  <si>
    <t>SETOP</t>
  </si>
  <si>
    <t>Furadeira impacto a Bateria 20V com carregador Ref.: Dewalt </t>
  </si>
  <si>
    <t>Furadeira impacto a cabo 750w variável e reversível </t>
  </si>
  <si>
    <t>Grampo de aperto rápido 18"</t>
  </si>
  <si>
    <t>45242</t>
  </si>
  <si>
    <t>Identificador de Cabo Ref.: MTC-183 Minipa </t>
  </si>
  <si>
    <t>Inversor de Solda monofásico 160 A, Potência de 4500W</t>
  </si>
  <si>
    <t>38412</t>
  </si>
  <si>
    <t>Jogo de Chave allen estrela ou hexagonal</t>
  </si>
  <si>
    <t>45198</t>
  </si>
  <si>
    <t>Jogo de Chave canhão de 6 a 22 mm cano longo </t>
  </si>
  <si>
    <t>Jogo Bits para parafusadeira 25pçs Ref.: Bosch </t>
  </si>
  <si>
    <t>Jogo chave cotoco fenda 3.16" x 1.1/2" e 1.4" x 1.1/2" e phillips: 3.16" x 1.1/2" e 1/4" x 1.1/2" </t>
  </si>
  <si>
    <t>Jogo chave de estria de 1/4 a 1.1/4" </t>
  </si>
  <si>
    <t>Jogo chave Grifo completo 08-10-12-14-18" </t>
  </si>
  <si>
    <t>Jogo série de brocas integrais S12</t>
  </si>
  <si>
    <t>MATRO-1847</t>
  </si>
  <si>
    <t xml:space="preserve">UN </t>
  </si>
  <si>
    <t>Jogo de brocas aço rápido 1 a 13mm </t>
  </si>
  <si>
    <t>Jogo de brocas chata para madeira 6 peças de 3/8-1/2-5/8-3/4-7/8-1" </t>
  </si>
  <si>
    <t>Jogo de brocas para concreto 3 a 10mm </t>
  </si>
  <si>
    <t>Jogo de brocas para madeira 3 a 10mm </t>
  </si>
  <si>
    <t>Jogo de calibres de folgas de 0.05 - 1.00 mm 20 lâminas </t>
  </si>
  <si>
    <t>Jogo de chave Boca completo 1/4" a 1.1/4" </t>
  </si>
  <si>
    <t>Jogo de Chave combinada 6 a 22mm </t>
  </si>
  <si>
    <t>Jogo de Chave TORX com 12 Peças </t>
  </si>
  <si>
    <t>Jogo de lima bastarda 8" </t>
  </si>
  <si>
    <t>Jogo de saca pino paralelo 6 peças </t>
  </si>
  <si>
    <t>Jogo de serra copo</t>
  </si>
  <si>
    <t>Jogo de Tarracha de 1/2" à 2" 6 peças </t>
  </si>
  <si>
    <t>Jogo de trinchas cerda mista com 6 unidades - 1/2"-3/4"-1"-2"-2.1/2-3" </t>
  </si>
  <si>
    <t>Jogo de vazador completo 12 peças Ref.: Rocast </t>
  </si>
  <si>
    <t>Jogo formão 4 peças aço cromo de 1/4-1/2-23/22-15/16" </t>
  </si>
  <si>
    <t>Jogo soquete e Chave catraca (jogo completo) </t>
  </si>
  <si>
    <t>Kit Chave de Fenda e Phillips</t>
  </si>
  <si>
    <t>Kit para compressor de ar com 5 peças</t>
  </si>
  <si>
    <t>38394</t>
  </si>
  <si>
    <t>Kit saca polias, 3 garras, 100-150-200-250mm </t>
  </si>
  <si>
    <t>Lanternas tática LED </t>
  </si>
  <si>
    <t>Lima quadrada 8"</t>
  </si>
  <si>
    <t>45254</t>
  </si>
  <si>
    <t>Lima redonda 12" cabo emborrachado </t>
  </si>
  <si>
    <t>45253</t>
  </si>
  <si>
    <t>Linha de Pedreiro 100m</t>
  </si>
  <si>
    <t>38382</t>
  </si>
  <si>
    <t>Lixadeira angular 7" </t>
  </si>
  <si>
    <t>38413</t>
  </si>
  <si>
    <t>Lona plástica preta - 4 x 100m - 12kg</t>
  </si>
  <si>
    <t>3777</t>
  </si>
  <si>
    <t>Maçarico para Impermeabilização </t>
  </si>
  <si>
    <t>38473</t>
  </si>
  <si>
    <t>Mangueira de Nível - 20m</t>
  </si>
  <si>
    <t>37457</t>
  </si>
  <si>
    <t>Marreta 1/2 Kg</t>
  </si>
  <si>
    <t>45240</t>
  </si>
  <si>
    <t>Marreta de 3Kg cabo de madeira </t>
  </si>
  <si>
    <t>Marreta de 5Kg cabo de madeira </t>
  </si>
  <si>
    <t>Marreta de borracha 450g cabo de madeira </t>
  </si>
  <si>
    <t>45228</t>
  </si>
  <si>
    <t>Marreta de borracha 800g cabo de madeira </t>
  </si>
  <si>
    <t>Martelo bola 200g </t>
  </si>
  <si>
    <t>Martelo de unha 18mm </t>
  </si>
  <si>
    <t>45241</t>
  </si>
  <si>
    <t>Martelo de unha 25mm </t>
  </si>
  <si>
    <t>Martelo picador de solda com cabo de madeira</t>
  </si>
  <si>
    <t>38463</t>
  </si>
  <si>
    <t>Martelete eletrico, com potência de 2000W, peso de 30kg</t>
  </si>
  <si>
    <t>40703</t>
  </si>
  <si>
    <t>Misturador de tinta 100 mm x 60cm</t>
  </si>
  <si>
    <t>38385</t>
  </si>
  <si>
    <t>Morsa/torno de bancada 6" </t>
  </si>
  <si>
    <t>45249</t>
  </si>
  <si>
    <t>Multímetro digital com teste de continuidade </t>
  </si>
  <si>
    <t>Nível bolha de mão em alumínio 35cm </t>
  </si>
  <si>
    <t>45201</t>
  </si>
  <si>
    <t>Pá de bico com cabo de madeira 120cm </t>
  </si>
  <si>
    <t>Pá de bico pequena com cabo de madeira 45cm </t>
  </si>
  <si>
    <t>Pá quadrada com cabo de madeira em Y - 71cm</t>
  </si>
  <si>
    <t>Paquímetro 150mm DIGITAL </t>
  </si>
  <si>
    <t>Pé de Cabra aço forjado 36"x19mm </t>
  </si>
  <si>
    <t>Peneira areia, 55cm aro redondo em madeira </t>
  </si>
  <si>
    <t>Pente em alumínio para aletas e serpentinas </t>
  </si>
  <si>
    <t>Picareta estreita com cabo de madeira 90cm </t>
  </si>
  <si>
    <t>Pincel chato 1" cerdas sintéticas pretas</t>
  </si>
  <si>
    <t>Pistola para pintura alta pressão </t>
  </si>
  <si>
    <t>Ponteiro aço liso 3/4" x 10" com protetor.</t>
  </si>
  <si>
    <t>Ponteiro para martelo romperdor, diametro = *28*mm, comprimento = *520 mm, encaixe sextavado.</t>
  </si>
  <si>
    <t>44496</t>
  </si>
  <si>
    <t>Prumo de parede em aço com cordão de nylon e taco.</t>
  </si>
  <si>
    <t>38376</t>
  </si>
  <si>
    <t>Prumo de centro em aço com cordão em nylon e calço guia.</t>
  </si>
  <si>
    <t>38377</t>
  </si>
  <si>
    <t>Rádio comunicador alcance de até 56 km, 22 canais </t>
  </si>
  <si>
    <t>Rebitador </t>
  </si>
  <si>
    <t>Rebitador tipo alavanca </t>
  </si>
  <si>
    <t>Régua de alumínio para pedreiro 2m </t>
  </si>
  <si>
    <t>38379</t>
  </si>
  <si>
    <t>Riscador de formica cabo de madeira </t>
  </si>
  <si>
    <t>Rolo de lã de carneiro 23cm com cabo.</t>
  </si>
  <si>
    <t>38390</t>
  </si>
  <si>
    <t>Rolo de espuma poliéster 15cm com cabo.</t>
  </si>
  <si>
    <t>38393</t>
  </si>
  <si>
    <t>Selador horizontal para fita de aço 1"</t>
  </si>
  <si>
    <t>38396</t>
  </si>
  <si>
    <t>Serrote profissional 18" cabo em madeira </t>
  </si>
  <si>
    <t>45255</t>
  </si>
  <si>
    <t>Sugador de solda </t>
  </si>
  <si>
    <t>Talhadeira aço chato 10"</t>
  </si>
  <si>
    <t>Talhadeira 12" com protetor </t>
  </si>
  <si>
    <t>Talhadeira com punho de proteção 22 x 225 mm</t>
  </si>
  <si>
    <t>38465</t>
  </si>
  <si>
    <t>Tesoura Aviação Reta 10" </t>
  </si>
  <si>
    <t>Tesoura de poda para jardim </t>
  </si>
  <si>
    <t>Tesourão de poda extensível 46,5 a 78cm </t>
  </si>
  <si>
    <t>Thinner / Aguarrás (5L)</t>
  </si>
  <si>
    <t>Trena 5m </t>
  </si>
  <si>
    <t>Trena de 8m </t>
  </si>
  <si>
    <t>Trena de 10m </t>
  </si>
  <si>
    <t>Trena longa aberta 50 metros x 10mm </t>
  </si>
  <si>
    <t>Trincha cerdas gris. 1.1/2" (38mm)</t>
  </si>
  <si>
    <t>38386</t>
  </si>
  <si>
    <t>Trincha 2" cerdas sintéticas pretas</t>
  </si>
  <si>
    <t>Ventosa dupla 100kg </t>
  </si>
  <si>
    <r>
      <rPr>
        <b/>
        <sz val="10"/>
        <color indexed="55"/>
        <rFont val="Aptos"/>
        <family val="2"/>
      </rPr>
      <t>VALOR TOTAL</t>
    </r>
    <r>
      <rPr>
        <sz val="10"/>
        <color indexed="55"/>
        <rFont val="Aptos"/>
        <family val="2"/>
      </rPr>
      <t> </t>
    </r>
  </si>
  <si>
    <t> </t>
  </si>
  <si>
    <t>NRO. DE PESSOAS:</t>
  </si>
  <si>
    <t>VALOR MENSAL POR PESSOA POR ANO:</t>
  </si>
  <si>
    <t>VALOR MENSAL POR PESSOA POR MÊS:</t>
  </si>
  <si>
    <t>Qde. ANUAL</t>
  </si>
  <si>
    <t xml:space="preserve">Preço unitário </t>
  </si>
  <si>
    <t>PAR DE BOTINA - Calçado de segurança, confeccionado em couro vacum curtido ao cromo, no modelo em elástico, com palmilha de montagem em couro no sistema strobel, solado poliuretano monodensidade e bidensidade injetado diretamente no cabedal e baqueado. Referência: Botina de segurança Dynatus ou similar.</t>
  </si>
  <si>
    <t>Protetor respiratório contra poeiras , névos e fumos  PFF3</t>
  </si>
  <si>
    <t>Protetor  auricular tipo concha</t>
  </si>
  <si>
    <t>Oculos de Proteção lente incolor</t>
  </si>
  <si>
    <t xml:space="preserve">Luva de malha 4 fios pigmentada </t>
  </si>
  <si>
    <t xml:space="preserve">Capacete com carneira e jugular e catraca </t>
  </si>
  <si>
    <t>PAR DE BOTINA NR-10 - Par de calçado de segurança para eletricista. Marca de referência: Fujiwara, Marluvas ou equivalente</t>
  </si>
  <si>
    <t>Protetor respiratório contra poeiras , névoas e fumos  PFF3</t>
  </si>
  <si>
    <t>Par de luvas de cobertura em vaqueta, para proteger a luva de segurança de baixa tensão. Marca de referência: SIG, Orion ou equivalente</t>
  </si>
  <si>
    <t>Par de luvas de segurança para baixa tensão, 500V e pico 2500V, classe 00</t>
  </si>
  <si>
    <t>Par de luvas para proteção tricotada em nylon, recoberta na palma em poliuretano, punho em elástico. Marca de referência: Danny flex DA-12.200C ou equivalente</t>
  </si>
  <si>
    <t>Luva Isolante Classe 0 CA: 39045</t>
  </si>
  <si>
    <t>Protetor Facial Contra Arco Elétrico</t>
  </si>
  <si>
    <t>Cinto de Segurança + Talabarte</t>
  </si>
  <si>
    <t>Manga Isolante de Borracha Classe 0</t>
  </si>
  <si>
    <t>Capacete de Segurança Classe B</t>
  </si>
  <si>
    <t>Par de luvas de látex, espessura mínima 0,62mm. Marca de referência Mucambo, Promat ou equivalente</t>
  </si>
  <si>
    <t>Par de luvas de PVC cano longo, 60cm, áspera. Marca de referência Indacol, Promat ou equivalente</t>
  </si>
  <si>
    <t xml:space="preserve">Protetor facial em policarbonato incolor de 24cm de largura por 40cm de altura. </t>
  </si>
  <si>
    <t>Macacão com botas e luvas acopladas para saneamento CA tipo 06</t>
  </si>
  <si>
    <t>Par de luvas em neoprene com 3 dedos vazados. Marca de referência: Irwin ou equivalente</t>
  </si>
  <si>
    <t>Máscara com carvão ativado. Marca de referência 3M modelo 8713 ou equivalente</t>
  </si>
  <si>
    <t>Protetor auricular de inserção, tipo plug, em silicone, com atenuação de no mínimo 18 (dezoito) decibéis</t>
  </si>
  <si>
    <t>Respirador semi facial para 01 filtro</t>
  </si>
  <si>
    <t>Máscara de Solda com escurecimento automático e regulagem</t>
  </si>
  <si>
    <t>EQUIPAMENTO DE PROTEÇÃO INDIVIDUAL</t>
  </si>
  <si>
    <t>EPI – Engenheiro de Manutenção (Pleno)</t>
  </si>
  <si>
    <t>Valor total por item/ano</t>
  </si>
  <si>
    <t>Valor anual do custo de EPIs por empregado nos demais postos</t>
  </si>
  <si>
    <t>Quantitativo de empregados nos demais postos</t>
  </si>
  <si>
    <t>Valor total anual do custo de EPIs</t>
  </si>
  <si>
    <t>Valor mensal do Custo de EPIs</t>
  </si>
  <si>
    <t>Valor custo unitário mensal - por funcionário</t>
  </si>
  <si>
    <t>EPI – Líder Técnico</t>
  </si>
  <si>
    <t>EPI – Assistente de Engenharia</t>
  </si>
  <si>
    <t>EPI – Técnico em Edificações</t>
  </si>
  <si>
    <t>EPI - Técnico Eletrotécnico (12x36 diurno) - (EPI Eletricista)</t>
  </si>
  <si>
    <t>Valor anual do custo de EPIs por empregado de eletricidade</t>
  </si>
  <si>
    <t>Quantitativo de empregados nos postos de eletricidade</t>
  </si>
  <si>
    <t>EPI - Técnico Eletrotécnico (12x36 noturno) - (EPI Eletricista)</t>
  </si>
  <si>
    <t>EPI - Oficial Eletricista - (EPI Eletricista)</t>
  </si>
  <si>
    <t>EPI - Ajudante de Eletricista - (EPI Eletricista)</t>
  </si>
  <si>
    <t>EPI - Oficial de Manutenção - (EPI Eletricista)</t>
  </si>
  <si>
    <t>EPI – Ajudante de Manutenção (meio oficial)</t>
  </si>
  <si>
    <t>EPI – Oficial em Telecom / Eletrônica</t>
  </si>
  <si>
    <t>EPI – Oficial Encanador / Bombeiro</t>
  </si>
  <si>
    <t>Par de botas de PVC pretas, cano médio, sem forro</t>
  </si>
  <si>
    <t>EPI – Oficial Marceneiro</t>
  </si>
  <si>
    <t>EPI – Pedreiro</t>
  </si>
  <si>
    <t>EPI – Serralheiro</t>
  </si>
  <si>
    <t>EPI – Pintor / Gesseiro</t>
  </si>
  <si>
    <t>ANEXO II-1.2 – PLANILHA DE CUSTOS E FORMAÇÃO DE PREÇOS DO LICITANTE – APOIO OPERACIONAL E LOGÍSTICO</t>
  </si>
  <si>
    <t>RESUMO</t>
  </si>
  <si>
    <t>Objeto:</t>
  </si>
  <si>
    <t>QUADRO DE RESUMO DA CONTRATAÇÃO</t>
  </si>
  <si>
    <t>%</t>
  </si>
  <si>
    <t>PREÇO FINAL
24 MESES</t>
  </si>
  <si>
    <t>DESCRIÇÃO GERAL</t>
  </si>
  <si>
    <t>APOIO OPERACIONAL E LOGÍSTICO – POSTOS DE TRABALHO</t>
  </si>
  <si>
    <r>
      <rPr>
        <sz val="11"/>
        <color indexed="55"/>
        <rFont val="Calibri"/>
        <family val="2"/>
      </rPr>
      <t xml:space="preserve">Consiste em </t>
    </r>
    <r>
      <rPr>
        <b/>
        <sz val="11"/>
        <color indexed="55"/>
        <rFont val="Calibri"/>
        <family val="2"/>
      </rPr>
      <t>outros custos de direto</t>
    </r>
    <r>
      <rPr>
        <sz val="11"/>
        <color indexed="55"/>
        <rFont val="Calibri"/>
        <family val="2"/>
      </rPr>
      <t xml:space="preserve"> do contrato relacionados aos insumos para elaboração dos relatórios, projetos, materiais/equipamentos de escritório e ART's.  </t>
    </r>
  </si>
  <si>
    <t>ESCOPO 100%</t>
  </si>
  <si>
    <t>( 24 meses)</t>
  </si>
  <si>
    <t>PLANILHA ORÇAMENTÁRIA</t>
  </si>
  <si>
    <t>DATA BASE: DATA DE APRESENTAÇÃO DA PROPOSTA</t>
  </si>
  <si>
    <t>OBJETO:</t>
  </si>
  <si>
    <t>PRAZO (mês)</t>
  </si>
  <si>
    <t>Contratação de empresa especializada em Engenharia para prestação de serviços contínuos de manutenção predial preventiva, corretiva e preditiva, incluindo pequenas adaptações e reformas, por meio de postos de trabalhos, com fornecimento de ferramentas, insumos, peças, equipamentos, EPIs e materiais de reposição, assim como para realização de serviços eventuais, nos sistemas, equipamentos e instalações prediais nos imóveis ocupados pelo Tribunal Regional Federal da 6ª Região e pela Seção Judiciária de Primeiro Grau situados em Belo Horizonte/MG.</t>
  </si>
  <si>
    <t>DESCRIÇÃO DO SERVIÇO</t>
  </si>
  <si>
    <t>CÓDIGO</t>
  </si>
  <si>
    <t>REFERÊNCIA</t>
  </si>
  <si>
    <t>UNIDADE</t>
  </si>
  <si>
    <t>QUANTIDADE</t>
  </si>
  <si>
    <t>CUSTO UNITÁRIO
(R$)</t>
  </si>
  <si>
    <t>PREÇO UNITÁRIO (R$)</t>
  </si>
  <si>
    <t>PREÇO TOTAL (R$)
ANUAL</t>
  </si>
  <si>
    <t>PREÇO TOTAL (R$)
24 MESES</t>
  </si>
  <si>
    <t>1.2.1</t>
  </si>
  <si>
    <t>Veículo de apoio operacional.</t>
  </si>
  <si>
    <t>CPU-01</t>
  </si>
  <si>
    <t>mes</t>
  </si>
  <si>
    <t>1.2.2</t>
  </si>
  <si>
    <t>Impressões e serviços gráficos</t>
  </si>
  <si>
    <t>CPU-02</t>
  </si>
  <si>
    <t>SUDECAP</t>
  </si>
  <si>
    <t>1.2.3</t>
  </si>
  <si>
    <t>Computador com softwares para manutenção predial.</t>
  </si>
  <si>
    <t>CPU-03</t>
  </si>
  <si>
    <t>ORSE</t>
  </si>
  <si>
    <t>1.2.4</t>
  </si>
  <si>
    <t>Telefonia móvel e internet.</t>
  </si>
  <si>
    <t>CPU-04</t>
  </si>
  <si>
    <t>1.2.5</t>
  </si>
  <si>
    <t>Materiais de consumo de escritório (canetas, réguas, grampeadores, papel, etc.)</t>
  </si>
  <si>
    <t>CPU-05</t>
  </si>
  <si>
    <t>1.2.6</t>
  </si>
  <si>
    <t>ART por valor do Contrato / Obra / Serviço acima de R$15.000,00</t>
  </si>
  <si>
    <t>CPU-06</t>
  </si>
  <si>
    <t>CREA-MG</t>
  </si>
  <si>
    <t>1.2.7</t>
  </si>
  <si>
    <t>Estrutura/instalações de apoio - fornecimento, mobilização e instalação de container de trabalho de uso diverso, vestiário, sanitário, escritório, refeitório</t>
  </si>
  <si>
    <t>CPU-07</t>
  </si>
  <si>
    <t>1.2.8</t>
  </si>
  <si>
    <t>Equipamentos e mobiliário</t>
  </si>
  <si>
    <t>CPU-08</t>
  </si>
  <si>
    <t>COTAÇÃO</t>
  </si>
  <si>
    <t>mês</t>
  </si>
  <si>
    <t xml:space="preserve">TOTAIS ITEM 1.2 = </t>
  </si>
  <si>
    <t>VALOR TOTAL 24 MESES</t>
  </si>
  <si>
    <t>- O licitante deverá preencher somente as células preenchidas em amarelo conforme o seguinte padrão:</t>
  </si>
  <si>
    <t>DISTÂNCIA DE DESLOCAMENTOS ENTRE EDIFICAÇÕES</t>
  </si>
  <si>
    <t>INVENTÁRIO DAS EDIFICAÇÕES - TRF6 E UNIDADES DO INTERIOR</t>
  </si>
  <si>
    <t>CARACTERÍSTICAS</t>
  </si>
  <si>
    <t>LOCALIDADE</t>
  </si>
  <si>
    <t>ENDEREÇO</t>
  </si>
  <si>
    <t>ÁREA Construída (m2)</t>
  </si>
  <si>
    <t>Nº Pav.</t>
  </si>
  <si>
    <t>Imóveis situados na RMBH:</t>
  </si>
  <si>
    <t>Belo Horizonte - Sede I - Edifício Antônio Fernando Pinheiro</t>
  </si>
  <si>
    <t>Av. Álvares Cabral nº 1805 bairro Santo Agostinho</t>
  </si>
  <si>
    <t>Belo Horizonte - Sede II - Edifício Euclydes Reis Aguiar</t>
  </si>
  <si>
    <t>Av. Álvares Cabral nº 1741 bairro Santo Agostinho</t>
  </si>
  <si>
    <t>Belo Horizonte - Sede III - Oscar Dias Corrêa</t>
  </si>
  <si>
    <t>Rua Santos Barreto nº 161 bairro Santo Agostinho</t>
  </si>
  <si>
    <t>Belo Horizonte - Casa de Conciliação</t>
  </si>
  <si>
    <t>Rua Santos Barreto nº 181 bairro Santo Agostinho</t>
  </si>
  <si>
    <t>1.5</t>
  </si>
  <si>
    <t>Belo Horizonte - Central de Perícias Médicas</t>
  </si>
  <si>
    <t>Rua Estácio de Sá nº 30 bairro Gutierrez</t>
  </si>
  <si>
    <t>1.6</t>
  </si>
  <si>
    <t>Belo Horizonte - Galpão de Arquivos - Camargos</t>
  </si>
  <si>
    <t>Rua José Américo de Almeida nº 88 bairro Camargos</t>
  </si>
  <si>
    <t>Imóvel alugado</t>
  </si>
  <si>
    <t>1.7</t>
  </si>
  <si>
    <t>Belo Horizonte - Galpão de Arquivos - Carijós</t>
  </si>
  <si>
    <t>Rua Carijós nº 126 bairro Centro</t>
  </si>
  <si>
    <t xml:space="preserve">Média = </t>
  </si>
  <si>
    <t>referência: 05/2024</t>
  </si>
  <si>
    <t>* Conforme 2.1- Operacional - Planilha_de_imoveis_cadastrados_no_SPIUnet_atualizada_em_agosto_de_2020</t>
  </si>
  <si>
    <t>* Conforme planiha: ÁREAS SUBSEÇÕES + ENDEREÇO + ALUGUEL 2018</t>
  </si>
  <si>
    <t>COMPOSIÇÕES DE CUSTO UNITÁRIO</t>
  </si>
  <si>
    <t>Tabel de Preços do Mês:</t>
  </si>
  <si>
    <t>CODIGO</t>
  </si>
  <si>
    <t>MÊS</t>
  </si>
  <si>
    <t>A – EQUIPAMENTO</t>
  </si>
  <si>
    <t>UND.</t>
  </si>
  <si>
    <t>QTDE</t>
  </si>
  <si>
    <t>UNITÁRIO</t>
  </si>
  <si>
    <t>CO-28365</t>
  </si>
  <si>
    <t>VEÍCULO TIPO PICAPE LEVE, COM CAPACIDADE PARA CINCO (5) LUGARES, OBEDECIDOS OS SEGUINTES REQUISITOS MÍNIMO: TER NO MÁXIMO UM (1) ANO DE USO, ATÉ 20.000KM RODADOS, POTÊNCIA MÍNIMA DE 100CV, DIREÇÃO ASSISTIDA, AR CONDICIONADO, DESEMBAÇADOR DE VIDROS, RÁDIO AM/FM, EMPLACADO, COM SEGURO TOTAL, INCLUSIVE MANUTENÇÃO E COMBUSTÍVEL.</t>
  </si>
  <si>
    <t xml:space="preserve">Total (A) = </t>
  </si>
  <si>
    <t>B - MAO DE OBRA</t>
  </si>
  <si>
    <t xml:space="preserve">Total (B) = </t>
  </si>
  <si>
    <t>C - MATERIAIS</t>
  </si>
  <si>
    <t xml:space="preserve">Total (C) = </t>
  </si>
  <si>
    <t>TOTAL =</t>
  </si>
  <si>
    <t>Observação:</t>
  </si>
  <si>
    <t>Foi utilizado como referência composição SETOP.</t>
  </si>
  <si>
    <t xml:space="preserve"> </t>
  </si>
  <si>
    <t>83.25.54</t>
  </si>
  <si>
    <t>IMPRESSORA MULTIFUNCIONAL A3</t>
  </si>
  <si>
    <t>UN.</t>
  </si>
  <si>
    <t>94.07.01</t>
  </si>
  <si>
    <t>XEROX  PRETO/BRANCO - FORMATO A4</t>
  </si>
  <si>
    <t>94.07.02</t>
  </si>
  <si>
    <t>XEROX PRETO/BRANCO - FORMATO A3</t>
  </si>
  <si>
    <t>94.11.01</t>
  </si>
  <si>
    <t>ENCADERNACAO A4 ACETATO, PVC/CROMICOTE, C/ESPIRAL</t>
  </si>
  <si>
    <t>94.12.02</t>
  </si>
  <si>
    <t>PLOTAGEM SULFITE - FORMATO A3</t>
  </si>
  <si>
    <t>94.12.03</t>
  </si>
  <si>
    <t>PLOTAGEM SULFITE - FORMATO A2</t>
  </si>
  <si>
    <t>94.12.04</t>
  </si>
  <si>
    <t>PLOTAGEM SULFITE - FORMATO A1</t>
  </si>
  <si>
    <t>94.12.05</t>
  </si>
  <si>
    <t>PLOTAGEM SULFITE - FORMATO A0</t>
  </si>
  <si>
    <t>94.15.01</t>
  </si>
  <si>
    <t>PLOTAGEM COLORIDA SULFITE FORMATO A4</t>
  </si>
  <si>
    <t>94.15.02</t>
  </si>
  <si>
    <t>PLOTAGEM COLORIDA SULFITE FORMATO A3</t>
  </si>
  <si>
    <t>94.15.03</t>
  </si>
  <si>
    <t>PLOTAGEM COLORIDA SULFITE FORMATO A2</t>
  </si>
  <si>
    <t>94.15.04</t>
  </si>
  <si>
    <t>PLOTAGEM COLORIDA SULFITE FORMATO A1</t>
  </si>
  <si>
    <t>94.15.05</t>
  </si>
  <si>
    <t>PLOTAGEM COLORIDA SULFITE FORMATO A0</t>
  </si>
  <si>
    <t>94.18.04</t>
  </si>
  <si>
    <t xml:space="preserve">DIGITALIZAÇÃO DE FORMATO A4 (PDF OU EQUIVALENTE) </t>
  </si>
  <si>
    <t>94.18.05</t>
  </si>
  <si>
    <t>DVD 4,7 GB</t>
  </si>
  <si>
    <t>93.22.02</t>
  </si>
  <si>
    <t>COMPUTADOR C/ PERIFÉRICOS - PROCESSADOR i5 (EQUIVALENTE OU SUPERIOR) 8GB, RAM, HD 1 TB, PLACA DE VIDEO 1 GB E WINDOWS 10</t>
  </si>
  <si>
    <t>93.22.09</t>
  </si>
  <si>
    <t>PACOTE OFFICE 2019 (SIMILAR OU SUPERIOR)</t>
  </si>
  <si>
    <t>ANO</t>
  </si>
  <si>
    <t>93.22.10</t>
  </si>
  <si>
    <t>AUTODESK AUTOCAD - 2016 (SIMILAR OU SUPERIOR)</t>
  </si>
  <si>
    <t xml:space="preserve">Foi utilizado como referência a composição 43.01.10 SUDECAP. </t>
  </si>
  <si>
    <t>Foi considerado computadores para três profissionais: engenheiro, líder técnico e técnico em edificações.</t>
  </si>
  <si>
    <t xml:space="preserve">Foi considerado uma licença de software Autocad para uso compartilhado da equipe residente. </t>
  </si>
  <si>
    <t>Aluguel / aquisição de telefone celular. Ref.: Samsung S21</t>
  </si>
  <si>
    <t>10558/ORSE-11/2024</t>
  </si>
  <si>
    <t>Internet - dispêndio mensal</t>
  </si>
  <si>
    <t>Foi considerado telefone/internet para três profissionais: engenheiro, líder técnico e técnico em edificações.</t>
  </si>
  <si>
    <t>MES</t>
  </si>
  <si>
    <t>10562/ORSE-11/2024</t>
  </si>
  <si>
    <t>MATERIAL DE ESCRITÓRIO (CANETAS,  RÉGUAS, GRAMPEADORES, PAPEL, ETC.)</t>
  </si>
  <si>
    <t>unidade</t>
  </si>
  <si>
    <t>1) valores de ARTs – tabela conforme Decisão Plenária 0614/2024 do Confea.</t>
  </si>
  <si>
    <t>un. x mês</t>
  </si>
  <si>
    <t>SETOP: ED-16349</t>
  </si>
  <si>
    <t>LOCACAO DE CONTAINER COM ISOLAMENTO TERMICO, TIPO 2, PARA ESCRITORIO DE OBRA COM SANITARIO CONTENDO UM (1) VASO SANITARIO E UM (1) LAVATORIO, COM MEDIDAS REFERENCIAIS DE (6) METROS COMPRIMENTO, (2,3) METROS LARGURA E (2,5) METROS ALTURA UTIL INTERNA, 
INCLUSIVE AR CONDICIONADO E LIGACOES ELETRICAS E HIDROSSANITARIAS INTERNAS, 
EXCLUSIVE MOBILIZACAO/DESMOBILIZACAO E LIGACOES PROVISORIAS EXTERNAS Unid.: MÊS</t>
  </si>
  <si>
    <t>SETOP: ED-16354</t>
  </si>
  <si>
    <t>LOCACAO DE CONTAINER COM ISOLAMENTO TERMICO, TIPO 7, PARA VESTIARIO DE OBRA COM QUATRO (4) CHUVEIROS, TRES (3) VASOS SANITARIOS, UM (1) MICTORIO E UM (1) LAVATORIO, COM MEDIDAS REFERENCIAIS DE (6) METROS COMPRIMENTO, (2,3) METROS LARGURA E (2,5) METROS ALTURA UTIL INTERNA, 
INCLUSIVE LIGACOES ELETRICAS E HIDROSSANITARIAS INTERNAS, 
EXCLUSIVE MOBILIZACAO/DESMOBILIZACAO E LIGACOES PROVISORIAS EXTERNAS Unid.: MÊS</t>
  </si>
  <si>
    <t>SETOP: ED-16355</t>
  </si>
  <si>
    <t>LOCACAO DE CONTAINER COM ISOLAMENTO TERMICO, TIPO 8, PARA VESTIARIO DE OBRA COM OITO (8) BANCOS E CINCO (5) ARMARIOS, COM MEDIDAS REFERENCIAIS DE (6) METROS COMPRIMENTO, (2,3) METROS LARGURA E (2,5) METROS ALTURA UTIL 
INTERNA, INCLUSIVE LIGACOES ELETRICAS INTERNAS, 
EXCLUSIVE MOBILIZACAO/DESMOBILIZACAO E LIGACOES PROVISORIAS EXTERNAS Unid.: MÊS</t>
  </si>
  <si>
    <t>SETOP: ED-50137</t>
  </si>
  <si>
    <t>MOBILIZACAO E DESMOBILIZACAO DE CONTAINER, INCLUSIVE CARGA, DESCARGA E TRANSPORTE EM CAMINHAO CARROCERIA COM GUINDAUTO (MUNCK), EXCLUSIVE LOCACAO DO CONTAINER Unid.: UN</t>
  </si>
  <si>
    <t>SETOP: ED-16357</t>
  </si>
  <si>
    <t>LIGACOES PROVISORIAS PARA CONTAINER TIPO 2 (CORRESPONDENTE AO CODIGO ED-16349) Unid.: UN</t>
  </si>
  <si>
    <t>SETOP: ED-16362</t>
  </si>
  <si>
    <t>LIGACOES PROVISORIAS PARA CONTAINER TIPO 7 (CORRESPONDENTE AO CODIGO ED-16354) Unid.: UN</t>
  </si>
  <si>
    <t>SETOP: ED-16363</t>
  </si>
  <si>
    <t>LIGACOES PROVISORIAS PARA CONTAINER TIPO 8 (CORRESPONDENTE AO CODIGO ED-16355) Unid.: UN</t>
  </si>
  <si>
    <t xml:space="preserve">1) </t>
  </si>
  <si>
    <t>cotação</t>
  </si>
  <si>
    <t>CADEIRA GIRATORIA DIGITADOR COR PRETO</t>
  </si>
  <si>
    <t>MESA PARA ESCRITÓRIO</t>
  </si>
  <si>
    <t>GELADEIRA &lt; 340l</t>
  </si>
  <si>
    <t>MICROONDAS</t>
  </si>
  <si>
    <t>PURIFICADOR DE ÁGUA</t>
  </si>
  <si>
    <t>ANEXO II-1.3 – PLANILHA DE CUSTOS E FORMAÇÃO DE PREÇOS REFERENCIAIS – Materiais, equipamentos e Peças de Reposição – Preventiva e Corretiva</t>
  </si>
  <si>
    <t>MATERIAIS, INSUMOS, EQUIPAMENTOS E PEÇAS DE REPOSIÇÃO
PREÇO DA PROPOSTA</t>
  </si>
  <si>
    <t>Contratação de empresa especializada em manutenção predial para execução de serviços comum de engenharia nas edificações pertencentes ao TRF6 e SJMG</t>
  </si>
  <si>
    <t>OBRA:</t>
  </si>
  <si>
    <t>Serviços comuns de engenharia para manutenção predial</t>
  </si>
  <si>
    <t xml:space="preserve">BDI: </t>
  </si>
  <si>
    <t>END.:</t>
  </si>
  <si>
    <t>AV. ÁLVARES CABRAL, 1741 - BAIRRO SANTO AGOSTINHO -  Belo Horizonte - MG</t>
  </si>
  <si>
    <t>DATA-BASE:</t>
  </si>
  <si>
    <t>07/2025</t>
  </si>
  <si>
    <t xml:space="preserve">Observação: </t>
  </si>
  <si>
    <t>Esta planilha é preenchida no item 'PERCENTUAL DE DESCONTO A SER APLICADO NAS ABAS 1.3 E 1.4: ' da aba 'dados'
Para esta planilha foi considerado o BDI diferenciado, porém haverão casos de fornecimento de equipamentos em que o BDI a ser utilizados nas OS será referente ao BDI de equipamentos</t>
  </si>
  <si>
    <t xml:space="preserve">Desconto :
</t>
  </si>
  <si>
    <t xml:space="preserve">Índice de desconto calculado na forma do item 7.1.5 do Termo de Referência  </t>
  </si>
  <si>
    <r>
      <t>Índice de Desconto (I</t>
    </r>
    <r>
      <rPr>
        <b/>
        <vertAlign val="subscript"/>
        <sz val="10"/>
        <color indexed="55"/>
        <rFont val="Arial"/>
        <family val="2"/>
      </rPr>
      <t>desc</t>
    </r>
    <r>
      <rPr>
        <b/>
        <sz val="10"/>
        <color indexed="55"/>
        <rFont val="Arial"/>
        <family val="2"/>
      </rPr>
      <t xml:space="preserve">): </t>
    </r>
  </si>
  <si>
    <t>Descrição Completa</t>
  </si>
  <si>
    <t>Custo de Ref sem BDI</t>
  </si>
  <si>
    <t>Preço com BDI</t>
  </si>
  <si>
    <t>MATERIAIS, INSUMOS, EQUIPAMENTOS E PEÇAS DE REPOSIÇÃO
LISTA NÃO EXAUSTIVA</t>
  </si>
  <si>
    <r>
      <t xml:space="preserve">Os valores a serem recebido pela Contratada será referente </t>
    </r>
    <r>
      <rPr>
        <b/>
        <sz val="11"/>
        <color indexed="45"/>
        <rFont val="Arial"/>
        <family val="2"/>
      </rPr>
      <t>aos preços unitários na data-base SINAPI publicada mais recente</t>
    </r>
    <r>
      <rPr>
        <b/>
        <sz val="11"/>
        <color indexed="44"/>
        <rFont val="Arial"/>
        <family val="2"/>
      </rPr>
      <t xml:space="preserve">, </t>
    </r>
    <r>
      <rPr>
        <b/>
        <sz val="11"/>
        <color indexed="45"/>
        <rFont val="Arial"/>
        <family val="2"/>
      </rPr>
      <t>com aplicação de BDI e do desconto ofertado referente aos itens 1.3 e 1.4 da licitação.</t>
    </r>
    <r>
      <rPr>
        <b/>
        <sz val="11"/>
        <color indexed="44"/>
        <rFont val="Arial"/>
        <family val="2"/>
      </rPr>
      <t xml:space="preserve">
Esta planilha não necessita ser apresentada juntamente com a proposta, porém serve para a licitante efetuar a avaliação dos descontos a serem aplicados ao materiais, equipamentos e serviços eventuais, de modo a estudar a viabilidade da proposta.
Para o caso de fornecimento de equipamentos, deverá ser considerado na OS o BDI de equipamento.
A </t>
    </r>
    <r>
      <rPr>
        <b/>
        <sz val="11"/>
        <color indexed="45"/>
        <rFont val="Arial"/>
        <family val="2"/>
      </rPr>
      <t>data-base desta planilha é meramente ilustrativa</t>
    </r>
    <r>
      <rPr>
        <b/>
        <sz val="11"/>
        <color indexed="45"/>
        <rFont val="Arial"/>
        <family val="2"/>
      </rPr>
      <t xml:space="preserve"> </t>
    </r>
    <r>
      <rPr>
        <b/>
        <sz val="11"/>
        <color indexed="44"/>
        <rFont val="Arial"/>
        <family val="2"/>
      </rPr>
      <t>e serve para auxiliar a empresa na apresentação da proposta.</t>
    </r>
  </si>
  <si>
    <t>Grupo</t>
  </si>
  <si>
    <t>Base</t>
  </si>
  <si>
    <t>Códigos</t>
  </si>
  <si>
    <t>Unidade</t>
  </si>
  <si>
    <t>Preço c/ desconto sem BDI</t>
  </si>
  <si>
    <t>Preço Unit.
C/ BDI</t>
  </si>
  <si>
    <t>Equipamento</t>
  </si>
  <si>
    <t>SINAPI MG 07/2025</t>
  </si>
  <si>
    <t>20193</t>
  </si>
  <si>
    <t>LOCACAO DE ANDAIME METALICO TIPO FACHADEIRO, PECAS COM APROXIMADAMENTE 1,20 M DE LARGURA E 2,0 M DE ALTURA, INCLUINDO DIAGONAIS EM X, BARRAS DE LIGACAO, SAPATAS E DEMAIS ITENS NECESSARIOS A MONTAGEM (NAO INCLUI INSTALACAO)</t>
  </si>
  <si>
    <t>M2XMES</t>
  </si>
  <si>
    <t>10527</t>
  </si>
  <si>
    <t>LOCACAO DE ANDAIME METALICO TUBULAR DE ENCAIXE, TIPO DE TORRE, CADA PAINEL COM LARGURA DE 1 ATE 1,5 M E ALTURA DE *1,00* M, INCLUINDO DIAGONAL, BARRAS DE LIGACAO, SAPATAS OU RODIZIOS E DEMAIS ITENS NECESSARIOS A MONTAGEM (NAO INCLUI INSTALACAO)</t>
  </si>
  <si>
    <t>MXMES</t>
  </si>
  <si>
    <t>SETOPEDIFICACOES MG 01/2025</t>
  </si>
  <si>
    <t>EQED-20768</t>
  </si>
  <si>
    <t>LIXADEIRA ANGULAR (TIPO: ELÉTRICA|POTÊNCIA: 1250W*|TENSÃO: 220V |DIÂMETRO DISCO: 7|PESO: 4,6KG*| CONSUMO: 1,25KWH|OPERADOR: NÃO INCLUSO)*VALORES REFERENCIAIS APROXIMADOS</t>
  </si>
  <si>
    <t>H</t>
  </si>
  <si>
    <t>EQED-20769</t>
  </si>
  <si>
    <t>MÁQUINA DE CORTE PARA MÁRMORE/GRANITO (TIPO: ELÉTRICA| CORTE 45 GRAUS: SIM|POTÊNCIA: 2200W*| TENSÃO: 220V|PROFUNDIDADE MÁXIMA DE CORTE: 1200MM*|LARGURA MÁXIMA DE CORTE: 3000MM*|CONSUMO: 2,2KWH| OPERADOR: NÃO INCLUSO)*VALORES APROXIMADOS</t>
  </si>
  <si>
    <t>EQED-23888</t>
  </si>
  <si>
    <t>REFRIGERADOR (CAPACIDADE MÉDIA: 120L|COR: BRANCA|QUANTIDADE DE 0000000 PORTAS: 1|CONSUMO*: 0,11KW/H|TENSÃO: 127V-220V)* VALORES REFERENCIAIS APROXIMADOS</t>
  </si>
  <si>
    <t>00738</t>
  </si>
  <si>
    <t>BOMBA CENTRIFUGA MOTOR ELETRICO TRIFASICO 5HP, DIAMETRO DE SUCCAO X ELEVACAO 2 X 1 1/2, DIAMETRO DO ROTOR 155 MM, HM/Q: 40 M / 20,40 M3/H A 46 M / 9,20 M3/H</t>
  </si>
  <si>
    <t>00736</t>
  </si>
  <si>
    <t>BOMBA CENTRIFUGA  MOTOR ELETRICO TRIFASICO 2,96HP, DIAMETRO DE SUCCAO X ELEVACAO 1 1/2 X 1 1/4, DIAMETRO DO ROTOR 148 MM, HM/Q: 34 M / 14,80 M3/H A 40 M / 8,60 M3/H</t>
  </si>
  <si>
    <t>EQED-31357</t>
  </si>
  <si>
    <t>SERRA DE BANCADA ( DIÂMETRO DO DISCO: 10(250MM)|PESO*: 22KG|POTÊNCIA 1600W*|ALIMENTAÇÃO: ELETRICIDADE|OPERADOR: NÃO INCLUSO) * VALORES REFERENCIAIS APROXIMADOS</t>
  </si>
  <si>
    <t>EQED-8483</t>
  </si>
  <si>
    <t>BETONEIRA (ALIMENTAÇÃO: ELÉTRICIDADE|CAPACIDADE NOMINAL: 400L |CAPACIDADE DE MISTURA: 310L|MOTOR ELÉTRICO: TRIFÁSICO|POTÊNCIA: 2CV| CONSUMO: 1,5KWH|CARREGADOR MECÂNICO: NÃO INCLUSO|OPERADOR: NÃO INCLUSO|REFERÊCIA: 36396 OU EQUIVALENTE)</t>
  </si>
  <si>
    <t>00754</t>
  </si>
  <si>
    <t>BOMBA SUBMERSIVEL, ELETRICA, TRIFASICA, POTENCIA 3,75 HP, DIAMETRO DO ROTOR 90 MM SEMIABERTO, BOCAL DE SAIDA DIAMETRO DE 2 POLEGADAS, HM/Q = 5 M / 61,2 M3/H A 25,5 M / 3,6 M3/H</t>
  </si>
  <si>
    <t>04085</t>
  </si>
  <si>
    <t>LOCACAO DE BOMBA SUBMERSIVEL PARA DRENAGEM E ESGOTAMENTO, MOTOR ELETRICO TRIFASICO, POTENCIA DE 4 CV, DIAMETRO DE RECALQUE DE 3. FAIXA DE OPERACAO Q=60 M3/H (+ OU - 1 M3/H) E AMT=2 M, Q=11 M3/H (+ OU - 1 M3/H) E AMT = 23 M (+ OU - 1 M)</t>
  </si>
  <si>
    <t>04084</t>
  </si>
  <si>
    <t>LOCACAO DE BOMBA SUBMERSIVEL PARA DRENAGEM E ESGOTAMENTO, MOTOR ELETRICO TRIFASICO, POTENCIA DE 1 CV, DIAMETRO DE RECALQUE DE 2. FAIXA DE OPERACAO Q=25 M3/H (+ OU - 1 M3/H) E AMT=2 M, Q=12 M3/H (+ OU - 2 M3/H) E AMT = 12 M (+ OU - 2 M)</t>
  </si>
  <si>
    <t>10592</t>
  </si>
  <si>
    <t>BOMBA SUBMERSIVEL, ELETRICA, TRIFASICA, POTENCIA 0,99 HP, DIAMETRO ROTOR 98 MM SEMIABERTO, BOCAL DE SAIDA DIAMETRO 2 POLEGADAS, HM/Q = 2 M / 28,90 M3/H A 14 M / 7 M3/H</t>
  </si>
  <si>
    <t>03348</t>
  </si>
  <si>
    <t>LOCACAO DE GRUPO GERADOR ACIMA DE * 125 ATE 180* KVA, MOTOR DIESEL, REBOCAVEL, ACIONAMENTO MANUAL</t>
  </si>
  <si>
    <t>03346</t>
  </si>
  <si>
    <t>LOCACAO DE GRUPO GERADOR *80 A 125* KVA, MOTOR DIESEL, REBOCAVEL, ACIONAMENTO MANUAL</t>
  </si>
  <si>
    <t>13887</t>
  </si>
  <si>
    <t>DISCO DE CORTE DIAMANTADO SEGMENTADO PARA CONCRETO, DIAMETRO DE 350 MM, FURO DE 1 (14 X 1 )</t>
  </si>
  <si>
    <t>40293</t>
  </si>
  <si>
    <t>LOCACAO DE BOMBA SUBMERSIVEL PARA DRENAGEM E ESGOTAMENTO, MOTOR ELETRICO TRIFASICO, POTENCIA DE 2 CV, DIAMETRO DE RECALQUE DE 3. FAIXA DE OPERACAO Q=70 M3/H (+ OU - 2 M3/H) E AMT=2 M, Q=9,5 M3/H (+ OU - 3,5 M3/H) E AMT = 10 M (+ OU - 2 M)</t>
  </si>
  <si>
    <t>41805</t>
  </si>
  <si>
    <t>LOCACAO DE ANDAIME SUSPENSO OU BALANCIM MANUAL, CAPACIDADE DE CARGA TOTAL DE APROXIMADAMENTE 250 KG/M2, PLATAFORMA DE 1,50 M X 0,80 M (C X L), CABO DE 45 M</t>
  </si>
  <si>
    <t>Material</t>
  </si>
  <si>
    <t>Este Projeto</t>
  </si>
  <si>
    <t>ARQIN85COT48</t>
  </si>
  <si>
    <t>Carpete em placas 50x50cm, fabricante Belgotex, coleção Metropolis, Modelo Buenos Aires</t>
  </si>
  <si>
    <t>M2</t>
  </si>
  <si>
    <t>CREAMG2024B</t>
  </si>
  <si>
    <t>ART por Valor de Contrato / Obra / Serviço até R$15.000,00</t>
  </si>
  <si>
    <t>00411</t>
  </si>
  <si>
    <t>ABRACADEIRA DE NYLON PARA AMARRACAO DE CABOS, COMPRIMENTO DE 200 X *4,6* MM</t>
  </si>
  <si>
    <t>MATED-11028</t>
  </si>
  <si>
    <t>CERTIFICAÇÃO DE GARANTIA DE TRANSMISSÃO DE CABOS LÓGICOS - CATEGORIA 6E IPRM</t>
  </si>
  <si>
    <t>un</t>
  </si>
  <si>
    <t>00394</t>
  </si>
  <si>
    <t>ABRACADEIRA EM ACO PARA AMARRACAO DE ELETRODUTOS, TIPO D, COM 1 1/2 E PARAFUSO DE FIXACAO</t>
  </si>
  <si>
    <t>00395</t>
  </si>
  <si>
    <t>ABRACADEIRA EM ACO PARA AMARRACAO DE ELETRODUTOS, TIPO D, COM 1 1/4 E PARAFUSO DE FIXACAO</t>
  </si>
  <si>
    <t>00392</t>
  </si>
  <si>
    <t>ABRACADEIRA EM ACO PARA AMARRACAO DE ELETRODUTOS, TIPO D, COM 1/2 E PARAFUSO DE FIXACAO</t>
  </si>
  <si>
    <t>00393</t>
  </si>
  <si>
    <t>ABRACADEIRA EM ACO PARA AMARRACAO DE ELETRODUTOS, TIPO D, COM 1 E PARAFUSO DE FIXACAO</t>
  </si>
  <si>
    <t>00396</t>
  </si>
  <si>
    <t>ABRACADEIRA EM ACO PARA AMARRACAO DE ELETRODUTOS, TIPO D, COM 2 E PARAFUSO DE FIXACAO</t>
  </si>
  <si>
    <t>00001</t>
  </si>
  <si>
    <t>ACETILENO (RECARGA DE GAS ACETILENO PARA CILINDRO DE CONJUNTO OXICORTE GRANDE) NAO INCLUI TROCA/MANUTENCAO DO CILINDRO</t>
  </si>
  <si>
    <t>KG</t>
  </si>
  <si>
    <t>00032</t>
  </si>
  <si>
    <t>ACO CA-50, 6,3 MM, VERGALHAO</t>
  </si>
  <si>
    <t>00034</t>
  </si>
  <si>
    <t>ACO CA-50, 10,0 MM, VERGALHAO</t>
  </si>
  <si>
    <t>00033</t>
  </si>
  <si>
    <t>ACO CA-50, 8,0 MM, VERGALHAO</t>
  </si>
  <si>
    <t>SUDECAP MG 04/2025</t>
  </si>
  <si>
    <t>61.15.07</t>
  </si>
  <si>
    <t>JUNTA DILATACAO ELASTICA PARA CONCRETO (FUGENBAND OU EQUIVALENTE) O-22, ATE 30 MCA</t>
  </si>
  <si>
    <t>M</t>
  </si>
  <si>
    <t>MATED-11178</t>
  </si>
  <si>
    <t>LOCAÇÃO CAÇAMBA ESTACIONÁRIA - MUNICÍPIO DE BELO HORIZONTE (MATERIAL: AÇO CARBONO|CAPACIDADE EM VOLUME: 5M3|CAPACIDADE EM TONELADAS: 7,5TON*|APLICAÇÃO: REMOÇÃO DE ENTULHO E/OU TERRA)*VALORES REFERENCIAIS APROXIMADOS</t>
  </si>
  <si>
    <t>MATED-11186</t>
  </si>
  <si>
    <t>LOCAÇÃO DE CONTAINER COM ISOLAMENTO TÉRMICO (APLICAÇÃO: ESCRITÓRIO| ESQUADRIAS: 2|SUPORTE AR CONDICIONADO: 1|AR CONDICIONADO: NÃO INCLUSO|LÂMPADAS: NÃO INCLUSO|INSTALAÇÃO ELÉTRICA INTERNA: INCLUSA| MOBILIZAÇÃO: NÃO INCLUSO|COMPRIMENTO*: 600CM| LARGURA*: 230CM|ALTURA EXTERNA*: 285CM|ALTURA ÚTIL INTERNA*: 250CM)*VALORES REFERENCIAIS APROXIMADOS</t>
  </si>
  <si>
    <t>MATED-11195</t>
  </si>
  <si>
    <t>BANHEIRO QUÍMICO (PERÍODO DE LOCAÇÃO: MENSAL|LINHA: PADRÃO (STANDARD)|PIA: INCLUSO|LARGURA EXTERNA: 110CM|PROFUNDIDADE EXTERNA: 120CM|ALTURA EXTERNA: 230CM|PESO*: 85KG |CAPACIDADE DEJETOS*: 227L|MANUTENÇÃO: INCLUSO| MOBILIZAÇÃO/DESMOBILIZAÇÃO: INCLUSO) *VALORES REFERENCIAIS APROXIMADOS</t>
  </si>
  <si>
    <t>00107</t>
  </si>
  <si>
    <t>ADAPTADOR PVC SOLDAVEL CURTO COM BOLSA E ROSCA, 20 MM X 1/2, PARA AGUA FRIA</t>
  </si>
  <si>
    <t>00065</t>
  </si>
  <si>
    <t>ADAPTADOR PVC SOLDAVEL CURTO COM BOLSA E ROSCA, 25 MM X 3/4, PARA AGUA FRIA</t>
  </si>
  <si>
    <t>00108</t>
  </si>
  <si>
    <t>ADAPTADOR PVC SOLDAVEL CURTO COM BOLSA E ROSCA, 32 MM X 1 PARA AGUA FRIA</t>
  </si>
  <si>
    <t>,UN</t>
  </si>
  <si>
    <t>00110</t>
  </si>
  <si>
    <t>ADAPTADOR PVC SOLDAVEL CURTO COM BOLSA E ROSCA, 40 MM X 1 1/2, PARA AGUA FRIA</t>
  </si>
  <si>
    <t>MATED-11210</t>
  </si>
  <si>
    <t>LOCAÇÃO DE AR CONDICIONADO PARA CONTAINER (TIPO: JANELA|TENSÃO: 220V|BTUS: 12.000- 18.000)</t>
  </si>
  <si>
    <t>00109</t>
  </si>
  <si>
    <t>ADAPTADOR PVC SOLDAVEL CURTO COM BOLSA E ROSCA, 40 MM X 1 1/4, PARA AGUA FRIA</t>
  </si>
  <si>
    <t>00112</t>
  </si>
  <si>
    <t>ADAPTADOR PVC SOLDAVEL CURTO COM BOLSA E ROSCA, 50 MM X1 1/2, PARA AGUA FRIA</t>
  </si>
  <si>
    <t>MATED-11216</t>
  </si>
  <si>
    <t>MESA (APLICAÇÃO: ESCRITÓRIO|COR: CINZA|MATERIAL: MADEIRA MDP COM PÉS DE METALON| NÚMERO DE GAVETAS: TRÊS (3) PORTAS|COMPRIMENTO *: 150CM|ALTURA*: 75CM|PROFUNDIDADE*: 60CM)* VALORES REFERENCIAIS APROXIMADOS</t>
  </si>
  <si>
    <t>00113</t>
  </si>
  <si>
    <t>ADAPTADOR PVC SOLDAVEL CURTO COM BOLSA E ROSCA, 60 MM X 2 PARA AGUA FRIA</t>
  </si>
  <si>
    <t>MATED-11219</t>
  </si>
  <si>
    <t>MESA (APLICAÇÃO: ESCRITÓRIO E REUNIÃO|FORMATO: REDONDA|COR: CINZA|DIÂMETRO*: 120CM|ALTURA*: 75CM)*VALORES REFERENCIAIS APROXIMADOS</t>
  </si>
  <si>
    <t>00104</t>
  </si>
  <si>
    <t>ADAPTADOR PVC SOLDAVEL CURTO COM BOLSA E ROSCA, 75 MM X 2 1/2, PARA AGUA FRIA</t>
  </si>
  <si>
    <t>MATED-11220</t>
  </si>
  <si>
    <t>CADEIRA (TIPO: ALMOFADADA SEM BRAÇO |ESTRUTURA: METALON)</t>
  </si>
  <si>
    <t>00102</t>
  </si>
  <si>
    <t>ADAPTADOR PVC SOLDAVEL CURTO COM BOLSA E ROSCA, 85 MM X 3 PARA AGUA FRIA</t>
  </si>
  <si>
    <t>MATED-11222</t>
  </si>
  <si>
    <t>ARQUIVO (APLICAÇÃO: ESCRITÓRIO| MATERIAL: AÇO|COR: CINZA|QUANTIDADE DE GAVETAS: 3|MODELO: OFÍCIO|ALTURA*: 110CM|LARGURA*: 45CM| PROFUNDIDADE*: 55CM)*VALORES REFERENCIAIS APROXIMADOS</t>
  </si>
  <si>
    <t>MATED-11224</t>
  </si>
  <si>
    <t>ARMÁRIO (COR: CINZA|MATERIAL: AÇO| NÚMERO DE PORTAS: DUAS (2) PORTAS|ALTURA*: 170CM |LARGURA*: 75CM|PROFUNDIDADE*: 35CM)*VALORES REFERENCIAIS APROXIMADOS</t>
  </si>
  <si>
    <t>MATED-11227</t>
  </si>
  <si>
    <t>FITA ZEBRADA PARA SINALIZAÇÃO ( LARGURA: 70MM|ROLO: 200M)</t>
  </si>
  <si>
    <t>m</t>
  </si>
  <si>
    <t>MATED-11228</t>
  </si>
  <si>
    <t>CONE (MATERIAL: PLÁSTICO|ALTURA: 75CM|COR: LARANJA/BRANCO OU PRETO/AMARELO)</t>
  </si>
  <si>
    <t>MATED-11248</t>
  </si>
  <si>
    <t>AREIA LAVADA POSTO OBRA (TIPO: MÉDIA)</t>
  </si>
  <si>
    <t>m3</t>
  </si>
  <si>
    <t>MATED-11250</t>
  </si>
  <si>
    <t>PEDRA BRITADA POSTO OBRA (NÚMERO: 1 |GRANULOMETRIA: 9,5-19MM)</t>
  </si>
  <si>
    <t>MATED-11251</t>
  </si>
  <si>
    <t>PEDRA BRITADA POSTO OBRA (NÚMERO: 2 |GRANULOMETRIA: 19-38MM)</t>
  </si>
  <si>
    <t>MATED-11258</t>
  </si>
  <si>
    <t>CIMENTO PORTLAND CP II-E-32 ( RESISTÊNCIA: 32,00MPA)</t>
  </si>
  <si>
    <t>Kg</t>
  </si>
  <si>
    <t>00131</t>
  </si>
  <si>
    <t>ADESIVO ESTRUTURAL A BASE DE RESINA EPOXI, BICOMPONENTE, PASTOSO (TIXOTROPICO)</t>
  </si>
  <si>
    <t>07334</t>
  </si>
  <si>
    <t>ADITIVO ADESIVO LIQUIDO PARA ARGAMASSAS DE REVESTIMENTOS CIMENTICIOS</t>
  </si>
  <si>
    <t>L</t>
  </si>
  <si>
    <t>20080</t>
  </si>
  <si>
    <t>ADESIVO PLASTICO PARA PVC, FRASCO COM 175 GR</t>
  </si>
  <si>
    <t>03410</t>
  </si>
  <si>
    <t>ADESIVO / COLA PARA EPS (ISOPOR) E OUTROS MATERIAIS</t>
  </si>
  <si>
    <t>00122</t>
  </si>
  <si>
    <t>ADESIVO PLASTICO PARA PVC, FRASCO COM *850* GR</t>
  </si>
  <si>
    <t>MATED-11273</t>
  </si>
  <si>
    <t>CHAPA DE COMPENSADO PLASTIFICADO ( ESPESSURA: 12MM|DIMENSÃO: 1,10X2,20M)</t>
  </si>
  <si>
    <t>m2</t>
  </si>
  <si>
    <t>MATED-11279</t>
  </si>
  <si>
    <t>DESMOLDANTE (APLICAÇÃO: FÔRMAS DE MADEIRA PARA CONCRETO)</t>
  </si>
  <si>
    <t>l</t>
  </si>
  <si>
    <t>MATED-11281</t>
  </si>
  <si>
    <t>BARRA AÇO (TIPO: CA-50|BITOLA: 16MM(5/ 8)|MASSA LINEAR: 1,578KG/M)</t>
  </si>
  <si>
    <t>MATED-11282</t>
  </si>
  <si>
    <t>BARRA AÇO (TIPO: CA-50|BITOLA: 10MM(3/ 8)|MASSA LINEAR: 0,617KG/M)</t>
  </si>
  <si>
    <t>00183</t>
  </si>
  <si>
    <t>BATENTE / PORTAL / ADUELA / MARCO EM MADEIRA MACICA COM REBAIXO, E = *3* CM, L = *14* CM, PARA PORTAS DE  GIRO DE *60 CM A 120* CM  X *210* CM, CEDRINHO / ANGELIM COMERCIAL / TAURI / CURUPIXA / PEROBA / CUMARU OU EQUIVALENTE DA REGIAO (NAO INCLUI ALIZARES)</t>
  </si>
  <si>
    <t>JG</t>
  </si>
  <si>
    <t>MATED-11284</t>
  </si>
  <si>
    <t>BARRA AÇO (TIPO: CA-60|BITOLA: 4,2MM| MASSA LINEAR: 0,109KG/M)</t>
  </si>
  <si>
    <t>MATED-11285</t>
  </si>
  <si>
    <t>BARRA AÇO (TIPO: CA-60|BITOLA: 5MM| MASSA LINEAR: 0,154KG/M)</t>
  </si>
  <si>
    <t>MATED-11330</t>
  </si>
  <si>
    <t>PREGO 15X15 COM CABEÇA ( COMPRIMENTO: 34,5MM|DIÂMETRO: 2,4MM|QUANTIDADE POR QUILO: 777)</t>
  </si>
  <si>
    <t>MATED-11331</t>
  </si>
  <si>
    <t>PREGO 17X27 COM CABEÇA ( COMPRIMENTO: 62,1MM|DIÂMETRO: 3,0MM|QUANTIDADE POR QUILO: 290)</t>
  </si>
  <si>
    <t>MATED-11333</t>
  </si>
  <si>
    <t>ARAME RECOZIDO (BITOLA: 18BWG| DIÂMETRO DO FIO: 1,25MM|MASSA LINEAR: 0,01KG/M)</t>
  </si>
  <si>
    <t>MATED-11344</t>
  </si>
  <si>
    <t>PONTALETE (ACABAMENTO: BRUTO| SEÇÃO TRANSVERSAL: 3X3 (7,5X7,5CM)*|TIPO DE MADEIRA: CEDRO, PINUS, MISTA OU EQUIVALENTE DA REGIÃO)*VALORES REFERENCIAIS APROXIMADOS</t>
  </si>
  <si>
    <t>MATED-11350</t>
  </si>
  <si>
    <t>SARRAFO (ACABAMENTO: BRUTO|SEÇÃO TRANSVERSAL: 1X3(POL.)|ALTURA: 75MM(3)| ESPESSURA: 25MM(1)|TIPO DE MADEIRA: PINUS, MISTA OU EQUIVALENTE DA REGIÃO)</t>
  </si>
  <si>
    <t>MATED-11354</t>
  </si>
  <si>
    <t>TÁBUA (ACABAMENTO: BRUTO|SEÇÃO TRANSVERSAL: 1X12|ESPESSURA: 25MM|LARGURA*: 300MM|TIPO DE MADEIRA: CEDRINHO, PINUS OU MADEIRA EQUIVALENTE DA REGIÃO)*VALORES REFERENCIAIS APROXIMADOS</t>
  </si>
  <si>
    <t>20017</t>
  </si>
  <si>
    <t>GUARNICAO / ALIZAR / VISTA LISA EM MADEIRA MACICA, PARA PORTA  , E = *1* CM, L = *5* CM, CEDRINHO / ANGELIM COMERCIAL / TAURI/ CURUPIXA / PEROBA / CUMARU OU EQUIVALENTE DA REGIAO</t>
  </si>
  <si>
    <t>00301</t>
  </si>
  <si>
    <t>ANEL BORRACHA PARA TUBO ESGOTO PREDIAL, DN 100 MM (NBR 5688)</t>
  </si>
  <si>
    <t>00296</t>
  </si>
  <si>
    <t>ANEL BORRACHA PARA TUBO ESGOTO PREDIAL, DN 50 MM (NBR 5688)</t>
  </si>
  <si>
    <t>MATED-11412</t>
  </si>
  <si>
    <t>ADESIVO (TIPO: COLA BRANCA| COMPOSIÇÃO: PVA|APLICAÇÃO: MADEIRA OU PAPEL)</t>
  </si>
  <si>
    <t>MATED-11420</t>
  </si>
  <si>
    <t>PEDRA PORTUGUESA PARA CALÇADA ( COR: BRANCO, PRETO OU VERMELHO)</t>
  </si>
  <si>
    <t>MATED-11427</t>
  </si>
  <si>
    <t>PISO TÁTIL/PODOTÁTIL (MATERIAL: BORRACHA|COR: UMA (1) COR|TIPO: ALERTA/ DIRECIONAL|COMPRIMENTO: 25CM|LARGURA: 25CM| ESPESSURA: 5MM|ASSENTAMENTO: COLA)</t>
  </si>
  <si>
    <t>MATED-11430</t>
  </si>
  <si>
    <t>ADESIVO (TIPO: COLA DE CONTATO| COMPOSIÇÃO: BORRACHA DE POLICLOROPRENO| APLICAÇÃO: MADEIRA, COURO, METAL, BORRACHA OU CONCRETO)</t>
  </si>
  <si>
    <t>MATED-11431</t>
  </si>
  <si>
    <t>PIGMENTO PARA TINTAS (TIPO: LÍQUIDO| CORES: DIVERSAS)</t>
  </si>
  <si>
    <t>00299</t>
  </si>
  <si>
    <t>ANEL BORRACHA, DN 100 MM, PARA TUBO SERIE REFORCADA ESGOTO PREDIAL</t>
  </si>
  <si>
    <t>MATED-11432</t>
  </si>
  <si>
    <t>SOLVENTE DILUENTE (BASE: AGUARRÁS)</t>
  </si>
  <si>
    <t>00300</t>
  </si>
  <si>
    <t>ANEL BORRACHA, DN 150 MM, PARA TUBO SERIE REFORCADA ESGOTO PREDIAL</t>
  </si>
  <si>
    <t>MATED-11433</t>
  </si>
  <si>
    <t>LIXA PARA SUPERFÍCIE METÁLICA EM FOLHA (GRÃO: 100|DIMENSÃO: 225X275MM)</t>
  </si>
  <si>
    <t>MATED-11434</t>
  </si>
  <si>
    <t>OLEO DE LINHAÇA (DENSIDADE: 0,820-0, 900 G/CM3)</t>
  </si>
  <si>
    <t>00298</t>
  </si>
  <si>
    <t>ANEL BORRACHA, DN 75 MM, PARA TUBO SERIE REFORCADA ESGOTO PREDIAL</t>
  </si>
  <si>
    <t>MATED-11442</t>
  </si>
  <si>
    <t>FUNDO ANTICORROSIVO PARA METAIS FERROSOS (ZARCÃO)</t>
  </si>
  <si>
    <t>MATED-11443</t>
  </si>
  <si>
    <t>CAL HIDRATADA (TIPO: ESPECIAL| APLICAÇÃO: PINTURA)</t>
  </si>
  <si>
    <t>MATED-11444</t>
  </si>
  <si>
    <t>TINTA (TIPO: ESMALTE SINTÉTICO PREMIUM|APLICAÇÃO: MADEIRA, METAIS E PVC| ACABAMENTO: ACETINADO)</t>
  </si>
  <si>
    <t>MATED-11445</t>
  </si>
  <si>
    <t>LIXA PARA SUPERFÍCIE MADEIRA/MASSA EM FOLHA (GRÃO: 100|DIMENSÃO: 225X275MM)</t>
  </si>
  <si>
    <t>MATED-11448</t>
  </si>
  <si>
    <t>TINTA (TIPO: ACRÍLICA PREMIUM| APLICAÇÃO: ALVENARIA, CONCRETO, GESSO E REBOCO| ACABAMENTO: FOSCO)</t>
  </si>
  <si>
    <t>MATED-11480</t>
  </si>
  <si>
    <t>ACIONADOR MANUAL DE ALARME DE INCÊNDIO (ALTURA: 89MM|LARGURA: 93MM| PROFUNDIDADE: 26,5MM|TENSÃO: 17-28 V)</t>
  </si>
  <si>
    <t>MATED-11482</t>
  </si>
  <si>
    <t>EXTINTOR DE ÁGUA PRESSURIZADA ( CAPACIDADE EXTINTORA: 2-A|AGENTE: ÁGUA|CARGA: 10L)</t>
  </si>
  <si>
    <t>MATED-11492</t>
  </si>
  <si>
    <t>TUBO DE LIGAÇÃO PARA BACIA SANITÁRIA (MATERIAL: LATÃO|ACABAMENTO: CROMADO| COMPRIMENTO: 250MM|DIÂMETRO DA SEÇÃO: 1.1/2| CANOPLA: INCLUSO|SPUD: INCLUSO)</t>
  </si>
  <si>
    <t>00345</t>
  </si>
  <si>
    <t>ARAME GALVANIZADO 18 BWG, D = 1,24MM (0,009 KG/M)</t>
  </si>
  <si>
    <t>00366</t>
  </si>
  <si>
    <t>AREIA FINA - POSTO JAZIDA/FORNECEDOR (RETIRADO NA JAZIDA, SEM TRANSPORTE)</t>
  </si>
  <si>
    <t>M3</t>
  </si>
  <si>
    <t>00367</t>
  </si>
  <si>
    <t>AREIA GROSSA - POSTO JAZIDA/FORNECEDOR (RETIRADO NA JAZIDA, SEM TRANSPORTE)</t>
  </si>
  <si>
    <t>00370</t>
  </si>
  <si>
    <t>AREIA MEDIA - POSTO JAZIDA/FORNECEDOR (RETIRADO NA JAZIDA, SEM TRANSPORTE)</t>
  </si>
  <si>
    <t>00134</t>
  </si>
  <si>
    <t>GRAUTE CIMENTICIO PARA USO GERAL</t>
  </si>
  <si>
    <t>00135</t>
  </si>
  <si>
    <t>ARGAMASSA POLIMERICA IMPERMEABILIZANTE SEMIFLEXIVEL, BICOMPONENTE, A BASE DE CIMENTO E ADITIVOS</t>
  </si>
  <si>
    <t>00371</t>
  </si>
  <si>
    <t>ARGAMASSA INDUSTRIALIZADA MULTIUSO, PARA REVESTIMENTO INTERNO E EXTERNO E ASSENTAMENTO DE BLOCOS DIVERSOS</t>
  </si>
  <si>
    <t>MATED-11624</t>
  </si>
  <si>
    <t>FITA VEDA ROSCA (LARGURA: 12MM| APLICAÇÃO: VEDAÇÃO PARA TUBOS E CONEXÕES ROSCÁVEIS)</t>
  </si>
  <si>
    <t>11267</t>
  </si>
  <si>
    <t>ARRUELA LISA, REDONDA, DE LATAO POLIDO, DIAMETRO NOMINAL 5/8, DIAMETRO EXTERNO = 34 MM, DIAMETRO DO FURO = 17 MM, ESPESSURA = *2,5* MM</t>
  </si>
  <si>
    <t>00626</t>
  </si>
  <si>
    <t>MANTA LIQUIDA DE BASE ASFALTICA MODIFICADA COM A ADICAO DE ELASTOMEROS DILUIDOS EM SOLVENTE ORGANICO, APLICACAO A FRIO (MEMBRANA IMPERMEABILIZANTE ASFASTICA)</t>
  </si>
  <si>
    <t>20259</t>
  </si>
  <si>
    <t>PERFIL DE BORRACHA EPDM MACICO *12 X 15* MM PARA ESQUADRIAS</t>
  </si>
  <si>
    <t>73.65.41</t>
  </si>
  <si>
    <t>COLUNA SUSPENSA MEDIA UNIVERSAL REF.CS117 DECA OU EQUIVALENTE</t>
  </si>
  <si>
    <t>73.66.06</t>
  </si>
  <si>
    <t>ASSENTO SANITARIO TONDO VOGUE PLUS OU EQUIVALENTE</t>
  </si>
  <si>
    <t>00712</t>
  </si>
  <si>
    <t>BLOQUETE/PISO INTERTRAVADO DE CONCRETO - MODELO SEXTAVADO / HEXAGONAL, *25 X 25* CM, E = 8 CM, RESISTENCIA DE 35 MPA, COR NATURAL</t>
  </si>
  <si>
    <t>11679</t>
  </si>
  <si>
    <t>BRACO OU HASTE RETA COM CANOPLA PLASTICA, 1/2 , PARA CHUVEIRO ELETRICO</t>
  </si>
  <si>
    <t>74.02.12</t>
  </si>
  <si>
    <t>ELETRODUTO GALV. PESADO, PAREDE 2,65MM 1</t>
  </si>
  <si>
    <t>74.02.13</t>
  </si>
  <si>
    <t>ELETRODUTO GALV. PESADO, PAREDE 2,65MM 1 1/4</t>
  </si>
  <si>
    <t>74.02.14</t>
  </si>
  <si>
    <t>ELETRODUTO GALV. PESADO, PAREDE 3,00MM 1 1/2</t>
  </si>
  <si>
    <t>MATED-11879</t>
  </si>
  <si>
    <t>PERFILADO (TIPO: LISO|MATERIAL: CHAPA DE AÇO|TRATAMENTO: PRÉ-ZINCADO|CHAPA: N°18| LARGURA: 38MM|ALTURA: 19MM|TAMPA: NÃO INCLUSA)</t>
  </si>
  <si>
    <t>74.02.15</t>
  </si>
  <si>
    <t>ELETRODUTO GALV. PESADO, PAREDE 3,00MM 2</t>
  </si>
  <si>
    <t>74.02.16</t>
  </si>
  <si>
    <t>ELETRODUTO GALV. PESADO, PAREDE 3,35MM 2 1/2</t>
  </si>
  <si>
    <t>MATED-11887</t>
  </si>
  <si>
    <t>SUPORTE OU GANCHO PARA LUMINÁRIA EM PERFILADO (TIPO: LONGO|MATERIAL: CHAPA DE AÇO |TRATAMENTO: PRÉ-ZINCADO|COMPRIMENTO: 165MM)</t>
  </si>
  <si>
    <t>MATED-11888</t>
  </si>
  <si>
    <t>BARRA ROSCADA DE AÇO (DIÂMETRO DA SEÇÃO: 1/4(6MM))</t>
  </si>
  <si>
    <t>07568</t>
  </si>
  <si>
    <t>BUCHA DE NYLON SEM ABA S10, COM PARAFUSO DE 6,10 X 65 MM EM ACO ZINCADO COM ROSCA SOBERBA, CABECA CHATA E FENDA PHILLIPS</t>
  </si>
  <si>
    <t>11950</t>
  </si>
  <si>
    <t>BUCHA DE NYLON SEM ABA S6, COM PARAFUSO DE 4,20 X 40 MM EM ACO ZINCADO COM ROSCA SOBERBA, CABECA CHATA E FENDA PHILLIPS</t>
  </si>
  <si>
    <t>04350</t>
  </si>
  <si>
    <t>BUCHA DE NYLON, DIAMETRO DO FURO 8 MM, COMPRIMENTO 40 MM, COM PARAFUSO DE ROSCA SOBERBA, CABECA CHATA, FENDA SIMPLES, 4,8 X 50 MM</t>
  </si>
  <si>
    <t>07583</t>
  </si>
  <si>
    <t>BUCHA DE NYLON SEM ABA S8, COM PARAFUSO DE 4,80 X 50 MM EM ACO ZINCADO COM ROSCA SOBERBA, CABECA CHATA E FENDA PHILLIPS</t>
  </si>
  <si>
    <t>MATED-11985</t>
  </si>
  <si>
    <t>BARRA DE APOIO (MATERIAL: AÇO INOX AISI 304|ACABAMENTO: POLIDO|MODELO: RETA| DIÂMETRO TUBO: 1.1/4 (31,75MM)|COMPRIMENTO: 70CM| INSTALAÇÃO: PAREDE|ACESSÓRIOS: INCLUSO CANOPLAS, PARAFUSOS E BUCHAS)</t>
  </si>
  <si>
    <t>MATED-11992</t>
  </si>
  <si>
    <t>BARRA CHATA (MATERIAL: ALUMÍNIO| LARGURA: 7/8( 22,23MM)|ESPESSURA: 1/8(3,18MM)| COMPRIMENTO: 3M) - IPRM</t>
  </si>
  <si>
    <t>MATED-12058</t>
  </si>
  <si>
    <t>LONA PLÁSTICA (COR: PRETA|ESPESSURA: 150 MICRAS)</t>
  </si>
  <si>
    <t>MATED-12063</t>
  </si>
  <si>
    <t>BARRA DE APOIO (MATERIAL: AÇO INOX AISI 304|ACABAMENTO: POLIDO|MODELO: RETA| DIÂMETRO TUBO: 1.1/4 (31,75MM)|COMPRIMENTO: 80CM| INSTALAÇÃO: PAREDE|ACESSÓRIOS: INCLUSO CANOPLAS, PARAFUSOS E BUCHAS)</t>
  </si>
  <si>
    <t>MATED-12064</t>
  </si>
  <si>
    <t>BARRA DE APOIO (MATERIAL: AÇO INOX AISI 304|ACABAMENTO: POLIDO|MODELO: RETA| DIÂMETRO TUBO: 1.1/4 (31,75MM)|COMPRIMENTO: 90CM| INSTALAÇÃO: PAREDE|ACESSÓRIOS: INCLUSO CANOPLAS, PARAFUSOS E BUCHAS)</t>
  </si>
  <si>
    <t>MATED-12066</t>
  </si>
  <si>
    <t>BARRA DE APOIO (MATERIAL: AÇO INOX AISI 304|ACABAMENTO: POLIDO|MODELO: RETA| DIÂMETRO TUBO: 1.1/4 (31,75MM)|COMPRIMENTO: 40CM| INSTALAÇÃO: PORTA OU PAREDE|ACESSÓRIOS: INCLUSO CANOPLAS, PARAFUSOS E BUCHAS)</t>
  </si>
  <si>
    <t>01020</t>
  </si>
  <si>
    <t>CABO DE COBRE, FLEXIVEL, CLASSE 4 OU 5, ISOLACAO EM PVC/A, ANTICHAMA BWF-B, COBERTURA PVC-ST1, ANTICHAMA BWF-B, 1 CONDUTOR, 0,6/1 KV, SECAO NOMINAL 10 MM2</t>
  </si>
  <si>
    <t>01017</t>
  </si>
  <si>
    <t>CABO DE COBRE, FLEXIVEL, CLASSE 4 OU 5, ISOLACAO EM PVC/A, ANTICHAMA BWF-B, COBERTURA PVC-ST1, ANTICHAMA BWF-B, 1 CONDUTOR, 0,6/1 KV, SECAO NOMINAL 120 MM2</t>
  </si>
  <si>
    <t>00999</t>
  </si>
  <si>
    <t>CABO DE COBRE, FLEXIVEL, CLASSE 4 OU 5, ISOLACAO EM PVC/A, ANTICHAMA BWF-B, COBERTURA PVC-ST1, ANTICHAMA BWF-B, 1 CONDUTOR, 0,6/1 KV, SECAO NOMINAL 150 MM2</t>
  </si>
  <si>
    <t>00995</t>
  </si>
  <si>
    <t>CABO DE COBRE, FLEXIVEL, CLASSE 4 OU 5, ISOLACAO EM PVC/A, ANTICHAMA BWF-B, COBERTURA PVC-ST1, ANTICHAMA BWF-B, 1 CONDUTOR, 0,6/1 KV, SECAO NOMINAL 16 MM2</t>
  </si>
  <si>
    <t>01000</t>
  </si>
  <si>
    <t>CABO DE COBRE, FLEXIVEL, CLASSE 4 OU 5, ISOLACAO EM PVC/A, ANTICHAMA BWF-B, COBERTURA PVC-ST1, ANTICHAMA BWF-B, 1 CONDUTOR, 0,6/1 KV, SECAO NOMINAL 185 MM2</t>
  </si>
  <si>
    <t>00996</t>
  </si>
  <si>
    <t>CABO DE COBRE, FLEXIVEL, CLASSE 4 OU 5, ISOLACAO EM PVC/A, ANTICHAMA BWF-B, COBERTURA PVC-ST1, ANTICHAMA BWF-B, 1 CONDUTOR, 0,6/1 KV, SECAO NOMINAL 25 MM2</t>
  </si>
  <si>
    <t>01019</t>
  </si>
  <si>
    <t>CABO DE COBRE, FLEXIVEL, CLASSE 4 OU 5, ISOLACAO EM PVC/A, ANTICHAMA BWF-B, COBERTURA PVC-ST1, ANTICHAMA BWF-B, 1 CONDUTOR, 0,6/1 KV, SECAO NOMINAL 35 MM2</t>
  </si>
  <si>
    <t>01018</t>
  </si>
  <si>
    <t>CABO DE COBRE, FLEXIVEL, CLASSE 4 OU 5, ISOLACAO EM PVC/A, ANTICHAMA BWF-B, COBERTURA PVC-ST1, ANTICHAMA BWF-B, 1 CONDUTOR, 0,6/1 KV, SECAO NOMINAL 50 MM2</t>
  </si>
  <si>
    <t>00994</t>
  </si>
  <si>
    <t>CABO DE COBRE, FLEXIVEL, CLASSE 4 OU 5, ISOLACAO EM PVC/A, ANTICHAMA BWF-B, COBERTURA PVC-ST1, ANTICHAMA BWF-B, 1 CONDUTOR, 0,6/1 KV, SECAO NOMINAL 6 MM2</t>
  </si>
  <si>
    <t>00977</t>
  </si>
  <si>
    <t>CABO DE COBRE, FLEXIVEL, CLASSE 4 OU 5, ISOLACAO EM PVC/A, ANTICHAMA BWF-B, COBERTURA PVC-ST1, ANTICHAMA BWF-B, 1 CONDUTOR, 0,6/1 KV, SECAO NOMINAL 70 MM2</t>
  </si>
  <si>
    <t>00998</t>
  </si>
  <si>
    <t>CABO DE COBRE, FLEXIVEL, CLASSE 4 OU 5, ISOLACAO EM PVC/A, ANTICHAMA BWF-B, COBERTURA PVC-ST1, ANTICHAMA BWF-B, 1 CONDUTOR, 0,6/1 KV, SECAO NOMINAL 95 MM2</t>
  </si>
  <si>
    <t>MATED-12091</t>
  </si>
  <si>
    <t>BLOCO DE CONCRETO (TIPO: VEDAÇÃO| LARGURA: 19CM|ALTURA: 19CM|COMPRIMENTO: 39CM| ACABAMENTO: A REVESTIR|CLASSE: D)</t>
  </si>
  <si>
    <t>01013</t>
  </si>
  <si>
    <t>CABO DE COBRE, FLEXIVEL, CLASSE 4 OU 5, ISOLACAO EM PVC/A, ANTICHAMA BWF-B, 1 CONDUTOR, 450/750 V, SECAO NOMINAL 1,5 MM2</t>
  </si>
  <si>
    <t>00980</t>
  </si>
  <si>
    <t>CABO DE COBRE, FLEXIVEL, CLASSE 4 OU 5, ISOLACAO EM PVC/A, ANTICHAMA BWF-B, 1 CONDUTOR, 450/750 V, SECAO NOMINAL 10 MM2</t>
  </si>
  <si>
    <t>MATED-12110</t>
  </si>
  <si>
    <t>ORGANIZADOR DE CABOS (UNIDADE DE RACK: 1U|LARGURA: 19(482,60MM)|ALTURA: 1,75(44, 45MM OU 1U)|APLICAÇÃO: BASTIDORE/RACK DE REDE)</t>
  </si>
  <si>
    <t>01014</t>
  </si>
  <si>
    <t>CABO DE COBRE, FLEXIVEL, CLASSE 4 OU 5, ISOLACAO EM PVC/A, ANTICHAMA BWF-B, 1 CONDUTOR, 450/750 V, SECAO NOMINAL 2,5 MM2</t>
  </si>
  <si>
    <t>00981</t>
  </si>
  <si>
    <t>CABO DE COBRE, FLEXIVEL, CLASSE 4 OU 5, ISOLACAO EM PVC/A, ANTICHAMA BWF-B, 1 CONDUTOR, 450/750 V, SECAO NOMINAL 4 MM2</t>
  </si>
  <si>
    <t>MATED-12134</t>
  </si>
  <si>
    <t>CABIDE METÁLICO (TIPO: GANCHO SIMPLES|ACABAMENTO: CROMADO|ACESSÓRIOS DE FIXAÇÃO: INCLUSOS)</t>
  </si>
  <si>
    <t>00982</t>
  </si>
  <si>
    <t>CABO DE COBRE, FLEXIVEL, CLASSE 4 OU 5, ISOLACAO EM PVC/A, ANTICHAMA BWF-B, 1 CONDUTOR, 450/750 V, SECAO NOMINAL 6 MM2</t>
  </si>
  <si>
    <t>00862</t>
  </si>
  <si>
    <t>CABO DE COBRE NU 10 MM2 MEIO-DURO</t>
  </si>
  <si>
    <t>00863</t>
  </si>
  <si>
    <t>CABO DE COBRE NU 35 MM2 MEIO-DURO</t>
  </si>
  <si>
    <t>00867</t>
  </si>
  <si>
    <t>CABO DE COBRE NU 50 MM2 MEIO-DURO</t>
  </si>
  <si>
    <t>74.10.54</t>
  </si>
  <si>
    <t>INTERRUPTOR DIFERENCIAL RESIDUAL 25A-30mA, BIPOLAR</t>
  </si>
  <si>
    <t>74.10.55</t>
  </si>
  <si>
    <t>INTERRUPTOR DIFERENCIAL RESIDUAL 40A-30mA,BIPOLAR</t>
  </si>
  <si>
    <t>MATED-12194</t>
  </si>
  <si>
    <t>TORNEIRA METÁLICA DE FECHAMENTO AUTOMÁTICO (APLICAÇÃO: LAVATÓRIO|BICO: AREJADOR |ABERTURA: PRESSÃO|ACABAMENTO: CROMADO|BITOLA : 1/2|INSTALAÇÃO: MESA|REFERÊNCIA: 1170/1173)</t>
  </si>
  <si>
    <t>11251</t>
  </si>
  <si>
    <t>CAIXA DE PASSAGEM/ LUZ / TELEFONIA, DE EMBUTIR,  EM CHAPA DE ACO GALVANIZADO, DIMENSOES 40 X 40 X *12* CM (PADRAO CONCESSIONARIA LOCAL)</t>
  </si>
  <si>
    <t>MATED-12297</t>
  </si>
  <si>
    <t>QUADRO DE COMANDO PARA BOMBA P = 3 ,0 CV RECALQUE - IPRM</t>
  </si>
  <si>
    <t>MATED-12352</t>
  </si>
  <si>
    <t>ARGAMASSA COLANTE (TIPO: AC-III| UTILIZAÇÃO: AMBIENTES INTERNOS E EXTERNOS)</t>
  </si>
  <si>
    <t>01872</t>
  </si>
  <si>
    <t>CAIXA DE PASSAGEM, EM PVC, DE 4 X 2, PARA ELETRODUTO FLEXIVEL CORRUGADO</t>
  </si>
  <si>
    <t>01873</t>
  </si>
  <si>
    <t>CAIXA DE PASSAGEM, EM PVC, DE 4 X 4, PARA ELETRODUTO FLEXIVEL CORRUGADO</t>
  </si>
  <si>
    <t>MATED-12372</t>
  </si>
  <si>
    <t>PREGO 17X21 SEM CABEÇA ( COMPRIMENTO: 48,3MM|DIÂMETRO: 3,0MM|QUANTIDADE POR QUILO: 334)</t>
  </si>
  <si>
    <t>74.24.70</t>
  </si>
  <si>
    <t>BLOCO DE LIGACAO INTERNA BLI -10 (P.TELEBRAS)</t>
  </si>
  <si>
    <t>01106</t>
  </si>
  <si>
    <t>CAL HIDRATADA CH-I PARA ARGAMASSAS</t>
  </si>
  <si>
    <t>11552</t>
  </si>
  <si>
    <t>PERFIL EM ALUMINIO, FORMATO U, ABAS IGUAIS, LARGURA DE 12,70 MM (1/2 POL), ESPESSURA 1,58 MM (1/16 POL) E PESO LINEAR DE APROXIMADAMENTE 0,149 KG/M</t>
  </si>
  <si>
    <t>00658</t>
  </si>
  <si>
    <t>CANALETA DE CONCRETO 9 X 19 X 19 CM (CLASSE C - NBR 6136)</t>
  </si>
  <si>
    <t>00660</t>
  </si>
  <si>
    <t>CANALETA DE CONCRETO 19 X 19 X 19 CM (CLASSE C - NBR 6136)</t>
  </si>
  <si>
    <t>00586</t>
  </si>
  <si>
    <t>CANTONEIRA EM ALUMINIO, ABAS IGUAIS, LARGURA DE 25,40 MM (1), ESPESSURA DE 4,76 MM (3/16) E PESO LINEAR DE APROXIMADAMENTEO 0,593 KG/M</t>
  </si>
  <si>
    <t>00589</t>
  </si>
  <si>
    <t>CANTONEIRA EM ALUMINIO, ABAS IGUAIS, LARGURA DE 50,80 MM (2), ESPESSURA DE 6,35 MM (1/4) E PESO LINEAR DE APROXIMADAMENTE 1,630 KG/M</t>
  </si>
  <si>
    <t>00567</t>
  </si>
  <si>
    <t>CANTONEIRA (ABAS IGUAIS) EM ACO CARBONO, 25,4 MM X 3,17 MM (L X E), 1,27KG/M</t>
  </si>
  <si>
    <t>MATED-12538</t>
  </si>
  <si>
    <t>EXTINTOR DE PÓ QUIMICO (CAPACIDADE EXTINTORA: 20B:C|AGENTE: FOSFATO MONOAMÔNICO| CARGA: 4KG)</t>
  </si>
  <si>
    <t>MATED-12539</t>
  </si>
  <si>
    <t>EXTINTOR DE PÓ QUIMICO (CAPACIDADE EXTINTORA: 2-A:20-B:C|AGENTE: FOSFATO MONOAMÔNICO|CARGA: 4KG)</t>
  </si>
  <si>
    <t>MATED-12564</t>
  </si>
  <si>
    <t>DUCHA HIGIÊNICA (REGISTRO PARA CONTROLE DE FLUXO DE ÁGUA: INCLUSO|MATERIAL DA DUCHA: METAL|MATERIAL DA MANGUEIRA: METAL|COR: CROMADA|DIÂMETRO NOMINAL: 1/2 (20MM)| COMPRIMENTO: 120CM)</t>
  </si>
  <si>
    <t>MATED-12565</t>
  </si>
  <si>
    <t>ENGATE FLEXÍVEL METÁLICO (APLICAÇÃO: ENTRADA DE ÁGUA|COMPRIMENTO: 40CM|DIÂMETRO DA SEÇÃO: 1/2(20MM))</t>
  </si>
  <si>
    <t>01200</t>
  </si>
  <si>
    <t>CAP PVC, SOLDAVEL, DN 100 MM, SERIE NORMAL, PARA ESGOTO PREDIAL</t>
  </si>
  <si>
    <t>04274</t>
  </si>
  <si>
    <t>PARA-RAIOS TIPO FRANKLIN 350 MM, EM LATAO CROMADO, DUAS DESCIDAS, PARA PROTECAO DE EDIFICACOES CONTRA DESCARGAS ATMOSFERICAS</t>
  </si>
  <si>
    <t>10708</t>
  </si>
  <si>
    <t>CARPETE DE POLIESTER EM MANTA PARA TRAFEGO COMERCIAL PESADO, E = 4 A 5 MM (INSTALADO)</t>
  </si>
  <si>
    <t>10710</t>
  </si>
  <si>
    <t>CARPETE DE NYLON EM MANTA PARA TRAFEGO COMERCIAL PESADO, E = 6 A 7 MM (INSTALADO)</t>
  </si>
  <si>
    <t>74.51.05</t>
  </si>
  <si>
    <t>ESPUMA EXPANSIVA DE POLIURETANO, APLICACAO MANUAL - 500 ML</t>
  </si>
  <si>
    <t>10515</t>
  </si>
  <si>
    <t>REVESTIMENTO EM CERAMICA ESMALTADA EXTRA, PEI MAIOR OU IGUAL 4, FORMATO MAIOR A 2025 CM2</t>
  </si>
  <si>
    <t>01292</t>
  </si>
  <si>
    <t>PISO EM CERAMICA ESMALTADA EXTRA, COR LISA, PEI MAIOR OU IGUAL A 4, FORMATO MAIOR QUE 2025 CM2</t>
  </si>
  <si>
    <t>74.51.35</t>
  </si>
  <si>
    <t>SELANTE ELASTICO MONOCOMPONENTE A BASE DE POLIURETANO PARA JUNTAS DIVERSAS 310ML</t>
  </si>
  <si>
    <t>01340</t>
  </si>
  <si>
    <t>CHAPA DE LAMINADO MELAMINICO, LISO FOSCO, DE 1,25 X 3,08 METROS, ESPESSURA = 0,8 MILIMETROS</t>
  </si>
  <si>
    <t>01341</t>
  </si>
  <si>
    <t>CHAPA DE LAMINADO MELAMINICO, TEXTURIZADO, DE 1,25 X 3,08 METROS, ESPESSURA = 0,8 MILIMETROS</t>
  </si>
  <si>
    <t>01345</t>
  </si>
  <si>
    <t>CHAPA/PAINEL DE MADEIRA COMPENSADA PLASTIFICADA (MADEIRITE PLASTIFICADO) PARA FORMA DE CONCRETO, DE 2200 x 1100 MM, E = *17* MM</t>
  </si>
  <si>
    <t>01358</t>
  </si>
  <si>
    <t>CHAPA/PAINEL DE MADEIRA COMPENSADA RESINADA (MADEIRITE RESINADO ROSA) PARA FORMA DE CONCRETO, DE 2200 x 1100 MM, E = 17 MM</t>
  </si>
  <si>
    <t>76.46.03</t>
  </si>
  <si>
    <t>POSTE PARA GRADIL NYLOFOR 3D H= 2.60 M OU EQUIVALENTE</t>
  </si>
  <si>
    <t>77.05.51</t>
  </si>
  <si>
    <t>PREGO DE ACO POLIDO COM CABECA 18 X 30 (2 3/4 X 10)</t>
  </si>
  <si>
    <t>77.10.01</t>
  </si>
  <si>
    <t>PARAFUSO PARABOLT DE 1/4</t>
  </si>
  <si>
    <t>78.13.01</t>
  </si>
  <si>
    <t>GRADIL NYLOFOR 3D H= 2.03 M OU EQUIVALENTE</t>
  </si>
  <si>
    <t>01368</t>
  </si>
  <si>
    <t>CHUVEIRO COMUM EM PLASTICO BRANCO, COM CANO, 3 TEMPERATURAS, 5500 W (110/220 V)</t>
  </si>
  <si>
    <t>01367</t>
  </si>
  <si>
    <t>CHUVEIRO COMUM EM PLASTICO CROMADO, COM CANO, 4 TEMPERATURAS (110/220 V)</t>
  </si>
  <si>
    <t>01380</t>
  </si>
  <si>
    <t>CIMENTO BRANCO NAO ESTRUTURAL (CPB - NAO ESTRUTURAL)</t>
  </si>
  <si>
    <t>01379</t>
  </si>
  <si>
    <t>CIMENTO PORTLAND COMPOSTO CP II-32</t>
  </si>
  <si>
    <t>04791</t>
  </si>
  <si>
    <t>ADESIVO ACRILICO DE BASE AQUOSA / COLA DE CONTATO</t>
  </si>
  <si>
    <t>01339</t>
  </si>
  <si>
    <t>COLA A BASE DE RESINA SINTETICA PARA CHAPA DE LAMINADO MELAMINICO E OUTROS</t>
  </si>
  <si>
    <t>04823</t>
  </si>
  <si>
    <t>MASSA PLASTICA PARA MARMORE/GRANITO</t>
  </si>
  <si>
    <t>MATED-12975</t>
  </si>
  <si>
    <t>SIRENE PARA ALARME DE BOMBA EM FUNCIONAMENTO, 220V - IPRM</t>
  </si>
  <si>
    <t>MATED-13021</t>
  </si>
  <si>
    <t>MANÔMETRO ANALÓGICO (ROSCA: 1/2 NPT|FAIXA DE OPERAÇÃO: 600MBAR (8,70PSI))</t>
  </si>
  <si>
    <t>MATED-13022</t>
  </si>
  <si>
    <t>MANÔMETRO ANALÓGICO (ROSCA: 1/4 NPT|FAIXA DE OPERAÇÃO: 600MBAR (8,70PSI))</t>
  </si>
  <si>
    <t>81.20.03</t>
  </si>
  <si>
    <t>ESPELHO CRISTAL E = 4 MM</t>
  </si>
  <si>
    <t>MATED-13047</t>
  </si>
  <si>
    <t>PRESSOSTATO (FAIXA DE OPERAÇÃO: (0,2- 4BAR) 3-58PSI)</t>
  </si>
  <si>
    <t>01524</t>
  </si>
  <si>
    <t>CONCRETO USINADO BOMBEAVEL, CLASSE DE RESISTENCIA C20, BRITA 0 E 1, SLUMP = 100 +/- 20 MM, COM BOMBEAMENTO (DISPONIBILIZACAO DE BOMBA), SEM O LANCAMENTO (NBR 8953)</t>
  </si>
  <si>
    <t>MATED-13096</t>
  </si>
  <si>
    <t>CESTA BÁSICA/ALIMENTAÇÃO - HORISTA ( ENCARGOS COMPLEMENTARES)</t>
  </si>
  <si>
    <t>hora</t>
  </si>
  <si>
    <t>MATED-13097</t>
  </si>
  <si>
    <t>TRANSPORTE - HORISTA (ENCARGOS COMPLEMENTARES)</t>
  </si>
  <si>
    <t>MATED-13098</t>
  </si>
  <si>
    <t>SEGURO - HORISTA (ENCARGOS COMPLEMENTARES)</t>
  </si>
  <si>
    <t>MATED-13099</t>
  </si>
  <si>
    <t>EXAMES - HORISTA (ENCARGOS COMPLEMENTARES)</t>
  </si>
  <si>
    <t>MATED-13778</t>
  </si>
  <si>
    <t>PARAFUSO (ROSCA: AUTOATARRAXANTE| APLICAÇÃO: MADEIRA|CABEÇA: CHATA PHILIPS| MATERIAL: AÇO|ACABAMENTO: ZINCADO|COMPRIMENTO : 32MM|DIÂMETRO: 3,9MM)</t>
  </si>
  <si>
    <t>02560</t>
  </si>
  <si>
    <t>CONDULETE DE ALUMINIO TIPO C, PARA ELETRODUTO ROSCAVEL DE 1, COM TAMPA CEGA</t>
  </si>
  <si>
    <t>02559</t>
  </si>
  <si>
    <t>CONDULETE DE ALUMINIO TIPO C, PARA ELETRODUTO ROSCAVEL DE 3/4, COM TAMPA CEGA</t>
  </si>
  <si>
    <t>MATED-14619</t>
  </si>
  <si>
    <t>FERRAMENTAS PARA FAMÍLIA CARPINTEIRO DE FORMAS - HORISTA (ENCARGOS COMPLEMENTARES)</t>
  </si>
  <si>
    <t>MATED-14620</t>
  </si>
  <si>
    <t>FERRAMENTAS PARA FAMÍLIA ELETRICISTA - HORISTA (ENCARGOS COMPLEMENTARES )</t>
  </si>
  <si>
    <t>MATED-14621</t>
  </si>
  <si>
    <t>FERRAMENTAS PARA FAMÍLIA ENCANADOR/BOMBEIRO - HORISTA (ENCARGOS COMPLEMENTARES)</t>
  </si>
  <si>
    <t>MATED-14624</t>
  </si>
  <si>
    <t>FERRAMENTAS PARA FAMÍLIA OPERADOR ESCAVADEIRA - HORISTA (ENCARGOS COMPLEMENTARES)</t>
  </si>
  <si>
    <t>MATED-14625</t>
  </si>
  <si>
    <t>FERRAMENTAS PARA FAMÍLIA PEDREIRO - HORISTA (ENCARGOS COMPLEMENTARES)</t>
  </si>
  <si>
    <t>MATED-14626</t>
  </si>
  <si>
    <t>FERRAMENTAS PARA FAMÍLIA PINTOR - HORISTA (ENCARGOS COMPLEMENTARES)</t>
  </si>
  <si>
    <t>02581</t>
  </si>
  <si>
    <t>CONDULETE DE ALUMINIO TIPO X, PARA ELETRODUTO ROSCAVEL DE 1, COM TAMPA CEGA</t>
  </si>
  <si>
    <t>MATED-14627</t>
  </si>
  <si>
    <t>FERRAMENTAS PARA FAMÍLIA SERVENTE - HORISTA (ENCARGOS COMPLEMENTARES)</t>
  </si>
  <si>
    <t>MATED-14631</t>
  </si>
  <si>
    <t>EPI PARA FAMÍLIA CARPINTEIRO DE FORMAS - HORISTA (ENCARGOS COMPLEMENTARES)</t>
  </si>
  <si>
    <t>02580</t>
  </si>
  <si>
    <t>CONDULETE DE ALUMINIO TIPO X, PARA ELETRODUTO ROSCAVEL DE 3/4, COM TAMPA CEGA</t>
  </si>
  <si>
    <t>MATED-14632</t>
  </si>
  <si>
    <t>EPI PARA FAMÍLIA ELETRICISTA - HORISTA (ENCARGOS COMPLEMENTARES)</t>
  </si>
  <si>
    <t>MATED-14633</t>
  </si>
  <si>
    <t>EPI PARA FAMÍLIA ENCANADOR - HORISTA (ENCARGOS COMPLEMENTARES)</t>
  </si>
  <si>
    <t>MATED-14636</t>
  </si>
  <si>
    <t>EPI PARA FAMÍLIA OPERADOR ESCAVADEIRA - HORISTA (ENCARGOS COMPLEMENTARES)</t>
  </si>
  <si>
    <t>MATED-14637</t>
  </si>
  <si>
    <t>EPI PARA FAMÍLIA PEDREIRO - HORISTA ( ENCARGOS COMPLEMENTARES)</t>
  </si>
  <si>
    <t>MATED-14638</t>
  </si>
  <si>
    <t>EPI PARA FAMÍLIA PINTOR - HORISTA ( ENCARGOS COMPLEMENTARES)</t>
  </si>
  <si>
    <t>MATED-14639</t>
  </si>
  <si>
    <t>EPI PARA FAMÍLIA SERVENTE - HORISTA ( ENCARGOS COMPLEMENTARES)</t>
  </si>
  <si>
    <t>MATED-15101</t>
  </si>
  <si>
    <t>MASSA PLÁSTICA (COR: BRANCA, CINZA OU PRETA|CATALIZADOR: INCLUSO|RENDIMENTO: 0, 59KG/M2)</t>
  </si>
  <si>
    <t>CONE DE SINALIZACAO EM PVC RIGIDO COM FAIXA REFLETIVA, H = 70 / 76 CM</t>
  </si>
  <si>
    <t>01562</t>
  </si>
  <si>
    <t>CONECTOR METALICO TIPO PARAFUSO FENDIDO (SPLIT BOLT), COM SEPARADOR DE CABOS BIMETALICOS, PARA CABOS ATE 50 MM2</t>
  </si>
  <si>
    <t>MATED-15606</t>
  </si>
  <si>
    <t>MÓDULO PARA DADOS/TELEFONIA ( CONECTOR: RJ45 CAT.6|QUANTIDADE DE VIAS: 8| MATERIAL: PLÁSTICO|PLACA E SUPORTE: NÃO INCLUSO)</t>
  </si>
  <si>
    <t>MATED-17039</t>
  </si>
  <si>
    <t>DISJUNTOR (TIPO: TRIPOLAR|CURVA:C| CORRENTE: 80A|I MÁX: 10KA)</t>
  </si>
  <si>
    <t>06142</t>
  </si>
  <si>
    <t>CONJUNTO DE LIGACAO AJUSTAVEL, PARA VASO / BACIA SANITARIA , EM PLASTICO BRANCO, COM TUBO, CANOPLA E ESPUDE</t>
  </si>
  <si>
    <t>MATED-17644</t>
  </si>
  <si>
    <t>TRILHO PARA FIXAÇÃO DE DISJUNTORES ( MATERIAL: AÇO|MEDIDAS: 35X7,5MM|TIPO: PERFURADO| PADRÃO: DIN)</t>
  </si>
  <si>
    <t>MATED-17645</t>
  </si>
  <si>
    <t>CANALETA PARA PASSAGEM DE CABOS ( MATERIAL: PVC|MEDIDAS: 30X30MM|TIPO: RECORTE ABERTO)</t>
  </si>
  <si>
    <t>01619</t>
  </si>
  <si>
    <t>CONTATOR TRIPOLAR, CORRENTE DE 25 A, TENSAO NOMINAL DE *500* V, CATEGORIA AC-2 E AC-3</t>
  </si>
  <si>
    <t>01620</t>
  </si>
  <si>
    <t>CONTATOR TRIPOLAR, CORRENTE DE *38* A, TENSAO NOMINAL DE *500* V, CATEGORIA AC-2 E AC-3</t>
  </si>
  <si>
    <t>MATED-17913</t>
  </si>
  <si>
    <t>ELETROCALHA METÁLICA (TIPO: LISA SEM VIROLA|TRATAMENTO: PRÉ-ZINCADO|CHAPA: N°18| MEDIDAS: 100X100MM)</t>
  </si>
  <si>
    <t>MATED-17914</t>
  </si>
  <si>
    <t>ELETROCALHA METÁLICA (TIPO: LISA SEM VIROLA|TRATAMENTO: PRÉ-ZINCADO|CHAPA: N°18| MEDIDAS: 150X50MM)</t>
  </si>
  <si>
    <t>MATED-17916</t>
  </si>
  <si>
    <t>ELETROCALHA METÁLICA (TIPO: LISA SEM VIROLA|TRATAMENTO: PRÉ-ZINCADO|CHAPA: N°18| MEDIDAS: 200X50MM)</t>
  </si>
  <si>
    <t>MATED-17918</t>
  </si>
  <si>
    <t>ELETROCALHA METÁLICA (TIPO: LISA SEM VIROLA|TRATAMENTO: PRÉ-ZINCADO|CHAPA: N°18| MEDIDAS: 300X50MM)</t>
  </si>
  <si>
    <t>MATED-17930</t>
  </si>
  <si>
    <t>TAMPA PARA ELETROCALHA METÁLICA ( TIPO: ENCAIXE|TRATAMENTO: PRÉ-ZINCADO|CHAPA: N°24|MEDIDA: 100MM)</t>
  </si>
  <si>
    <t>MATED-17931</t>
  </si>
  <si>
    <t>TAMPA PARA ELETROCALHA METÁLICA ( TIPO: ENCAIXE|TRATAMENTO: PRÉ-ZINCADO|CHAPA: N°24|MEDIDA: 150MM)</t>
  </si>
  <si>
    <t>MATED-17932</t>
  </si>
  <si>
    <t>TAMPA PARA ELETROCALHA METÁLICA ( TIPO: ENCAIXE|TRATAMENTO: PRÉ-ZINCADO|CHAPA: N°24|MEDIDA: 200MM)</t>
  </si>
  <si>
    <t>MATED-17933</t>
  </si>
  <si>
    <t>TAMPA PARA ELETROCALHA METÁLICA ( TIPO: ENCAIXE|TRATAMENTO: PRÉ-ZINCADO|CHAPA: N°24|MEDIDA: 300MM)</t>
  </si>
  <si>
    <t>MATED-18323</t>
  </si>
  <si>
    <t>CANTONEIRA ZZ /JUNÇÃO ANGULAR PARA PERFILADO (MATERIAL: CHAPA DE AÇO|TRATAMENTO: PRÉ-ZINCADO|ALTURA: 38MM|LARGURA:38MM)</t>
  </si>
  <si>
    <t>MATED-18324</t>
  </si>
  <si>
    <t>PORCA SEXTAVADA (MATERIAL: AÇO| DIÂMETRO: 6,35MM (1/4)|PESO/100PÇ: 0,320 KG)</t>
  </si>
  <si>
    <t>MATED-18325</t>
  </si>
  <si>
    <t>ARRUELA LISA REDONDA (DIÂMETRO 6, 8MM (1/4)|ACABAMENTO: ZINCADO|PESO: 560UN/KG)* VALORES REFERENCIAIS APROXIMADOS</t>
  </si>
  <si>
    <t>MATED-19213</t>
  </si>
  <si>
    <t>DISJUNTOR (TIPO: TRIPOLAR|CURVA:C| CORRENTE: 100A|I MÁX: 10KA)</t>
  </si>
  <si>
    <t>01743</t>
  </si>
  <si>
    <t>CUBA ACO INOX (AISI 304) DE EMBUTIR COM VALVULA 3 1/2 , DE *46 X 30 X 12* CM</t>
  </si>
  <si>
    <t>MATED-19506</t>
  </si>
  <si>
    <t>PARAFUSO (ROSCA: INTEIRA|APLICAÇÃO: ELETROCALHA E PERFILADO|CABEÇA: LENTILHA| MATERIAL: INOX|ACABAMENTO: CROMADO|BITOLA: 1/4(6 ,35MM)X1/2(12,7MM)|PESO/100PÇ : 0,541KG)</t>
  </si>
  <si>
    <t>MATED-19528</t>
  </si>
  <si>
    <t>TALA RETA (TIPO: AUTOPORTANTE| TRATAMENTO: PRÉ-ZINCADO|CHAPA: N°18|MEDIDA: 50MM|APLICAÇÃO: EMENDA PARA ELETROCALHA)</t>
  </si>
  <si>
    <t>MATED-19529</t>
  </si>
  <si>
    <t>TALA RETA (TIPO: AUTOPORTANTE| TRATAMENTO: PRÉ-ZINCADO|CHAPA: N°18|MEDIDA: 100MM|APLICAÇÃO: EMENDA PARA ELETROCALHA)</t>
  </si>
  <si>
    <t>MATED-20766</t>
  </si>
  <si>
    <t>KIT PARA POLIMENTO (APLICAÇÃO: MÁRMORE E GRANITO|ACABAMENTO: PRÉ-POLIMENTO, POLIMENTO E LUSTRO|INCLUSO: LIXA DIAMANTADA)</t>
  </si>
  <si>
    <t>MATED-20773</t>
  </si>
  <si>
    <t>DISCO DIAMANTADO (APLICAÇÃO: MULTIUSO|DIÂMETRO DO FURO: 25,4MM|ESPESSURA DO DISCO: 2,2MM*|DIÂMETRO NOMINAL: 14 (350MM))* VALORES REFERENCIAIS APROXIMADOS</t>
  </si>
  <si>
    <t>MATED-21574</t>
  </si>
  <si>
    <t>GRANITO (COR: CINZA ANDORINHA| ACABAMENTO: POLIDO|ESPESSURA: 2CM|DENSIDADE: 2, 8G/CM3*|PESO: 56KG/M2) *FONTE NBR 6120</t>
  </si>
  <si>
    <t>MATED-21949</t>
  </si>
  <si>
    <t>ALAVANCA PARA JANELA (ACABAMENTO: ZAMAC|TIPO: BASCULANTE|PARAFUSOS: INCLUSOS)</t>
  </si>
  <si>
    <t>MATED-22708</t>
  </si>
  <si>
    <t>MANGUEIRA PARA INCÊNDIO COM UNIÃO E ENGATE RÁPIDO (COMPRIMENTO: 15M|TIPO: 2|PRESSÃO DE TRABALHO: 1370KPA|MATERIAL DE REVESTIMENTO: POLIÉSTER E BORRACHA|BITOLA: 38MM (1.1/2))</t>
  </si>
  <si>
    <t>MATED-26990</t>
  </si>
  <si>
    <t>LUMINÁRIA DE EMERGÊNCIA (TIPO: LED| POTÊNCIA: 8W|AUTONOMIA: 3 HORAS|FLUXO LUMINOSO: 1200LM|TENSÃO: 110V-220V|QUANTIDADE DE FARÓIS: 2| ACESSÓRIOS DE FIXAÇÃO: INCLUSOS)</t>
  </si>
  <si>
    <t>MATED-27954</t>
  </si>
  <si>
    <t>TUBO DE AÇO (TIPO: INDUSTRIAL COM COSTURA|MATERIAL: AÇO GALVANIZADO|NORMA: NBR- 6591)</t>
  </si>
  <si>
    <t>MATED-28646</t>
  </si>
  <si>
    <t>SUPORTE PARA EXTINTOR (TIPO: PAREDE| MATERIAL: AÇO GALVANIZADO||CARGA MÁXIMA: EXINTOR COM CARGA DE ATÉ 12KG)</t>
  </si>
  <si>
    <t>MATED-29257</t>
  </si>
  <si>
    <t>BRAÇO PARA JANELA MAXIM-AR ( COMPRIMENTO: 400MM|LINHA: 25 OU 32|REFERÊNCIA: BRA-704|EMBALAGEM: PAR)</t>
  </si>
  <si>
    <t>MATED-29259</t>
  </si>
  <si>
    <t>FECHO PARA ABERTURA DE JANELA MAXIM-AR (REFERÊNCIA: FEC-009)</t>
  </si>
  <si>
    <t>MATED-29525</t>
  </si>
  <si>
    <t>TELA DE AÇO CA-60 SOLDADA TIPO Q-92 ( DIÂMETRO DO FIO: 4,20MM|TRAMA: 150X150MM|TIPO DA MALHA: QUADRANGULAR|PESO: 1,48KG/M2)</t>
  </si>
  <si>
    <t>MATED-31380</t>
  </si>
  <si>
    <t>PLACA DE SINALIZAÇÃO DE EMERGÊNCIA ( TIPO: PROIBIÇÃO(P)|FORMATO: CIRCULAR|MATERIAL: PVC|ESPESSURA: 1MM)*VALORES REFERENCIAIS APROXIMADOS</t>
  </si>
  <si>
    <t>MATED-31381</t>
  </si>
  <si>
    <t>PLACA DE SINALIZAÇÃO DE EMERGÊNCIA ( TIPO: ALERTA(A)|FORMATO: TRIANGULAR|MATERIAL: PVC|ESPESSURA: 1MM)*VALORES REFERENCIAIS APROXIMADOS</t>
  </si>
  <si>
    <t>MATED-31382</t>
  </si>
  <si>
    <t>PLACA DE SINALIZAÇÃO DE EMERGÊNCIA ( TIPO: ORIENTAÇÃO E SALVAMENTO(S)|FORMATO: RETANGULAR|MATERIAL: PVC|ESPESSURA: 1MM)* VALORES REFERENCIAIS APROXIMADOS</t>
  </si>
  <si>
    <t>MATED-31383</t>
  </si>
  <si>
    <t>PLACA DE SINALIZAÇÃO DE EMERGÊNCIA ( TIPO: EQUIPAMENTOS DE COMBATE A INCÊNDIO E ALARME(E)|FORMATO: QUADRADO|MATERIAL: PVC| ESPESSURA: 1MM)*VALORES REFERENCIAIS APROXIMADOS</t>
  </si>
  <si>
    <t>MATED-31493</t>
  </si>
  <si>
    <t>FITA DUPLA FACE (LARGURA: 12MM|COR: TRANSPARENTE|COMPRIMENTO DO ROLO*: 20M| APLICAÇÃO: USO GERAL)*VALORES REFERENCIAIS APROXIMADOS</t>
  </si>
  <si>
    <t>MATED-31669</t>
  </si>
  <si>
    <t>DISCO DE CORTE PARA SERRA DE BANCADA (DIÂMETRO DO FURO: 30MM|DIÂMETRO NOMINAL: 10(250MM)|APLICAÇÃO: MADEIRA)</t>
  </si>
  <si>
    <t>MATED-32244</t>
  </si>
  <si>
    <t>PLACA DE SINALIZAÇÃO DE EMERGÊNCIA ( TIPO:MENSAGEM ESCRITA(M)|FORMATO: RETANGULAR| MATERIAL: PVC|ESPESSURA: 1MM)*VALORES REFERENCIAIS APROXIMADOS</t>
  </si>
  <si>
    <t>MATED-34310</t>
  </si>
  <si>
    <t>BUCHA DE NYLON (DIÂMETRO NOMINAL: 8MM|COMPRIMENTO DA BUCHA: 55MM|DIÂMETRO DO PARAFUSO: 4,5-6MM)</t>
  </si>
  <si>
    <t>MATED-34311</t>
  </si>
  <si>
    <t>BUCHA DE NYLON (DIÂMETRO NOMINAL: 10MM|COMPRIMENTO DA BUCHA: 50MM|DIÂMETRO DO PARAFUSO: 6-8MM)</t>
  </si>
  <si>
    <t>MATED-34417</t>
  </si>
  <si>
    <t>TERMINAL ELÉTRICO (TIPO: ILHÓS| MATERIAL: COBRE ESTANHADO|BITOLA: 35MM2)</t>
  </si>
  <si>
    <t>MATED-34634</t>
  </si>
  <si>
    <t>VERNIZ (TIPO: IMPREGNANTE|APLICAÇÃO: ESQUADRIAS E DECK DE MADEIRA|ACABAMENTO: ACETINADO)</t>
  </si>
  <si>
    <t>MATED-4374</t>
  </si>
  <si>
    <t>PARAFUSO (ROSCA: SOBERBA|CABEÇA SEXTAVADA|MATERAL: AÇO|COMPRIMENTO: 50MM| DIÂMETRO: 4,8MM (3/16))</t>
  </si>
  <si>
    <t>MATED-4377</t>
  </si>
  <si>
    <t>PARAFUSO (ROSCA: AUTOATARRAXANTE| CABEÇA: PANELA FENDA|COMPRIMENTO: 50MM| DIÂMETRO: 4,8MM)</t>
  </si>
  <si>
    <t>MATED-5026</t>
  </si>
  <si>
    <t>ADESIVO (TIPO: COLA ACRÍLICA|APLICAÇÃO: PISOS VINÍLICOS EM GERAL E CARPETES)</t>
  </si>
  <si>
    <t>MATED-5029</t>
  </si>
  <si>
    <t>PISO VINÍLICO (ACABAMENTO: AMADEIRADO |TIPO: COMERCIAL|ESPESSURA*: 2MM|DIMENSÕES*: 18X120CM) * VALORES REFERENCIAIS APROXIMADOS</t>
  </si>
  <si>
    <t>MATED-8356</t>
  </si>
  <si>
    <t>BARRA AÇO (TIPO: CA-50|BITOLA: 6,3MM(1/4 )|MASSA LINEAR: 0,245KG/M)</t>
  </si>
  <si>
    <t>MATED-8357</t>
  </si>
  <si>
    <t>BARRA AÇO (TIPO: CA-50|BITOLA: 8MM(5/16) |MASSA LINEAR: 0,395KG/M)</t>
  </si>
  <si>
    <t>MATED-8358</t>
  </si>
  <si>
    <t>BARRA AÇO (TIPO: CA-50 |BITOLA: 12,5MM(1/ 2)|MASSA LINEAR: 0,963KG/M)</t>
  </si>
  <si>
    <t>MATED-8359</t>
  </si>
  <si>
    <t>BARRA AÇO (TIPO: CA-50|BITOLA: 20MM(3/4) |MASSA LINEAR: 2,466KG/M)</t>
  </si>
  <si>
    <t>MATED-8961</t>
  </si>
  <si>
    <t>FIXADOR DE CAL (CONTEÚDO: 150 ML)</t>
  </si>
  <si>
    <t>MATED-9297</t>
  </si>
  <si>
    <t>ESPAÇADOR/DISTANCIADOR (MATERIAL: PLÁSTICO|COBRIMENTO: 30MM|TIPO: TORRE/ CADEIRINHA/PINO|BITOLA AÇO: MENOR OU IGUAL 12, 5MM)</t>
  </si>
  <si>
    <t>MATED-9299</t>
  </si>
  <si>
    <t>ESPAÇADOR/DISTANCIADOR (MATERIAL: PLÁSTICO|COBRIMENTO: 30MM|TIPO: CIRCULAR ENTRADA LATERAL|BITOLA AÇO: MENOR OU IGUAL 12, 5MM)</t>
  </si>
  <si>
    <t>MATED-9300</t>
  </si>
  <si>
    <t>ESPAÇADOR/DISTANCIADOR (MATERIAL: PLÁSTICO|COBRIMENTO: 50MM|TIPO: CIRCULAR ENTRADA LATERAL|BITOLA AÇO: MAIOR 12,5MM)</t>
  </si>
  <si>
    <t>MATED-9598</t>
  </si>
  <si>
    <t>FITA CREPE ROLO (LARGURA: 25MM| COMPRIMENTO DO ROLO*: 50M)*VALORES REFERENCIAIS APROXIMADOS</t>
  </si>
  <si>
    <t>MATED-9872</t>
  </si>
  <si>
    <t>LÂMPADA (TIPO: LED|FORMATO: TUBULAR| COMPRIMENTO: 60CM|DIÂMETRO: T8(Ø26MM)|POTÊNCIA: 9-10W|LÚMENS: 900LM|COR DA LUZ: BRANCA-6500K| SOQUETE-BASE: G13|TENSÃO: 110/220V)</t>
  </si>
  <si>
    <t>MATED-9873</t>
  </si>
  <si>
    <t>LÂMPADA (TIPO: LED|FORMATO: TUBULAR| COMPRIMENTO: 120CM|DIÂMETRO: T8(Ø26MM)|POTÊNCIA : 18-20W|LÚMENS: 1850LM|COR DA LUZ: BRANCA-6500K| SOQUETE-BASE: G13|TENSÃO: 110|220V)</t>
  </si>
  <si>
    <t>MATED-9899</t>
  </si>
  <si>
    <t>LUMINÁRIA DE EMERGÊNCIA (TIPO: LED| POTÊNCIA: 2W|AUTONOMIA: 6 HORAS|FLUXO LUMINOSO: 100LM|TENSÃO: 110V-220V|ACESSÓRIOS DE FIXAÇÃO: INCLUSOS)</t>
  </si>
  <si>
    <t>83.41.04</t>
  </si>
  <si>
    <t>FITA DUPLA FACE TRANSFERIVEL VHB12MMX20M UNITARIO 3M OU EQUIVALENTE</t>
  </si>
  <si>
    <t>01966</t>
  </si>
  <si>
    <t>CURVA PVC CURTA 90 GRAUS, DN 100 MM, PARA ESGOTO PREDIAL</t>
  </si>
  <si>
    <t>02692</t>
  </si>
  <si>
    <t>DESMOLDANTE PROTETOR PARA FORMAS DE MADEIRA, DE BASE OLEOSA EMULSIONADA EM AGUA</t>
  </si>
  <si>
    <t>05330</t>
  </si>
  <si>
    <t>DILUENTE EPOXI</t>
  </si>
  <si>
    <t>71.01.10</t>
  </si>
  <si>
    <t>TÁBUA DE MADEIRA DE REFLORESTAMENTO APARELHADA E=2,5 L=30 CM (1X12)</t>
  </si>
  <si>
    <t>77.10.03</t>
  </si>
  <si>
    <t>BUCHA DE NYLON S6 REF 4375</t>
  </si>
  <si>
    <t>77.10.04</t>
  </si>
  <si>
    <t>BOTAO ROSCA INTERNA CABECA CHATA MACICA, FORMATO REDONDO, METAL, 19 MM, INCLUSO ARRUELA E PARAFUSO REF 44121</t>
  </si>
  <si>
    <t>02392</t>
  </si>
  <si>
    <t>DISJUNTOR TIPO NEMA, TRIPOLAR 10  ATE  50A, TENSAO MAXIMA DE 415 V</t>
  </si>
  <si>
    <t>82.17.12</t>
  </si>
  <si>
    <t>ADESIVO DE SILICONE PARA FIXAR ESPELHO, 360 G</t>
  </si>
  <si>
    <t>02432</t>
  </si>
  <si>
    <t>DOBRADICA EM ACO/FERRO, 3 1/2 X  3, E= 1,9  A 2 MM, COM ANEL,  CROMADO OU ZINCADO, TAMPA BOLA, COM PARAFUSOS</t>
  </si>
  <si>
    <t>83.42.02</t>
  </si>
  <si>
    <t>TARUGO DELIMITADOR DE PROFUNDIDADE EM ESPUMA DE POLIETILENO DE BAIXA DENSIDADE 10 MM, CINZA REF 44073</t>
  </si>
  <si>
    <t>83.42.03</t>
  </si>
  <si>
    <t>PRIMER DE POLIURETANO REF 44074</t>
  </si>
  <si>
    <t>10998</t>
  </si>
  <si>
    <t>ELETRODO REVESTIDO AWS - E-6010, DIAMETRO IGUAL A 4,00 MM</t>
  </si>
  <si>
    <t>11002</t>
  </si>
  <si>
    <t>ELETRODO REVESTIDO AWS - E6013, DIAMETRO IGUAL A 2,50 MM</t>
  </si>
  <si>
    <t>21128</t>
  </si>
  <si>
    <t>ELETRODUTO EM ACO GALVANIZADO ELETROLITICO, LEVE, DIAMETRO 3/4, PAREDE DE 0,90 MM</t>
  </si>
  <si>
    <t>02504</t>
  </si>
  <si>
    <t>ELETRODUTO FLEXIVEL, EM FITA DE ACO GALVANIZADO, REVESTIDO COM PVC PRETO, DIAMETRO EXTERNO DE 25 MM, DN = 3/4, TIPO SEALTUBO</t>
  </si>
  <si>
    <t>02501</t>
  </si>
  <si>
    <t>ELETRODUTO FLEXIVEL, EM FITA DE ACO GALVANIZADO, REVESTIDO COM PVC PRETO, DIAMETRO EXTERNO DE 32 MM, DN = 1, TIPO SEALTUBO</t>
  </si>
  <si>
    <t>02502</t>
  </si>
  <si>
    <t>ELETRODUTO FLEXIVEL, EM FITA DE ACO GALVANIZADO, REVESTIDO COM PVC PRETO, DIAMETRO EXTERNO DE 40 MM, DN = 1 1/4 TIPO SEALTUBO</t>
  </si>
  <si>
    <t>02503</t>
  </si>
  <si>
    <t>ELETRODUTO FLEXIVEL, EM FITA DE ACO GALVANIZADO, REVESTIDO COM PVC PRETO, DIAMETRO EXTERNO DE 50 MM, DN = 1 1/2 TIPO SEALTUBO</t>
  </si>
  <si>
    <t>02500</t>
  </si>
  <si>
    <t>ELETRODUTO FLEXIVEL, EM FITA DE ACO GALVANIZADO, REVESTIDO COM PVC PRETO, DIAMETRO EXTERNO DE 60 MM, DN = 2, TIPO SEALTUBO</t>
  </si>
  <si>
    <t>02505</t>
  </si>
  <si>
    <t>ELETRODUTO FLEXIVEL, EM FITA DE ACO GALVANIZADO, REVESTIDO COM PVC PRETO, DIAMETRO EXTERNO DE 75 MM, DN = 2 1/2 TIPO SEALTUBO</t>
  </si>
  <si>
    <t>02674</t>
  </si>
  <si>
    <t>ELETRODUTO DE PVC RIGIDO ROSCAVEL DE 3/4 , SEM LUVA</t>
  </si>
  <si>
    <t>02685</t>
  </si>
  <si>
    <t>ELETRODUTO DE PVC RIGIDO ROSCAVEL DE 1 , SEM LUVA</t>
  </si>
  <si>
    <t>02684</t>
  </si>
  <si>
    <t>ELETRODUTO DE PVC RIGIDO ROSCAVEL DE 1 1/4 , SEM LUVA</t>
  </si>
  <si>
    <t>02680</t>
  </si>
  <si>
    <t>ELETRODUTO DE PVC RIGIDO ROSCAVEL DE 1 1/2 , SEM LUVA</t>
  </si>
  <si>
    <t>02682</t>
  </si>
  <si>
    <t>ELETRODUTO DE PVC RIGIDO ROSCAVEL DE 2 1/2 , SEM LUVA</t>
  </si>
  <si>
    <t>02686</t>
  </si>
  <si>
    <t>ELETRODUTO DE PVC RIGIDO ROSCAVEL DE 3 , SEM LUVA</t>
  </si>
  <si>
    <t>11683</t>
  </si>
  <si>
    <t>ENGATE / RABICHO FLEXIVEL INOX 1/2  X 30 CM</t>
  </si>
  <si>
    <t>11684</t>
  </si>
  <si>
    <t>ENGATE / RABICHO FLEXIVEL INOX 1/2  X 40 CM</t>
  </si>
  <si>
    <t>11186</t>
  </si>
  <si>
    <t>03099</t>
  </si>
  <si>
    <t>FECHADURA ROSETA REDONDA PARA PORTA DE BANHEIRO, EM ACO INOX (MAQUINA, TESTA E CONTRA-TESTA) E EM ZAMAC (MACANETA, LINGUETA E TRINCOS) COM ACABAMENTO CROMADO, MAQUINA DE 55 MM, INCLUINDO CHAVE TIPO TRANQUETA</t>
  </si>
  <si>
    <t>CJ</t>
  </si>
  <si>
    <t>FITA CREPE ROLO DE 25 MM X 50 M</t>
  </si>
  <si>
    <t>14153</t>
  </si>
  <si>
    <t>FITA METALICA PERFURADA, L = *18* MM, ROLO DE 30 M, CARGA RECOMENDADA = *30* KGF</t>
  </si>
  <si>
    <t>03146</t>
  </si>
  <si>
    <t>FITA VEDA ROSCA EM ROLOS DE 18 MM X 10 M (L X C)</t>
  </si>
  <si>
    <t>03148</t>
  </si>
  <si>
    <t>FITA VEDA ROSCA EM ROLOS DE 18 MM X 50 M (L X C)</t>
  </si>
  <si>
    <t>07307</t>
  </si>
  <si>
    <t>FUNDO ANTICORROSIVO PARA METAIS FERROSOS (ZARCAO)</t>
  </si>
  <si>
    <t>12344</t>
  </si>
  <si>
    <t>FUSIVEL DIAZED 20 A TAMANHO DII, CAPACIDADE DE INTERRUPCAO DE 50 KA EM VCA E 8 KA EM VCC, TENSAO NOMIMNAL DE 500 V</t>
  </si>
  <si>
    <t>12343</t>
  </si>
  <si>
    <t>FUSIVEL DIAZED 35 A TAMANHO DIII, CAPACIDADE DE INTERRUPCAO DE 50 KA EM VCA E 8 KA EM VCC, TENSAO NOMIMNAL DE 500 V</t>
  </si>
  <si>
    <t>03302</t>
  </si>
  <si>
    <t>FUSIVEL NH 100 A TAMANHO 00, CAPACIDADE DE INTERRUPCAO DE 120 KA, TENSAO NOMIMNAL DE 500 V</t>
  </si>
  <si>
    <t>03297</t>
  </si>
  <si>
    <t>FUSIVEL NH 125 A TAMANHO 00, CAPACIDADE DE INTERRUPCAO DE 120 KA, TENSAO NOMIMNAL DE 500 V</t>
  </si>
  <si>
    <t>03294</t>
  </si>
  <si>
    <t>FUSIVEL NH 160 A TAMANHO 00, CAPACIDADE DE INTERRUPCAO DE 120 KA, TENSAO NOMIMNAL DE 500 V</t>
  </si>
  <si>
    <t>04226</t>
  </si>
  <si>
    <t>GAS DE COZINHA - GLP</t>
  </si>
  <si>
    <t>04222</t>
  </si>
  <si>
    <t>GASOLINA COMUM</t>
  </si>
  <si>
    <t>03315</t>
  </si>
  <si>
    <t>GESSO EM PO PARA REVESTIMENTOS/MOLDURAS/SANCAS E USO GERAL</t>
  </si>
  <si>
    <t>11795</t>
  </si>
  <si>
    <t>GRANITO PARA BANCADA, POLIDO, TIPO ANDORINHA/ QUARTZ/ CASTELO/ CORUMBA OU OUTROS EQUIVALENTES DA REGIAO, E= *2,5* CM</t>
  </si>
  <si>
    <t>10841</t>
  </si>
  <si>
    <t>PISO EM GRANITO, POLIDO, TIPO ANDORINHA/ QUARTZ/ CASTELO/ CORUMBA OU OUTROS EQUIVALENTES DA REGIAO, FORMATO MENOR OU IGUAL A 3025 CM2, E=  *2* CM</t>
  </si>
  <si>
    <t>10842</t>
  </si>
  <si>
    <t>PISO EM GRANITO, POLIDO, TIPO PRETO SAO GABRIEL/ TIJUCA OU OUTROS EQUIVALENTES DA REGIAO, FORMATO MENOR OU IGUAL A 3025 CM2, E=  *2* CM</t>
  </si>
  <si>
    <t>00151</t>
  </si>
  <si>
    <t>IMPERMEABILIZANTE INCOLOR, BASE SILICONE, PARA TRATAMENTO DE FACHADAS, TELHAS, PEDRAS E OUTRAS SUPERFICIES</t>
  </si>
  <si>
    <t>03395</t>
  </si>
  <si>
    <t>ISOLADOR DE PORCELANA, TIPO PINO MONOCORPO, PARA TENSAO DE *35* KV</t>
  </si>
  <si>
    <t>20151</t>
  </si>
  <si>
    <t>JOELHO, PVC SERIE R, 45 GRAUS, DN 100 MM, PARA ESGOTO PREDIAL</t>
  </si>
  <si>
    <t>20152</t>
  </si>
  <si>
    <t>JOELHO, PVC SERIE R, 45 GRAUS, DN 150 MM, PARA ESGOTO PREDIAL</t>
  </si>
  <si>
    <t>20150</t>
  </si>
  <si>
    <t>JOELHO, PVC SERIE R, 45 GRAUS, DN 75 MM, PARA ESGOTO PREDIAL</t>
  </si>
  <si>
    <t>20157</t>
  </si>
  <si>
    <t>JOELHO, PVC SERIE R, 90 GRAUS, DN 100 MM, PARA ESGOTO PREDIAL</t>
  </si>
  <si>
    <t>20158</t>
  </si>
  <si>
    <t>JOELHO, PVC SERIE R, 90 GRAUS, DN 150 MM, PARA ESGOTO PREDIAL</t>
  </si>
  <si>
    <t>20154</t>
  </si>
  <si>
    <t>JOELHO, PVC SERIE R, 90 GRAUS, DN 40 MM, PARA ESGOTO PREDIAL</t>
  </si>
  <si>
    <t>20155</t>
  </si>
  <si>
    <t>JOELHO, PVC SERIE R, 90 GRAUS, DN 50 MM, PARA ESGOTO PREDIAL</t>
  </si>
  <si>
    <t>20156</t>
  </si>
  <si>
    <t>JOELHO, PVC SERIE R, 90 GRAUS, DN 75 MM, PARA ESGOTO PREDIAL</t>
  </si>
  <si>
    <t>03502</t>
  </si>
  <si>
    <t>JOELHO, PVC SOLDAVEL, 45 GRAUS, 40 MM, COR MARROM, PARA AGUA FRIA PREDIAL</t>
  </si>
  <si>
    <t>03528</t>
  </si>
  <si>
    <t>JOELHO PVC, SOLDAVEL, PB, 45 GRAUS, DN 100 MM, PARA ESGOTO PREDIAL</t>
  </si>
  <si>
    <t>03518</t>
  </si>
  <si>
    <t>JOELHO PVC, SOLDAVEL, PB, 45 GRAUS, DN 50 MM, PARA ESGOTO PREDIAL</t>
  </si>
  <si>
    <t>03524</t>
  </si>
  <si>
    <t>JOELHO PVC, SOLDAVEL, COM BUCHA DE LATAO, 90 GRAUS, 25 MM X 3/4, PARA AGUA FRIA PREDIAL</t>
  </si>
  <si>
    <t>03529</t>
  </si>
  <si>
    <t>JOELHO PVC, SOLDAVEL, 90 GRAUS, 25 MM, COR MARROM, PARA AGUA FRIA PREDIAL</t>
  </si>
  <si>
    <t>03535</t>
  </si>
  <si>
    <t>JOELHO PVC, SOLDAVEL, 90 GRAUS, 40 MM, COR MARROM, PARA AGUA FRIA PREDIAL</t>
  </si>
  <si>
    <t>03526</t>
  </si>
  <si>
    <t>JOELHO PVC, SOLDAVEL, PB, 90 GRAUS, DN 50 MM, PARA ESGOTO PREDIAL</t>
  </si>
  <si>
    <t>03104</t>
  </si>
  <si>
    <t>CONJ. DE FERRAGENS PARA PORTA DE VIDRO TEMPERADO, EM ZAMAC CROMADO, CONTEMPLANDO DOBRADICA INF., DOBRADICA SUP., PIVO PARA DOBRADICA INF., PIVO PARA DOBRADICA SUP., FECHADURA CENTRAL EM ZAMC. CROMADO, CONTRA FECHADURA DE PRESSAO</t>
  </si>
  <si>
    <t>03670</t>
  </si>
  <si>
    <t>JUNCAO SIMPLES, PVC, 45 GRAUS, DN 100 X 100 MM, SERIE NORMAL PARA ESGOTO PREDIAL</t>
  </si>
  <si>
    <t>20144</t>
  </si>
  <si>
    <t>JUNCAO SIMPLES, PVC SERIE R, DN 100 X 100 MM, PARA ESGOTO PREDIAL</t>
  </si>
  <si>
    <t>20143</t>
  </si>
  <si>
    <t>JUNCAO SIMPLES, PVC SERIE R, DN 100 X 75 MM, PARA ESGOTO PREDIAL</t>
  </si>
  <si>
    <t>20145</t>
  </si>
  <si>
    <t>JUNCAO SIMPLES, PVC SERIE R, DN 150 X 100 MM, PARA ESGOTO PREDIAL</t>
  </si>
  <si>
    <t>20142</t>
  </si>
  <si>
    <t>JUNCAO SIMPLES, PVC SERIE R, DN 75 X 75 MM, PARA ESGOTO PREDIAL</t>
  </si>
  <si>
    <t>03413</t>
  </si>
  <si>
    <t>PAINEL DE LA DE VIDRO SEM REVESTIMENTO PSI 20, E = 50 MM, DE 1200 X 600 MM</t>
  </si>
  <si>
    <t>10429</t>
  </si>
  <si>
    <t>LAVATORIO DE LOUCA COLORIDA, SUSPENSO (SEM COLUNA), DIMENSOES *40 X 30* CM (L X C)</t>
  </si>
  <si>
    <t>20269</t>
  </si>
  <si>
    <t>LAVATORIO / CUBA DE EMBUTIR, OVAL, DE LOUCA BRANCA, SEM LADRAO, DIMENSOES *50 X 35* CM (L X C)</t>
  </si>
  <si>
    <t>03768</t>
  </si>
  <si>
    <t>LIXA EM FOLHA PARA FERRO, NUMERO 150</t>
  </si>
  <si>
    <t>03767</t>
  </si>
  <si>
    <t>LIXA EM FOLHA PARA PAREDE OU MADEIRA, NUMERO 120, COR VERMELHA</t>
  </si>
  <si>
    <t>03777</t>
  </si>
  <si>
    <t>LONA PLASTICA PESADA PRETA, E = 150 MICRA</t>
  </si>
  <si>
    <t>03862</t>
  </si>
  <si>
    <t>LUVA PVC SOLDAVEL, 40 MM, PARA AGUA FRIA PREDIAL</t>
  </si>
  <si>
    <t>03899</t>
  </si>
  <si>
    <t>LUVA SIMPLES, PVC, SOLDAVEL, DN 100 MM, SERIE NORMAL, PARA ESGOTO PREDIAL</t>
  </si>
  <si>
    <t>03875</t>
  </si>
  <si>
    <t>LUVA SIMPLES, PVC, SOLDAVEL, DN 50 MM, SERIE NORMAL, PARA ESGOTO PREDIAL</t>
  </si>
  <si>
    <t>20170</t>
  </si>
  <si>
    <t>LUVA SIMPLES, PVC SERIE R, 100 MM, PARA ESGOTO PREDIAL</t>
  </si>
  <si>
    <t>20171</t>
  </si>
  <si>
    <t>LUVA SIMPLES, PVC SERIE R, 150 MM, PARA ESGOTO PREDIAL</t>
  </si>
  <si>
    <t>20169</t>
  </si>
  <si>
    <t>LUVA SIMPLES, PVC SERIE R, 75 MM, PARA ESGOTO PREDIAL</t>
  </si>
  <si>
    <t>11518</t>
  </si>
  <si>
    <t>MACANETA BOLA, EM ZAMAC COM ACABAMENTO CROMADO, DIAMETRO DE APROX 2 1/2</t>
  </si>
  <si>
    <t>PAR</t>
  </si>
  <si>
    <t>21029</t>
  </si>
  <si>
    <t>MANGUEIRA DE INCENDIO, TIPO 1, DE 1 1/2, COMPRIMENTO = 15 M, TECIDO EM FIO DE POLIESTER E TUBO INTERNO EM BORRACHA SINTETICA, COM UNIOES ENGATE RAPIDO</t>
  </si>
  <si>
    <t>12898</t>
  </si>
  <si>
    <t>MANOMETRO COM CAIXA EM ACO PINTADO, ESCALA *10* KGF/CM2 (*10* BAR), DIAMETRO NOMINAL DE 100 MM, CONEXAO DE 1/2</t>
  </si>
  <si>
    <t>12899</t>
  </si>
  <si>
    <t>MANOMETRO COM CAIXA EM ACO PINTADO, ESCALA *10* KGF/CM2 (*10* BAR), DIAMETRO NOMINAL DE *63* MM, CONEXAO DE 1/4</t>
  </si>
  <si>
    <t>11621</t>
  </si>
  <si>
    <t>MANTA ASFALTICA ELASTOMERICA EM POLIESTER ALUMINIZADA 3 MM, TIPO III, CLASSE B (NBR 9952)</t>
  </si>
  <si>
    <t>04014</t>
  </si>
  <si>
    <t>MANTA ASFALTICA ELASTOMERICA EM POLIESTER 3 MM, TIPO III, CLASSE B, ACABAMENTO PP (NBR 9952)</t>
  </si>
  <si>
    <t>04015</t>
  </si>
  <si>
    <t>MANTA ASFALTICA ELASTOMERICA EM POLIESTER 4 MM, TIPO III, CLASSE B, ACABAMENTO PP (NBR 9952)</t>
  </si>
  <si>
    <t>04059</t>
  </si>
  <si>
    <t>MEIO-FIO OU GUIA DE CONCRETO, PRE-MOLDADO, COMP 1 M, *30 X 12/15* CM (H X L1/L2)</t>
  </si>
  <si>
    <t>11499</t>
  </si>
  <si>
    <t>MOLA HIDRAULICA DE PISO, PARA PORTAS DE ATE 1100 MM E PESO DE ATE 120 KG, COM CORPO EM ACO INOX</t>
  </si>
  <si>
    <t>04221</t>
  </si>
  <si>
    <t>OLEO DIESEL COMBUSTIVEL COMUM METROPOLITANO S-10 OU S-500</t>
  </si>
  <si>
    <t>04227</t>
  </si>
  <si>
    <t>OLEO LUBRIFICANTE MINERAL MONOVISCOSO, SAE 40, PARA MOTORES DE EQUIPAMENTOS PESADOS (CAMINHOES, TRATORES, RETROS E ETC)</t>
  </si>
  <si>
    <t>00002</t>
  </si>
  <si>
    <t>OXIGENIO, RECARGA PARA CILINDRO DE CONJUNTO OXICORTE GRANDE</t>
  </si>
  <si>
    <t>11964</t>
  </si>
  <si>
    <t>PARAFUSO DE ACO ZINCADO, TIPO CHUMBADOR PARABOLT, DIAMETRO 3/8, COMPRIMENTO 75 MM</t>
  </si>
  <si>
    <t>04351</t>
  </si>
  <si>
    <t>PARAFUSO NIQUELADO 3 1/2 COM ACABAMENTO CROMADO PARA FIXAR PECA SANITARIA, INCLUI PORCA CEGA, ARRUELA E BUCHA DE NYLON TAMANHO S-8</t>
  </si>
  <si>
    <t>04384</t>
  </si>
  <si>
    <t>PARAFUSO NIQUELADO COM ACABAMENTO CROMADO PARA FIXAR PECA SANITARIA, INCLUI PORCA CEGA, ARRUELA E BUCHA DE NYLON TAMANHO S-10</t>
  </si>
  <si>
    <t>11055</t>
  </si>
  <si>
    <t>PARAFUSO ROSCA SOBERBA ZINCADO CABECA CHATA FENDA SIMPLES 3,5 X 25 MM (1 )</t>
  </si>
  <si>
    <t>11057</t>
  </si>
  <si>
    <t>PARAFUSO ROSCA SOBERBA ZINCADO CABECA CHATA FENDA SIMPLES 4,8 X 40 MM (1.1/2 )</t>
  </si>
  <si>
    <t>20078</t>
  </si>
  <si>
    <t>PASTA LUBRIFICANTE PARA TUBOS E CONEXOES COM JUNTA ELASTICA, EMBALAGEM DE *400* GR (USO EM PVC, ACO, POLIETILENO E OUTROS)</t>
  </si>
  <si>
    <t>04397</t>
  </si>
  <si>
    <t>PASTILHA CERAMICA/PORCELANA, REVEST INT/EXT E  PISCINA, CORES LISAS/SOLIDAS, QUENTES, SEM MESCLAGEM/MISTURA, *2,5 X 2,5* CM</t>
  </si>
  <si>
    <t>20209</t>
  </si>
  <si>
    <t>CAIBRO APARELHADO *7,5 X 7,5* CM, EM MACARANDUBA/MASSARANDUBA, ANGELIM OU EQUIVALENTE DA REGIAO</t>
  </si>
  <si>
    <t>04517</t>
  </si>
  <si>
    <t>SARRAFO *2,5 X 7,5* CM EM PINUS, MISTA OU EQUIVALENTE DA REGIAO - BRUTA</t>
  </si>
  <si>
    <t>04460</t>
  </si>
  <si>
    <t>SARRAFO NAO APARELHADO *2,5 X 10* CM, EM MACARANDUBA/MASSARANDUBA, ANGELIM OU EQUIVALENTE DA REGIAO - BRUTA</t>
  </si>
  <si>
    <t>06194</t>
  </si>
  <si>
    <t>TABUA *2,5 X 15 CM EM PINUS, MISTA OU EQUIVALENTE DA REGIAO - BRUTA</t>
  </si>
  <si>
    <t>04509</t>
  </si>
  <si>
    <t>SARRAFO *2,5 X 10* CM EM PINUS, MISTA OU EQUIVALENTE DA REGIAO - BRUTA</t>
  </si>
  <si>
    <t>04491</t>
  </si>
  <si>
    <t>PONTALETE *7,5 X 7,5* CM EM PINUS, MISTA OU EQUIVALENTE DA REGIAO - BRUTA</t>
  </si>
  <si>
    <t>04720</t>
  </si>
  <si>
    <t>PEDRA BRITADA N. 0, OU PEDRISCO (4,8 A 9,5 MM) POSTO PEDREIRA/FORNECEDOR, SEM FRETE</t>
  </si>
  <si>
    <t>04721</t>
  </si>
  <si>
    <t>PEDRA BRITADA N. 1 (9,5 a 19 MM) POSTO PEDREIRA/FORNECEDOR, SEM FRETE</t>
  </si>
  <si>
    <t>04708</t>
  </si>
  <si>
    <t>PEDRA PORTUGUESA  OU PETIT PAVE, BRANCA OU PRETA</t>
  </si>
  <si>
    <t>10966</t>
  </si>
  <si>
    <t>PERFIL U SIMPLES, EM CHAPA DOBRADA DE ACO LAMINADO, E = 8 MM, H = 150 MM, L = 75 MM (16,97 KG/M)</t>
  </si>
  <si>
    <t>21108</t>
  </si>
  <si>
    <t>PISO EM PORCELANATO RETIFICADO EXTRA, LISO, MONOCOLOR, ACETINADO OU POLIDO, FORMATO MENOR OU IGUAL A 2025 CM2</t>
  </si>
  <si>
    <t>04792</t>
  </si>
  <si>
    <t>PLACA VINILICA SEMIFLEXIVEL PARA PISOS, E = 3,2 MM, 30 X 30 CM (SEM COLOCACAO)</t>
  </si>
  <si>
    <t>04812</t>
  </si>
  <si>
    <t>PLACA DE GESSO PARA FORRO, *60 X 60* CM, ESPESSURA DE 12 MM (SEM COLOCACAO)</t>
  </si>
  <si>
    <t>04981</t>
  </si>
  <si>
    <t>PORTA DE ABRIR / GIRO, DE MADEIRA FOLHA MEDIA (NBR 15930) DE 700 X 2100 MM, DE 35 MM A 40 MM DE ESPESSURA, NUCLEO SEMI-SOLIDO (SARRAFEADO), CAPA LISA EM HDF, ACABAMENTO EM LAMINADO NATURAL PARA VERNIZ</t>
  </si>
  <si>
    <t>04992</t>
  </si>
  <si>
    <t>PORTA DE ABRIR / GIRO, DE MADEIRA FOLHA MEDIA (NBR 15930) DE 800 X 2100 MM, DE 35 MM A 40 MM DE ESPESSURA, NUCLEO SEMI-SOLIDO (SARRAFEADO), CAPA LISA EM HDF, ACABAMENTO EM LAMINADO NATURAL PARA VERNIZ</t>
  </si>
  <si>
    <t>04987</t>
  </si>
  <si>
    <t>PORTA DE ABRIR / GIRO, DE MADEIRA FOLHA MEDIA (NBR 15930) DE 900 X 2100 MM, DE 35 MM A 40 MM DE ESPESSURA, NUCLEO SEMI-SOLIDO (SARRAFEADO), CAPA LISA EM HDF, ACABAMENTO EM LAMINADO NATURAL PARA VERNIZ</t>
  </si>
  <si>
    <t>05031</t>
  </si>
  <si>
    <t>VIDRO TEMPERADO INCOLOR PARA PORTA DE ABRIR, E = 10 MM (SEM FERRAGENS E SEM COLOCACAO)</t>
  </si>
  <si>
    <t>05066</t>
  </si>
  <si>
    <t>PREGO DE ACO POLIDO COM CABECA 12 X 12</t>
  </si>
  <si>
    <t>05067</t>
  </si>
  <si>
    <t>PREGO DE ACO POLIDO COM CABECA 16 X 24 (2 1/4 X 12)</t>
  </si>
  <si>
    <t>05068</t>
  </si>
  <si>
    <t>PREGO DE ACO POLIDO COM CABECA 17 X 21 (2 X 11)</t>
  </si>
  <si>
    <t>05061</t>
  </si>
  <si>
    <t>PREGO DE ACO POLIDO COM CABECA 18 X 27 (2 1/2 X 10)</t>
  </si>
  <si>
    <t>05075</t>
  </si>
  <si>
    <t>00511</t>
  </si>
  <si>
    <t>PRIMER PARA MANTA ASFALTICA A BASE DE ASFALTO MODIFICADO DILUIDO EM SOLVENTE, APLICACAO A FRIO</t>
  </si>
  <si>
    <t>04741</t>
  </si>
  <si>
    <t>PO DE PEDRA (POSTO PEDREIRA/FORNECEDOR, SEM FRETE)</t>
  </si>
  <si>
    <t>13393</t>
  </si>
  <si>
    <t>QUADRO DE DISTRIBUICAO COM BARRAMENTO TRIFASICO, DE EMBUTIR, EM CHAPA DE ACO GALVANIZADO, PARA 12 DISJUNTORES DIN, 100 A</t>
  </si>
  <si>
    <t>13395</t>
  </si>
  <si>
    <t>QUADRO DE DISTRIBUICAO COM BARRAMENTO TRIFASICO, DE EMBUTIR, EM CHAPA DE ACO GALVANIZADO, PARA 18 DISJUNTORES DIN, 100 A, INCLUINDO BARRAMENTO</t>
  </si>
  <si>
    <t>12039</t>
  </si>
  <si>
    <t>QUADRO DE DISTRIBUICAO COM BARRAMENTO TRIFASICO, DE EMBUTIR, EM CHAPA DE ACO GALVANIZADO, PARA 24 DISJUNTORES DIN, 100 A</t>
  </si>
  <si>
    <t>12042</t>
  </si>
  <si>
    <t>QUADRO DE DISTRIBUICAO COM BARRAMENTO TRIFASICO, DE EMBUTIR, EM CHAPA DE ACO GALVANIZADO, PARA 40 DISJUNTORES DIN, 100 A</t>
  </si>
  <si>
    <t>11711</t>
  </si>
  <si>
    <t>RALO SECO CONICO, PVC, 100 X 40 MM, COM GRELHA QUADRADA BRANCA</t>
  </si>
  <si>
    <t>11739</t>
  </si>
  <si>
    <t>RALO SECO CONICO, PVC, 100 X 40 MM,  COM GRELHA REDONDA BRANCA</t>
  </si>
  <si>
    <t>05102</t>
  </si>
  <si>
    <t>RALO SECO / RALO DE PASSAGEM EM PVC, QUADRADO, 100 X 100 X 53 MM, SAIDA 40 MM, COM GRELHA BRANCA</t>
  </si>
  <si>
    <t>11741</t>
  </si>
  <si>
    <t>RALO SIFONADO CILINDRICO, PVC, 100 X 40 MM,  COM GRELHA REDONDA BRANCA</t>
  </si>
  <si>
    <t>11745</t>
  </si>
  <si>
    <t>RALO SIFONADO QUADRADO, PVC, 100 X 53 MM, SAIDA 40 MM, COM GRELHA QUADRADA BRANCA</t>
  </si>
  <si>
    <t>11743</t>
  </si>
  <si>
    <t>RALO SIFONADO REDONDO CONICO, PVC, 100 X 40 MM, COM GRELHA REDONDA BRANCA</t>
  </si>
  <si>
    <t>20046</t>
  </si>
  <si>
    <t>REDUCAO EXCENTRICA PVC, SERIE R, DN 100 X 75 MM, PARA ESGOTO PREDIAL</t>
  </si>
  <si>
    <t>20047</t>
  </si>
  <si>
    <t>REDUCAO EXCENTRICA PVC, SERIE R, DN 150 X 100 MM, PARA ESGOTO PREDIAL</t>
  </si>
  <si>
    <t>06010</t>
  </si>
  <si>
    <t>REGISTRO GAVETA BRUTO EM LATAO FORJADO, BITOLA 1 1/2  (REF 1509)</t>
  </si>
  <si>
    <t>06017</t>
  </si>
  <si>
    <t>REGISTRO GAVETA BRUTO EM LATAO FORJADO, BITOLA 1 1/4  (REF 1509)</t>
  </si>
  <si>
    <t>06020</t>
  </si>
  <si>
    <t>REGISTRO GAVETA BRUTO EM LATAO FORJADO, BITOLA 1/2  (REF 1509)</t>
  </si>
  <si>
    <t>06019</t>
  </si>
  <si>
    <t>REGISTRO GAVETA BRUTO EM LATAO FORJADO, BITOLA 1  (REF 1509)</t>
  </si>
  <si>
    <t>06011</t>
  </si>
  <si>
    <t>REGISTRO GAVETA BRUTO EM LATAO FORJADO, BITOLA 2 1/2  (REF 1509)</t>
  </si>
  <si>
    <t>06028</t>
  </si>
  <si>
    <t>REGISTRO GAVETA BRUTO EM LATAO FORJADO, BITOLA 2  (REF 1509)</t>
  </si>
  <si>
    <t>06016</t>
  </si>
  <si>
    <t>REGISTRO GAVETA BRUTO EM LATAO FORJADO, BITOLA 3/4  (REF 1509)</t>
  </si>
  <si>
    <t>06012</t>
  </si>
  <si>
    <t>REGISTRO GAVETA BRUTO EM LATAO FORJADO, BITOLA 3  (REF 1509)</t>
  </si>
  <si>
    <t>06027</t>
  </si>
  <si>
    <t>REGISTRO GAVETA BRUTO EM LATAO FORJADO, BITOLA 4  (REF 1509)</t>
  </si>
  <si>
    <t>11752</t>
  </si>
  <si>
    <t>REGISTRO PRESSAO BRUTO EM LATAO FORJADO, BITOLA 1/2 (REF 1400)</t>
  </si>
  <si>
    <t>11753</t>
  </si>
  <si>
    <t>REGISTRO PRESSAO BRUTO EM LATAO FORJADO, BITOLA 3/4 (REF 1400)</t>
  </si>
  <si>
    <t>06036</t>
  </si>
  <si>
    <t>REGISTRO DE ESFERA PVC, COM BORBOLETA, COM ROSCA EXTERNA, DE 1/2</t>
  </si>
  <si>
    <t>06031</t>
  </si>
  <si>
    <t>REGISTRO DE ESFERA PVC, COM BORBOLETA, COM ROSCA EXTERNA, DE 3/4</t>
  </si>
  <si>
    <t>06029</t>
  </si>
  <si>
    <t>REGISTRO DE ESFERA PVC, COM CABECA QUADRADA, COM ROSCA EXTERNA, 1/2</t>
  </si>
  <si>
    <t>06033</t>
  </si>
  <si>
    <t>REGISTRO DE ESFERA PVC, COM CABECA QUADRADA, COM ROSCA EXTERNA, 3/4</t>
  </si>
  <si>
    <t>11672</t>
  </si>
  <si>
    <t>REGISTRO DE ESFERA, PVC, COM VOLANTE, VS, ROSCAVEL, DN 1 1/2, COM CORPO DIVIDIDO</t>
  </si>
  <si>
    <t>11669</t>
  </si>
  <si>
    <t>REGISTRO DE ESFERA, PVC, COM VOLANTE, VS, ROSCAVEL, DN 1 1/4, COM CORPO DIVIDIDO</t>
  </si>
  <si>
    <t>11670</t>
  </si>
  <si>
    <t>REGISTRO DE ESFERA, PVC, COM VOLANTE, VS, ROSCAVEL, DN 1/2, COM CORPO DIVIDIDO</t>
  </si>
  <si>
    <t>20055</t>
  </si>
  <si>
    <t>REGISTRO DE ESFERA, PVC, COM VOLANTE, VS, ROSCAVEL, DN 1, COM CORPO DIVIDIDO</t>
  </si>
  <si>
    <t>11671</t>
  </si>
  <si>
    <t>REGISTRO DE ESFERA, PVC, COM VOLANTE, VS, ROSCAVEL, DN 2, COM CORPO DIVIDIDO</t>
  </si>
  <si>
    <t>06032</t>
  </si>
  <si>
    <t>REGISTRO DE ESFERA, PVC, COM VOLANTE, VS, ROSCAVEL, DN 3/4, COM CORPO DIVIDIDO</t>
  </si>
  <si>
    <t>11673</t>
  </si>
  <si>
    <t>REGISTRO DE ESFERA, PVC, COM VOLANTE, VS, SOLDAVEL, DN 20 MM, COM CORPO DIVIDIDO</t>
  </si>
  <si>
    <t>11674</t>
  </si>
  <si>
    <t>REGISTRO DE ESFERA, PVC, COM VOLANTE, VS, SOLDAVEL, DN 25 MM, COM CORPO DIVIDIDO</t>
  </si>
  <si>
    <t>11675</t>
  </si>
  <si>
    <t>REGISTRO DE ESFERA, PVC, COM VOLANTE, VS, SOLDAVEL, DN 32 MM, COM CORPO DIVIDIDO</t>
  </si>
  <si>
    <t>11676</t>
  </si>
  <si>
    <t>REGISTRO DE ESFERA, PVC, COM VOLANTE, VS, SOLDAVEL, DN 40 MM, COM CORPO DIVIDIDO</t>
  </si>
  <si>
    <t>11677</t>
  </si>
  <si>
    <t>REGISTRO DE ESFERA, PVC, COM VOLANTE, VS, SOLDAVEL, DN 50 MM, COM CORPO DIVIDIDO</t>
  </si>
  <si>
    <t>11678</t>
  </si>
  <si>
    <t>REGISTRO DE ESFERA, PVC, COM VOLANTE, VS, SOLDAVEL, DN 60 MM, COM CORPO DIVIDIDO</t>
  </si>
  <si>
    <t>11718</t>
  </si>
  <si>
    <t>REGISTRO DE PRESSAO PVC, ROSCAVEL, VOLANTE SIMPLES, DE 3/4</t>
  </si>
  <si>
    <t>06038</t>
  </si>
  <si>
    <t>REGISTRO DE PRESSAO PVC, ROSCAVEL, VOLANTE SIMPLES, DE 1/2</t>
  </si>
  <si>
    <t>11719</t>
  </si>
  <si>
    <t>REGISTRO DE PRESSAO PVC, SOLDAVEL, VOLANTE SIMPLES, DE 25 MM</t>
  </si>
  <si>
    <t>06037</t>
  </si>
  <si>
    <t>REGISTRO DE PRESSAO PVC, SOLDAVEL, VOLANTE SIMPLES, DE 20 MM</t>
  </si>
  <si>
    <t>02510</t>
  </si>
  <si>
    <t>RELE FOTOELETRICO INTERNO E EXTERNO BIVOLT 1000 W, DE CONECTOR, SEM BASE</t>
  </si>
  <si>
    <t>12359</t>
  </si>
  <si>
    <t>RELE TERMICO BIMETAL PARA USO EM MOTORES TRIFASICOS, TENSAO 380 V, POTENCIA ATE 15 CV, CORRENTE NOMINAL MAXIMA 22 A</t>
  </si>
  <si>
    <t>06186</t>
  </si>
  <si>
    <t>RODAPE DE MADEIRA MACICA CUMARU/IPE CHAMPANHE OU EQUIVALENTE DA REGIAO, *1,5 X 7 CM</t>
  </si>
  <si>
    <t>11577</t>
  </si>
  <si>
    <t>ROSETA REDONDA DE SOBREPOR, SEM FUROS, EM ACO INOX POLIDO, DIAMETRO APROXIMADO DE 50 MM, PARA FECHADURA DE PORTA - PARAFUSOS INCLUIDOS</t>
  </si>
  <si>
    <t>11758</t>
  </si>
  <si>
    <t>SABONETEIRA PLASTICA TIPO DISPENSER PARA SABONETE LIQUIDO COM RESERVATORIO 800 A 1500 ML</t>
  </si>
  <si>
    <t>06085</t>
  </si>
  <si>
    <t>SELADOR ACRILICO OPACO PREMIUM INTERIOR/EXTERIOR</t>
  </si>
  <si>
    <t>00142</t>
  </si>
  <si>
    <t>SELANTE ELASTICO MONOCOMPONENTE A BASE DE POLIURETANO (PU) PARA JUNTAS DIVERSAS</t>
  </si>
  <si>
    <t>310ML</t>
  </si>
  <si>
    <t>06136</t>
  </si>
  <si>
    <t>SIFAO EM METAL CROMADO PARA PIA OU LAVATORIO, 1 X 1.1/2</t>
  </si>
  <si>
    <t>20250</t>
  </si>
  <si>
    <t>SISAL EM FIBRA / ESTOPA SISAL PARA GESSO</t>
  </si>
  <si>
    <t>20083</t>
  </si>
  <si>
    <t>SOLUCAO PREPARADORA / LIMPADORA PARA PVC, FRASCO COM 1000 CM3</t>
  </si>
  <si>
    <t>05318</t>
  </si>
  <si>
    <t>DILUENTE AGUARRAS</t>
  </si>
  <si>
    <t>06193</t>
  </si>
  <si>
    <t>TABUA NAO APARELHADA *2,5 X 20* CM, EM MACARANDUBA/MASSARANDUBA, ANGELIM OU EQUIVALENTE DA REGIAO - BRUTA</t>
  </si>
  <si>
    <t>06189</t>
  </si>
  <si>
    <t>TABUA NAO APARELHADA *2,5 X 30* CM, EM MACARANDUBA/MASSARANDUBA, ANGELIM OU EQUIVALENTE DA REGIAO - BRUTA</t>
  </si>
  <si>
    <t>06212</t>
  </si>
  <si>
    <t>TABUA *2,5 X 30 CM EM PINUS, MISTA OU EQUIVALENTE DA REGIAO - BRUTA</t>
  </si>
  <si>
    <t>06243</t>
  </si>
  <si>
    <t>TAMPAO FOFO SIMPLES COM BASE / REQUADRO, CLASSE B125 CARGA MAX. 12,5 T, REDONDO, TAMPA 600 MM (COM INSCRICAO EM RELEVO DO TIPO DE REDE)</t>
  </si>
  <si>
    <t>20183</t>
  </si>
  <si>
    <t>TE DE INSPECAO, PVC, SERIE R, 100 X 75 MM, PARA ESGOTO PREDIAL</t>
  </si>
  <si>
    <t>20177</t>
  </si>
  <si>
    <t>TE, PVC, SERIE R, 75 X 75 MM, PARA ESGOTO PREDIAL</t>
  </si>
  <si>
    <t>07139</t>
  </si>
  <si>
    <t>TE SOLDAVEL, PVC, 90 GRAUS, 25 MM, PARA AGUA FRIA PREDIAL (NBR 5648)</t>
  </si>
  <si>
    <t>07141</t>
  </si>
  <si>
    <t>TE SOLDAVEL, PVC, 90 GRAUS, 40 MM, PARA AGUA FRIA PREDIAL (NBR 5648)</t>
  </si>
  <si>
    <t>07131</t>
  </si>
  <si>
    <t>TE DE REDUCAO, PVC, SOLDAVEL, 90 GRAUS, 50 MM X 40 MM, PARA AGUA FRIA PREDIAL</t>
  </si>
  <si>
    <t>07091</t>
  </si>
  <si>
    <t>TE SANITARIO, PVC, DN 100 X 100 MM, SERIE NORMAL, PARA ESGOTO PREDIAL</t>
  </si>
  <si>
    <t>07097</t>
  </si>
  <si>
    <t>TE SANITARIO, PVC, DN 50 X 50 MM, SERIE NORMAL, PARA ESGOTO PREDIAL</t>
  </si>
  <si>
    <t>21141</t>
  </si>
  <si>
    <t>TELA DE ACO SOLDADA NERVURADA, CA-60, Q-92, (1,48 KG/M2), DIAMETRO DO FIO = 4,2 MM, LARGURA = 2,45 X 60 M DE COMPRIMENTO, ESPACAMENTO DA MALHA = 15  X 15 CM</t>
  </si>
  <si>
    <t>07156</t>
  </si>
  <si>
    <t>TELA DE ACO SOLDADA NERVURADA, CA-60, Q-196, (3,11 KG/M2), DIAMETRO DO FIO = 5,0 MM, LARGURA = 2,45 M, ESPACAMENTO DA MALHA = 10 X 10 CM</t>
  </si>
  <si>
    <t>07170</t>
  </si>
  <si>
    <t>TELA FACHADEIRA EM POLIETILENO, ROLO DE 3 X 100 M (L X C), COR BRANCA, SEM LOGOMARCA - PARA PROTECAO DE OBRAS</t>
  </si>
  <si>
    <t>01573</t>
  </si>
  <si>
    <t>TERMINAL A COMPRESSAO EM COBRE ESTANHADO PARA CABO 6 MM2, 1 FURO E 1 COMPRESSAO, PARA PARAFUSO DE FIXACAO M6</t>
  </si>
  <si>
    <t>07267</t>
  </si>
  <si>
    <t>BLOCO CERAMICO / TIJOLO VAZADO PARA ALVENARIA DE VEDACAO, 6 FUROS NA HORIZONTAL DE 9 X 14 X 19 CM (L X A X C)</t>
  </si>
  <si>
    <t>07348</t>
  </si>
  <si>
    <t>TINTA ACRILICA PREMIUM PARA PISO</t>
  </si>
  <si>
    <t>07319</t>
  </si>
  <si>
    <t>TINTA ASFALTICA IMPERMEABILIZANTE DISPERSA EM AGUA, PARA MATERIAIS CIMENTICIOS</t>
  </si>
  <si>
    <t>07304</t>
  </si>
  <si>
    <t>TINTA EPOXI BASE AGUA PREMIUM, BRANCA</t>
  </si>
  <si>
    <t>07311</t>
  </si>
  <si>
    <t>TINTA ESMALTE SINTETICO PREMIUM ACETINADO</t>
  </si>
  <si>
    <t>12147</t>
  </si>
  <si>
    <t>TOMADA 2P+T 10A, 250V, CONJUNTO MONTADO PARA SOBREPOR 4 X 2 (CAIXA + MODULO)</t>
  </si>
  <si>
    <t>11581</t>
  </si>
  <si>
    <t>TRILHO PANTOGRAFICO CONCAVO, TIPO U, EM ALUMINIO, COM DIMENSOES DE APROX *35 X 35* MM, PARA ROLDANA DE PORTA DE CORRER</t>
  </si>
  <si>
    <t>21147</t>
  </si>
  <si>
    <t>TUBO ACO CARBONO SEM COSTURA 2 1/2, E = 5,16 MM, SCHEDULE 40 (8,62 KG/M)</t>
  </si>
  <si>
    <t>21151</t>
  </si>
  <si>
    <t>TUBO ACO CARBONO SEM COSTURA 4, E= *6,02 MM, SCHEDULE 40, *16,06 KG/M</t>
  </si>
  <si>
    <t>09836</t>
  </si>
  <si>
    <t>TUBO PVC  SERIE NORMAL, DN 100 MM, PARA ESGOTO  PREDIAL (NBR 5688)</t>
  </si>
  <si>
    <t>09835</t>
  </si>
  <si>
    <t>TUBO PVC  SERIE NORMAL, DN 40 MM, PARA ESGOTO  PREDIAL (NBR 5688)</t>
  </si>
  <si>
    <t>09838</t>
  </si>
  <si>
    <t>TUBO PVC SERIE NORMAL, DN 50 MM, PARA ESGOTO PREDIAL (NBR 5688)</t>
  </si>
  <si>
    <t>09837</t>
  </si>
  <si>
    <t>TUBO PVC SERIE NORMAL, DN 75 MM, PARA ESGOTO PREDIAL (NBR 5688)</t>
  </si>
  <si>
    <t>09841</t>
  </si>
  <si>
    <t>TUBO PVC, SERIE R, DN 100 MM, PARA ESGOTO OU AGUAS PLUVIAIS PREDIAL (NBR 5688)</t>
  </si>
  <si>
    <t>09840</t>
  </si>
  <si>
    <t>TUBO PVC, SERIE R, DN 150 MM, PARA ESGOTO OU AGUAS PLUVIAIS PREDIAL (NBR 5688)</t>
  </si>
  <si>
    <t>09839</t>
  </si>
  <si>
    <t>TUBO PVC, SERIE R, DN 75 MM, PARA ESGOTO OU AGUAS PLUVIAIS PREDIAL (NBR 5688)</t>
  </si>
  <si>
    <t>09868</t>
  </si>
  <si>
    <t>TUBO PVC, SOLDAVEL, DE 25 MM, AGUA FRIA (NBR-5648)</t>
  </si>
  <si>
    <t>09874</t>
  </si>
  <si>
    <t>TUBO PVC, SOLDAVEL, DE 40 MM, AGUA FRIA (NBR-5648)</t>
  </si>
  <si>
    <t>09894</t>
  </si>
  <si>
    <t>UNIAO PVC, SOLDAVEL, 40 MM, PARA AGUA FRIA PREDIAL</t>
  </si>
  <si>
    <t>21112</t>
  </si>
  <si>
    <t>VALVULA DE DESCARGA EM METAL CROMADO PARA MICTORIO COM ACIONAMENTO POR PRESSAO E FECHAMENTO AUTOMATICO</t>
  </si>
  <si>
    <t>10228</t>
  </si>
  <si>
    <t>VALVULA DE DESCARGA METALICA, BASE 1 1/2  E ACABAMENTO METALICO CROMADO</t>
  </si>
  <si>
    <t>11781</t>
  </si>
  <si>
    <t>VALVULA DE DESCARGA METALICA, BASE 1 1/4  E ACABAMENTO METALICO CROMADO</t>
  </si>
  <si>
    <t>06157</t>
  </si>
  <si>
    <t>VALVULA EM METAL CROMADO PARA PIA AMERICANA 3.1/2 X 1.1/2</t>
  </si>
  <si>
    <t>10410</t>
  </si>
  <si>
    <t>VALVULA DE RETENCAO HORIZONTAL, DE BRONZE (PN-25), 1, 400 PSI, TAMPA DE PORCA DE UNIAO, EXTREMIDADES COM ROSCA</t>
  </si>
  <si>
    <t>10408</t>
  </si>
  <si>
    <t>VALVULA DE RETENCAO HORIZONTAL, DE BRONZE (PN-25), 2, 400 PSI, TAMPA DE PORCA DE UNIAO, EXTREMIDADES COM ROSCA</t>
  </si>
  <si>
    <t>10407</t>
  </si>
  <si>
    <t>VALVULA DE RETENCAO HORIZONTAL, DE BRONZE (PN-25), 4, 400 PSI, TAMPA DE PORCA DE UNIAO, EXTREMIDADES COM ROSCA</t>
  </si>
  <si>
    <t>06138</t>
  </si>
  <si>
    <t>ANEL DE VEDACAO, PVC FLEXIVEL, 100 MM, PARA SAIDA DE BACIA / VASO SANITARIO</t>
  </si>
  <si>
    <t>10475</t>
  </si>
  <si>
    <t>VERNIZ TIPO COPAL PARA MADEIRA, BRILHANTE, USO INTERNO</t>
  </si>
  <si>
    <t>10481</t>
  </si>
  <si>
    <t>VERNIZ MARITIMO PREMIUM PARA MADEIRA, COM FILTRO SOLAR, BRILHANTE, USO INTERNO E EXTERNO</t>
  </si>
  <si>
    <t>04030</t>
  </si>
  <si>
    <t>VEU DE POLIESTER PARA IMPERMEABILIZACAO</t>
  </si>
  <si>
    <t>10496</t>
  </si>
  <si>
    <t>VIDRO COMUM LAMINADO, LISO, INCOLOR, DUPLO, ESPESSURA TOTAL 6 MM (CADA CAMADA E= 3 MM) - COLOCADO</t>
  </si>
  <si>
    <t>11188</t>
  </si>
  <si>
    <t>VIDRO LISO FUME E = 4MM - SEM COLOCACAO</t>
  </si>
  <si>
    <t>11189</t>
  </si>
  <si>
    <t>VIDRO LISO FUME E = 6MM - SEM COLOCACAO</t>
  </si>
  <si>
    <t>10491</t>
  </si>
  <si>
    <t>VIDRO LISO INCOLOR 6 MM - SEM COLOCACAO</t>
  </si>
  <si>
    <t>10501</t>
  </si>
  <si>
    <t>VIDRO TEMPERADO VERDE E = 6 MM, SEM COLOCACAO</t>
  </si>
  <si>
    <t>10507</t>
  </si>
  <si>
    <t>VIDRO TEMPERADO INCOLOR E = 10 MM, SEM COLOCACAO</t>
  </si>
  <si>
    <t>10505</t>
  </si>
  <si>
    <t>VIDRO TEMPERADO INCOLOR E = 6 MM, SEM COLOCACAO</t>
  </si>
  <si>
    <t>10506</t>
  </si>
  <si>
    <t>VIDRO TEMPERADO INCOLOR E = 8 MM, SEM COLOCACAO</t>
  </si>
  <si>
    <t>34353</t>
  </si>
  <si>
    <t>ARGAMASSA COLANTE AC II</t>
  </si>
  <si>
    <t>34492</t>
  </si>
  <si>
    <t>CONCRETO USINADO BOMBEAVEL, CLASSE DE RESISTENCIA C20, COM BRITA 0 E 1, SLUMP = 100 +/- 20 MM, EXCLUI SERVICO DE BOMBEAMENTO (NBR 8953)</t>
  </si>
  <si>
    <t>34729</t>
  </si>
  <si>
    <t>DISJUNTOR TERMOMAGNETICO AJUSTAVEL, TRIPOLAR DE 100 ATE 250A, CAPACIDADE DE INTERRUPCAO DE 35KA</t>
  </si>
  <si>
    <t>34616</t>
  </si>
  <si>
    <t>DISJUNTOR TERMOMAGNETICO PARA TRILHO DIN (IEC), BIPOLAR, 6 - 32 A</t>
  </si>
  <si>
    <t>34653</t>
  </si>
  <si>
    <t>DISJUNTOR TERMOMAGNETICO PARA TRILHO DIN (IEC), MONOPOLAR, 6 - 32 A</t>
  </si>
  <si>
    <t>34686</t>
  </si>
  <si>
    <t>DISJUNTOR TERMOMAGNETICO PARA TRILHO DIN (IEC), MONOPOLAR, 40 - 50 A, ICC - 5KA / 250 VCA</t>
  </si>
  <si>
    <t>34709</t>
  </si>
  <si>
    <t>DISJUNTOR TERMOMAGNETICO PARA TRILHO DIN (IEC), TRIPOLAR, 10 - 50 A</t>
  </si>
  <si>
    <t>34714</t>
  </si>
  <si>
    <t>DISJUNTOR TERMOMAGNETICO PARA TRILHO DIN (IEC), TRIPOLAR, 63 A</t>
  </si>
  <si>
    <t>34771</t>
  </si>
  <si>
    <t>MEIO BLOCO DE VEDACAO DE CONCRETO 19 X 19 X 19 CM (CLASSE C - NBR 6136)</t>
  </si>
  <si>
    <t>34360</t>
  </si>
  <si>
    <t>PERFIL DE ALUMINIO ANODIZADO</t>
  </si>
  <si>
    <t>34357</t>
  </si>
  <si>
    <t>REJUNTE CIMENTICIO, QUALQUER COR</t>
  </si>
  <si>
    <t>34557</t>
  </si>
  <si>
    <t>TELA DE ACO SOLDADA GALVANIZADA/ZINCADA PARA ALVENARIA, FIO D = *1,20 A 1,70* MM, MALHA 15 X 15 MM, (C X L) *50 X 7,5* CM</t>
  </si>
  <si>
    <t>35692</t>
  </si>
  <si>
    <t>TINTA LATEX ACRILICA STANDARD, COR BRANCA</t>
  </si>
  <si>
    <t>34391</t>
  </si>
  <si>
    <t>VIDRO COMUM LAMINADO LISO INCOLOR DUPLO, ESPESSURA TOTAL 8 MM (CADA CAMADA DE 4 MM) - COLOCADO</t>
  </si>
  <si>
    <t>34387</t>
  </si>
  <si>
    <t>VIDRO CRISTAL COLORIDO, 8 MM, PINTADO NA COR BRANCA</t>
  </si>
  <si>
    <t>37370</t>
  </si>
  <si>
    <t>ALIMENTACAO - HORISTA (COLETADO CAIXA - ENCARGOS COMPLEMENTARES)</t>
  </si>
  <si>
    <t>37371</t>
  </si>
  <si>
    <t>TRANSPORTE - HORISTA (COLETADO CAIXA - ENCARGOS COMPLEMENTARES)</t>
  </si>
  <si>
    <t>37372</t>
  </si>
  <si>
    <t>EXAMES - HORISTA (COLETADO CAIXA - ENCARGOS COMPLEMENTARES)</t>
  </si>
  <si>
    <t>37373</t>
  </si>
  <si>
    <t>SEGURO - HORISTA (COLETADO CAIXA - ENCARGOS COMPLEMENTARES)</t>
  </si>
  <si>
    <t>34744</t>
  </si>
  <si>
    <t>PELICULA REFLETIVA, GT 7 ANOS PARA SINALIZACAO VERTICAL</t>
  </si>
  <si>
    <t>35277</t>
  </si>
  <si>
    <t>CAIXA DE GORDURA EM PVC, DIAMETRO MINIMO 300 MM, DIAMETRO DE SAIDA 100 MM, CAPACIDADE  APROXIMADA 18 LITROS, COM TAMPA E CESTO</t>
  </si>
  <si>
    <t>36795</t>
  </si>
  <si>
    <t>TORNEIRA METALICA CROMADA DE MESA PARA LAVATORIO, COM SENSOR DE PRESENCA A PILHA, COM AREJADOR EMBUTIDO</t>
  </si>
  <si>
    <t>38195</t>
  </si>
  <si>
    <t>PISO EM PORCELANATO, BORDA RETA, EXTRA, LISO, MONOCOLOR, ACETINADO OU POLIDO, FORMATO MAIOR QUE 2025 CM2</t>
  </si>
  <si>
    <t>37595</t>
  </si>
  <si>
    <t>ARGAMASSA COLANTE TIPO AC III</t>
  </si>
  <si>
    <t>37596</t>
  </si>
  <si>
    <t>ARGAMASSA COLANTE TIPO AC III E</t>
  </si>
  <si>
    <t>37552</t>
  </si>
  <si>
    <t>ARGAMASSA INDUSTRIALIZADA PARA CHAPISCO ROLADO</t>
  </si>
  <si>
    <t>37329</t>
  </si>
  <si>
    <t>REJUNTE EPOXI, QUALQUER COR</t>
  </si>
  <si>
    <t>37586</t>
  </si>
  <si>
    <t>PINO DE ACO COM ARRUELA CONICA, DIAMETRO ARRUELA = *23* MM E COMP HASTE = *27* MM (ACAO INDIRETA)</t>
  </si>
  <si>
    <t>CENTO</t>
  </si>
  <si>
    <t>37395</t>
  </si>
  <si>
    <t>PINO DE ACO COM FURO, HASTE = 27 MM (ACAO DIRETA)</t>
  </si>
  <si>
    <t>37526</t>
  </si>
  <si>
    <t>SACO DE RAFIA PARA ENTULHO, NOVO, LISO (SEM CLICHE), *60 x 90* CM</t>
  </si>
  <si>
    <t>37591</t>
  </si>
  <si>
    <t>SUPORTE MAO-FRANCESA EM ACO, ABAS IGUAIS 40 CM, CAPACIDADE MINIMA 70 KG, BRANCO</t>
  </si>
  <si>
    <t>37524</t>
  </si>
  <si>
    <t>TELA PLASTICA LARANJA, TIPO TAPUME PARA SINALIZACAO, MALHA RETANGULAR, ROLO 1.20 X 50 M (L X C)</t>
  </si>
  <si>
    <t>37588</t>
  </si>
  <si>
    <t>VALVULA DE ESCOAMENTO PARA TANQUE, EM METAL CROMADO, 1.1/2 , SEM LADRAO, COM TAMPAO PLASTICO</t>
  </si>
  <si>
    <t>36886</t>
  </si>
  <si>
    <t>ARGAMASSA PRONTA PARA CONTRAPISO</t>
  </si>
  <si>
    <t>38877</t>
  </si>
  <si>
    <t>MASSA PREMIUM PARA TEXTURA LISA DE BASE ACRILICA, USO INTERNO E EXTERNO</t>
  </si>
  <si>
    <t>37400</t>
  </si>
  <si>
    <t>PAPELEIRA PLASTICA TIPO DISPENSER PARA PAPEL HIGIENICO ROLAO</t>
  </si>
  <si>
    <t>37401</t>
  </si>
  <si>
    <t>TOALHEIRO PLASTICO TIPO DISPENSER PARA PAPEL TOALHA INTERFOLHADO</t>
  </si>
  <si>
    <t>38546</t>
  </si>
  <si>
    <t>ARGAMASSA USINADA AUTOADENSAVEL E AUTONIVELANTE PARA CONTRAPISO, COM BOMBEAMENTO (DISPONIBILIZACAO DE BOMBA), SEM O LANCAMENTO</t>
  </si>
  <si>
    <t>36178</t>
  </si>
  <si>
    <t>PISO TATIL / PODOTATIL, LADRILHO HIDRAULICO/CONCRETO, *40 X 40* CM, E= 2,5* CM, PADRAO TATIL ALERTA OU DIRECIONAL, COR NATURAL</t>
  </si>
  <si>
    <t>34672</t>
  </si>
  <si>
    <t>CHAPA DE MDF CRU, E = 15 MM, DE *2,75 X 1,85* M</t>
  </si>
  <si>
    <t>37948</t>
  </si>
  <si>
    <t>TE SANITARIO, PVC, DN 40 X 40 MM, SERIE NORMAL, PARA ESGOTO PREDIAL</t>
  </si>
  <si>
    <t>39208</t>
  </si>
  <si>
    <t>ARRUELA EM ALUMINIO, COM ROSCA, DE 1/2, PARA ELETRODUTO</t>
  </si>
  <si>
    <t>39416</t>
  </si>
  <si>
    <t>PLACA / CHAPA DE GESSO ACARTONADO, RESISTENTE A UMIDADE (RU), COR VERDE, E = 12,5 MM, 1200 X 1800 MM (L X C)</t>
  </si>
  <si>
    <t>39414</t>
  </si>
  <si>
    <t>PLACA / CHAPA DE GESSO ACARTONADO, RESISTENTE AO FOGO (RF), COR ROSA, E = 12,5 MM, 1200 X 1800 MM (L X C)</t>
  </si>
  <si>
    <t>39413</t>
  </si>
  <si>
    <t>PLACA / CHAPA DE GESSO ACARTONADO, STANDARD (ST), COR BRANCA, E = 12,5 MM, 1200 X 2400 MM (L X C)</t>
  </si>
  <si>
    <t>39431</t>
  </si>
  <si>
    <t>FITA DE PAPEL MICROPERFURADO, 50 X 150 MM, PARA TRATAMENTO DE JUNTAS DE CHAPA DE GESSO PARA DRYWALL</t>
  </si>
  <si>
    <t>39432</t>
  </si>
  <si>
    <t>FITA DE PAPEL REFORCADA COM LAMINA DE METAL PARA REFORCO DE CANTOS DE CHAPA DE GESSO PARA DRYWALL</t>
  </si>
  <si>
    <t>38194</t>
  </si>
  <si>
    <t>LAMPADA LED 10 W BIVOLT BRANCA, FORMATO TRADICIONAL (BASE E27)</t>
  </si>
  <si>
    <t>39388</t>
  </si>
  <si>
    <t>LAMPADA LED TIPO DICROICA BIVOLT, LUZ BRANCA, 5 W (BASE GU10)</t>
  </si>
  <si>
    <t>39434</t>
  </si>
  <si>
    <t>MASSA DE REJUNTE EM PO PARA DRYWALL, A BASE DE GESSO, SECAGEM RAPIDA, PARA TRATAMENTO DE JUNTAS DE CHAPA DE GESSO (NECESSITA ADICAO DE AGUA)</t>
  </si>
  <si>
    <t>39961</t>
  </si>
  <si>
    <t>SILICONE ACETICO USO GERAL INCOLOR 280 G</t>
  </si>
  <si>
    <t>38152</t>
  </si>
  <si>
    <t>FECHADURA ROSETA REDONDA PARA PORTA EXTERNA, EM ACO INOX (MAQUINA, TESTA E CONTRA-TESTA) E EM ZAMAC (MACANETA, LINGUETA E TRINCOS) COM ACABAMENTO CROMADO, MAQUINA DE 55 MM, INCLUINDO CHAVE TIPO CILINDRO</t>
  </si>
  <si>
    <t>39027</t>
  </si>
  <si>
    <t>PREGO DE ACO POLIDO COM CABECA 19  X 36 (3 1/4  X  9)</t>
  </si>
  <si>
    <t>39635</t>
  </si>
  <si>
    <t>CARPETE DE POLIPROPILENO EM MANTA PARA TRAFEGO COMERCIAL MEDIO, E = 5 A 6 MM (INSTALADO)</t>
  </si>
  <si>
    <t>39435</t>
  </si>
  <si>
    <t>PARAFUSO DRY WALL, EM ACO FOSFATIZADO, CABECA TROMBETA E PONTA AGULHA (TA), COMPRIMENTO 25 MM</t>
  </si>
  <si>
    <t>39443</t>
  </si>
  <si>
    <t>PARAFUSO DRY WALL, EM ACO ZINCADO, CABECA LENTILHA E PONTA BROCA (LB), LARGURA 4,2 MM, COMPRIMENTO 13 MM</t>
  </si>
  <si>
    <t>39997</t>
  </si>
  <si>
    <t>PORCA ZINCADA, SEXTAVADA, DIAMETRO 1/4</t>
  </si>
  <si>
    <t>ESPATULA DE ACO INOX COM CABO DE MADEIRA, LARGURA 8 CM</t>
  </si>
  <si>
    <t>37969</t>
  </si>
  <si>
    <t>JOELHO CPVC, SOLDAVEL, 45 GRAUS, 73 MM, PARA AGUA QUENTE</t>
  </si>
  <si>
    <t>37970</t>
  </si>
  <si>
    <t>JOELHO CPVC, SOLDAVEL, 45 GRAUS, 89 MM, PARA AGUA QUENTE</t>
  </si>
  <si>
    <t>37979</t>
  </si>
  <si>
    <t>LUVA CPVC, SOLDAVEL, 73 MM, PARA AGUA QUENTE PREDIAL</t>
  </si>
  <si>
    <t>37980</t>
  </si>
  <si>
    <t>LUVA CPVC, SOLDAVEL, 89 MM, PARA AGUA QUENTE PREDIAL</t>
  </si>
  <si>
    <t>MATCO-27500</t>
  </si>
  <si>
    <t>PLOTAGEM (TIPO DE PAPEL: VEGETAL| GRAMATURA: 90GR/CM2|TIPO DE FORMATO: A1| IMPRESSÃO: PRETO/BRANCO)</t>
  </si>
  <si>
    <t>MATCO-27502</t>
  </si>
  <si>
    <t>DIGITALIZAÇÃO DE DOCUMENTO (TIPO DE FORMATO: A1)</t>
  </si>
  <si>
    <t>MATCO-27503</t>
  </si>
  <si>
    <t>ENCADERNAÇÃO (TIPO: ESPIRAL|TIPO DE FORMATO: A4|MATERIAL DA CAPA: PP|COR: TRANSPARENTE|ESPESSURA*: 0,30MM)*VALORES REFERENCIAIS APROXIMADOS</t>
  </si>
  <si>
    <t>MATCO-27504</t>
  </si>
  <si>
    <t>PLOTAGEM (TIPO DE PAPEL: SULFITE| GRAMATURA: 90GR/CM2|TIPO DE FORMATO: A1| IMPRESSÃO: COLORIDA)</t>
  </si>
  <si>
    <t>MATCO-27505</t>
  </si>
  <si>
    <t>PLOTAGEM (TIPO DE PAPEL: SULFITE| GRAMATURA: 90GR/CM2|TIPO DE FORMATO: A1| IMPRESSÃO: PRETO/BRANCO)</t>
  </si>
  <si>
    <t>MATCO-27506</t>
  </si>
  <si>
    <t>FOTOCÓPIA/XEROX (IMPRESSÃO: PRETO/ BRANCO|ACABAMENTO: OPACO|TIPO DE FORMATO: A4)</t>
  </si>
  <si>
    <t>MATCO-31736</t>
  </si>
  <si>
    <t>EQUIPAMENTO DE PROTEÇÃO INDIVIDUAL (ENCARGOS COMPLEMENTARES)</t>
  </si>
  <si>
    <t>MATCO-31737</t>
  </si>
  <si>
    <t>ALIMENTAÇÃO (ENCARGOS COMPLEMENTARES)</t>
  </si>
  <si>
    <t>MATCO-31738</t>
  </si>
  <si>
    <t>EXAME OCUPACIONAL (ENCARGOS COMPLEMENTARES)</t>
  </si>
  <si>
    <t>MATCO-31739</t>
  </si>
  <si>
    <t>SEGURO (ENCARGOS COMPLEMENTARES)</t>
  </si>
  <si>
    <t>MATCO-31740</t>
  </si>
  <si>
    <t>ASSITÊNCIA MÉDICA (ENCARGOS COMPLEMENTARES)</t>
  </si>
  <si>
    <t>MATCO-33052</t>
  </si>
  <si>
    <t>TRANSPORTE - CUSTO DIÁRIO ( ENCARGOS COMPLEMENTARES)</t>
  </si>
  <si>
    <t>38167</t>
  </si>
  <si>
    <t>BORBOLETA PARA JANELA TIPO GUILHOTINA, EM ZAMAC CROMADO</t>
  </si>
  <si>
    <t>38168</t>
  </si>
  <si>
    <t>PUXADOR TUBULAR RETO DUPLO, EM ALUMINIO CROMADO, COMPRIMENTO DE APROX 400 MM E DIAMETRO DE 25 MM (1)</t>
  </si>
  <si>
    <t>38169</t>
  </si>
  <si>
    <t>CONJUNTO DE FERRAGENS PIVO, PARA PORTA PIVOTANTE DE ATE 100 KG, REGULAVEL COM ESFERA , CROMADO - SUPERIOR E INFERIOR - COMPLETO</t>
  </si>
  <si>
    <t>38179</t>
  </si>
  <si>
    <t>ROLDANA CONCAVA DUPLA, 4 RODAS, PARA PORTA DE CORRER, EM ZAMAC COM CHAPA DE ACO, ROLAMENTO INTERNO BLINDADO DE ACO REVESTIDO EM NYLON</t>
  </si>
  <si>
    <t>39026</t>
  </si>
  <si>
    <t>PREGO DE ACO POLIDO SEM CABECA 15 X 15 (1 1/4 X 13)</t>
  </si>
  <si>
    <t>39244</t>
  </si>
  <si>
    <t>ELETRODUTO PVC FLEXIVEL CORRUGADO, REFORCADO, COR LARANJA, DE 25 MM, PARA LAJES E PISOS</t>
  </si>
  <si>
    <t>39245</t>
  </si>
  <si>
    <t>ELETRODUTO PVC FLEXIVEL CORRUGADO, REFORCADO, COR LARANJA, DE 32 MM, PARA LAJES E PISOS</t>
  </si>
  <si>
    <t>39471</t>
  </si>
  <si>
    <t>DISPOSITIVO DPS CLASSE II, 1 POLO, TENSAO MAXIMA DE 275 V, CORRENTE MAXIMA DE *45* KA (TIPO AC)</t>
  </si>
  <si>
    <t>40304</t>
  </si>
  <si>
    <t>PREGO DE ACO POLIDO COM CABECA DUPLA 17 X 27 (2 1/2 X 11)</t>
  </si>
  <si>
    <t>40624</t>
  </si>
  <si>
    <t>TUBO ACO CARBONO SEM COSTURA 1 1/2, E= *3,68 MM, SCHEDULE 40, 4,05 KG/M</t>
  </si>
  <si>
    <t>39771</t>
  </si>
  <si>
    <t>CAIXA DE PASSAGEM METALICA DE SOBREPOR COM TAMPA PARAFUSADA, DIMENSOES 20 X 20 X 10 CM</t>
  </si>
  <si>
    <t>38075</t>
  </si>
  <si>
    <t>TOMADA 2P+T 20A 250V, CONJUNTO MONTADO PARA EMBUTIR 4 X 2 (PLACA + SUPORTE + MODULO)</t>
  </si>
  <si>
    <t>38081</t>
  </si>
  <si>
    <t>INTERRUPTORES PARALELOS (2 MODULOS) + TOMADA 2P+T 10A, 250V, CONJUNTO MONTADO PARA EMBUTIR 4 X 2 (PLACA + SUPORTE + MODULOS)</t>
  </si>
  <si>
    <t>36225</t>
  </si>
  <si>
    <t>FORRO DE PVC LISO, BRANCO, REGUA DE 20 CM, ESPESSURA DE 8 MM A 10 MM, COMPRIMENTO 6 M (SEM COLOCACAO)</t>
  </si>
  <si>
    <t>39694</t>
  </si>
  <si>
    <t>PISO ELEVADO COM 2 PLACAS DE ACO COM ENCHIMENTO DE CONCRETO CELULAR, INCLUSO BASE/HASTE/CRUZETAS, 60 X 60 CM, H = *28* CM, RESISTENCIA CARGA CONCENTRADA 496 KG (COM COLOCACAO)</t>
  </si>
  <si>
    <t>38383</t>
  </si>
  <si>
    <t>LIXA D'AGUA EM FOLHA, GRAO 100</t>
  </si>
  <si>
    <t>38063</t>
  </si>
  <si>
    <t>INTERRUPTOR PARALELO 10A, 250V, CONJUNTO MONTADO PARA EMBUTIR 4 X 2 (PLACA + SUPORTE + MODULO)</t>
  </si>
  <si>
    <t>38077</t>
  </si>
  <si>
    <t>INTERRUPTOR SIMPLES + TOMADA 2P+T 10A, 250V, CONJUNTO MONTADO PARA EMBUTIR 4 X 2 (PLACA + SUPORTE + MODULOS)</t>
  </si>
  <si>
    <t>40547</t>
  </si>
  <si>
    <t>PARAFUSO ZINCADO, AUTOBROCANTE, FLANGEADO, 4,2 MM X 19 MM</t>
  </si>
  <si>
    <t>40552</t>
  </si>
  <si>
    <t>PARAFUSO, AUTOATARRAXANTE, CABECA CHATA, FENDA SIMPLES, EM ACO ZINCADO, 1/4 (6,35 MM) X 25 MM</t>
  </si>
  <si>
    <t>38101</t>
  </si>
  <si>
    <t>TOMADA 2P+T 10A, 250V  (APENAS MODULO)</t>
  </si>
  <si>
    <t>38079</t>
  </si>
  <si>
    <t>INTERRUPTORES SIMPLES (2 MODULOS) + TOMADA 2P+T 10A, 250V, CONJUNTO MONTADO PARA EMBUTIR 4 X 2 (PLACA + SUPORTE + MODULOS)</t>
  </si>
  <si>
    <t>38076</t>
  </si>
  <si>
    <t>TOMADAS (2 MODULOS) 2P+T 10A, 250V, CONJUNTO MONTADO PARA EMBUTIR 4 X 2 (PLACA + SUPORTE + MODULOS)</t>
  </si>
  <si>
    <t>38074</t>
  </si>
  <si>
    <t>INTERRUPTORES PARALELOS (3 MODULOS) 10A, 250V, CONJUNTO MONTADO PARA EMBUTIR 4 X 2 (PLACA + SUPORTE + MODULO)</t>
  </si>
  <si>
    <t>39257</t>
  </si>
  <si>
    <t>CABO MULTIPOLAR DE COBRE, FLEXIVEL, CLASSE 4 OU 5, ISOLACAO EM HEPR, COBERTURA EM PVC-ST2, ANTICHAMA BWF-B, 0,6/1 KV, 3 CONDUTORES DE 1,5 MM2</t>
  </si>
  <si>
    <t>39430</t>
  </si>
  <si>
    <t>PENDURAL OU PRESILHA REGULADORA, EM ACO GALVANIZADO, COM CORPO, MOLA E REBITE, PARA PERFIL TIPO CANALETA DE ESTRUTURA EM FORROS DRYWALL</t>
  </si>
  <si>
    <t>39427</t>
  </si>
  <si>
    <t>PERFIL CANALETA, FORMATO C, EM ACO ZINCADO, PARA ESTRUTURA FORRO DRYWALL, E = 0,5 MM, *46 X 18* (L X H), COMPRIMENTO 3 M</t>
  </si>
  <si>
    <t>39419</t>
  </si>
  <si>
    <t>PERFIL GUIA, FORMATO U, EM ACO ZINCADO, PARA ESTRUTURA PAREDE DRYWALL, E = 0,5 MM, 70 X 3000 MM (L X C)</t>
  </si>
  <si>
    <t>39422</t>
  </si>
  <si>
    <t>PERFIL MONTANTE, FORMATO C, EM ACO ZINCADO, PARA ESTRUTURA PAREDE DRYWALL, E = 0,5 MM, 70 X 3000 MM (L X C)</t>
  </si>
  <si>
    <t>39429</t>
  </si>
  <si>
    <t>PERFIL TABICA ABERTA, PERFURADA, FORMATO Z, EM ACO GALVANIZADO NATURAL, LARGURA APROXIMADA 40 MM, PARA ESTRUTURA FORRO DRYWALL</t>
  </si>
  <si>
    <t>39428</t>
  </si>
  <si>
    <t>PERFIL TABICA FECHADA, LISA, FORMATO Z, EM ACO GALVANIZADO NATURAL, LARGURA TOTAL NA HORIZONTAL *40* MM, PARA ESTRUTURA FORRO DRYWALL</t>
  </si>
  <si>
    <t>39028</t>
  </si>
  <si>
    <t>PERFILADO PERFURADO SIMPLES 38 X 38 MM, CHAPA 22</t>
  </si>
  <si>
    <t>39396</t>
  </si>
  <si>
    <t>SENSOR DE PRESENCA BIVOLT COM FOTOCELULA PARA QUALQUER TIPO DE LAMPADA, POTENCIA MAXIMA *1000* W, USO EXTERNO</t>
  </si>
  <si>
    <t>39393</t>
  </si>
  <si>
    <t>SENSOR DE PRESENCA BIVOLT DE PAREDE SEM FOTOCELULA PARA QUALQUER TIPO DE LAMPADA POTENCIA MAXIMA *1000* W, USO INTERNO</t>
  </si>
  <si>
    <t>39017</t>
  </si>
  <si>
    <t>ESPACADOR / DISTANCIADOR CIRCULAR COM ENTRADA LATERAL, EM PLASTICO, PARA VERGALHAO *4,2 A 12,5* MM, COBRIMENTO 20 MM</t>
  </si>
  <si>
    <t>39512</t>
  </si>
  <si>
    <t>FORRO DE FIBRA MINERAL EM PLACAS DE 1250 X 625 MM, E = 15 MM, BORDA RETA, COM PINTURA ANTIMOFO, APOIADO EM PERFIL DE ACO GALVANIZADO COM 24 MM DE BASE - INSTALADO</t>
  </si>
  <si>
    <t>39513</t>
  </si>
  <si>
    <t>FORRO DE FIBRA MINERAL EM PLACAS DE 625 X 625 MM, E = 15/16 MM, BORDA REBAIXADA, COM PINTURA ANTIMOFO, APOIADO EM PERFIL DE ACO GALVANIZADO COM 24 MM DE BASE - INSTALADO</t>
  </si>
  <si>
    <t>39515</t>
  </si>
  <si>
    <t>PLACA DE FIBRA MINERAL PARA FORRO, DE 1250 X 625 MM, E = 15 MM, BORDA RETA, COM PINTURA ANTIMOFO (NAO INCLUI PERFIS)</t>
  </si>
  <si>
    <t>39516</t>
  </si>
  <si>
    <t>PLACA DE FIBRA MINERAL PARA FORRO, DE 625 X 625 MM, E = 15 MM, BORDA REBAIXADA PARA PERFIL 24 MM, COM PINTURA ANTIMOFO (NAO INCLUI PERFIS)</t>
  </si>
  <si>
    <t>38975</t>
  </si>
  <si>
    <t>TUBO PPR, CLASSE PN 12, DN 75 MM</t>
  </si>
  <si>
    <t>38976</t>
  </si>
  <si>
    <t>TUBO PPR, CLASSE PN 12, DN 90 MM</t>
  </si>
  <si>
    <t>39599</t>
  </si>
  <si>
    <t>CABO DE REDE, PAR TRANCADO UTP, 4 PARES, CATEGORIA 6 (CAT 6), ISOLAMENTO PVC (LSZH)</t>
  </si>
  <si>
    <t>39601</t>
  </si>
  <si>
    <t>CONECTOR / TOMADA FEMEA RJ 45, CATEGORIA 6 (CAT 6) PARA CABOS</t>
  </si>
  <si>
    <t>39603</t>
  </si>
  <si>
    <t>CONECTOR MACHO RJ 45, CATEGORIA 6 (CAT 6) PARA CABOS</t>
  </si>
  <si>
    <t>39607</t>
  </si>
  <si>
    <t>PATCH CORD (CABO DE REDE), CATEGORIA 6 (CAT 6) UTP, 23 AWG, 4 PARES, EXTENSAO DE 2,50 M</t>
  </si>
  <si>
    <t>39596</t>
  </si>
  <si>
    <t>PATCH PANEL, 24 PORTAS, CATEGORIA 6, COM RACKS DE 19 DE LARGURA E 1 U DE ALTURA</t>
  </si>
  <si>
    <t>43483</t>
  </si>
  <si>
    <t>EPI - FAMILIA CARPINTEIRO DE FORMAS - HORISTA (ENCARGOS COMPLEMENTARES - COLETADO CAIXA)</t>
  </si>
  <si>
    <t>43484</t>
  </si>
  <si>
    <t>EPI - FAMILIA ELETRICISTA - HORISTA (ENCARGOS COMPLEMENTARES - COLETADO CAIXA)</t>
  </si>
  <si>
    <t>43485</t>
  </si>
  <si>
    <t>EPI - FAMILIA ENCANADOR - HORISTA (ENCARGOS COMPLEMENTARES - COLETADO CAIXA)</t>
  </si>
  <si>
    <t>43488</t>
  </si>
  <si>
    <t>EPI - FAMILIA OPERADOR ESCAVADEIRA - HORISTA (ENCARGOS COMPLEMENTARES - COLETADO CAIXA)</t>
  </si>
  <si>
    <t>43489</t>
  </si>
  <si>
    <t>EPI - FAMILIA PEDREIRO - HORISTA (ENCARGOS COMPLEMENTARES - COLETADO CAIXA)</t>
  </si>
  <si>
    <t>43490</t>
  </si>
  <si>
    <t>EPI - FAMILIA PINTOR - HORISTA (ENCARGOS COMPLEMENTARES - COLETADO CAIXA)</t>
  </si>
  <si>
    <t>43491</t>
  </si>
  <si>
    <t>EPI - FAMILIA SERVENTE - HORISTA (ENCARGOS COMPLEMENTARES - COLETADO CAIXA)</t>
  </si>
  <si>
    <t>43492</t>
  </si>
  <si>
    <t>EPI - FAMILIA SOLDADOR - HORISTA (ENCARGOS COMPLEMENTARES - COLETADO CAIXA)</t>
  </si>
  <si>
    <t>43459</t>
  </si>
  <si>
    <t>FERRAMENTAS - FAMILIA CARPINTEIRO DE FORMAS - HORISTA (ENCARGOS COMPLEMENTARES - COLETADO CAIXA)</t>
  </si>
  <si>
    <t>43460</t>
  </si>
  <si>
    <t>FERRAMENTAS - FAMILIA ELETRICISTA - HORISTA (ENCARGOS COMPLEMENTARES - COLETADO CAIXA)</t>
  </si>
  <si>
    <t>43461</t>
  </si>
  <si>
    <t>FERRAMENTAS - FAMILIA ENCANADOR - HORISTA (ENCARGOS COMPLEMENTARES - COLETADO CAIXA)</t>
  </si>
  <si>
    <t>43464</t>
  </si>
  <si>
    <t>FERRAMENTAS - FAMILIA OPERADOR ESCAVADEIRA - HORISTA (ENCARGOS COMPLEMENTARES - COLETADO CAIXA)</t>
  </si>
  <si>
    <t>43465</t>
  </si>
  <si>
    <t>FERRAMENTAS - FAMILIA PEDREIRO - HORISTA (ENCARGOS COMPLEMENTARES - COLETADO CAIXA)</t>
  </si>
  <si>
    <t>43466</t>
  </si>
  <si>
    <t>FERRAMENTAS - FAMILIA PINTOR - HORISTA (ENCARGOS COMPLEMENTARES - COLETADO CAIXA)</t>
  </si>
  <si>
    <t>43467</t>
  </si>
  <si>
    <t>FERRAMENTAS - FAMILIA SERVENTE - HORISTA (ENCARGOS COMPLEMENTARES - COLETADO CAIXA)</t>
  </si>
  <si>
    <t>43468</t>
  </si>
  <si>
    <t>FERRAMENTAS - FAMILIA SOLDADOR - HORISTA (ENCARGOS COMPLEMENTARES - COLETADO CAIXA)</t>
  </si>
  <si>
    <t>43054</t>
  </si>
  <si>
    <t>ACO CA-25, 10,0 MM, OU 12,5 MM, OU 16,0 MM, OU 20,0 MM, OU 25,0 MM, VERGALHAO</t>
  </si>
  <si>
    <t>43053</t>
  </si>
  <si>
    <t>ACO CA-25, 6,3 MM OU 8,0 MM, VERGALHAO</t>
  </si>
  <si>
    <t>43055</t>
  </si>
  <si>
    <t>ACO CA-50, 12,5 MM OU 16,0 MM, VERGALHAO</t>
  </si>
  <si>
    <t>43056</t>
  </si>
  <si>
    <t>ACO CA-50, 20,0 MM OU 25,0 MM, VERGALHAO</t>
  </si>
  <si>
    <t>43059</t>
  </si>
  <si>
    <t>ACO CA-60, 4,2 MM, OU 5,0 MM, OU 6,0 MM, OU 7,0 MM, VERGALHAO</t>
  </si>
  <si>
    <t>43131</t>
  </si>
  <si>
    <t>ARAME GALVANIZADO 6 BWG, D = 5,16 MM (0,157 KG/M), OU 8 BWG, D = 4,19 MM (0,101 KG/M), OU 10 BWG, D = 3,40 MM (0,0713 KG/M)</t>
  </si>
  <si>
    <t>43132</t>
  </si>
  <si>
    <t>ARAME RECOZIDO 16 BWG, D = 1,65 MM (0,016 KG/M) OU 18 BWG, D = 1,25 MM (0,01 KG/M)</t>
  </si>
  <si>
    <t>41954</t>
  </si>
  <si>
    <t>CABO DE ACO GALVANIZADO, DIAMETRO 9,53 MM (3/8), COM ALMA DE FIBRA 6 X 25 F</t>
  </si>
  <si>
    <t>43082</t>
  </si>
  <si>
    <t>PERFIL I OU W EM ACO LAMINADO, QUAISQUER DIMENSOES</t>
  </si>
  <si>
    <t>42576</t>
  </si>
  <si>
    <t>TUBO ACO CARBONO SEM COSTURA 3, E= *5,49 MM, SCHEDULE 40, *11,28* KG/M</t>
  </si>
  <si>
    <t>43613</t>
  </si>
  <si>
    <t>FECHADRUA BICO DE PAPAGAIO PARA PORTA DE CORRER INTERNA, EM ACO INOX COM ACABAMENTO CROMADO, MAQUINA COM 45 MM, INCLUINDO CHAVE TIPO BIPARTIDA</t>
  </si>
  <si>
    <t>44020</t>
  </si>
  <si>
    <t>MICTORIO INDIVIDUAL, SIFONADO, VALVULA EMBUTIDA, DE LOUCA BRANCA, SEM COMPLEMENTOS - PADRAO ALTO</t>
  </si>
  <si>
    <t>44396</t>
  </si>
  <si>
    <t>COLA BRANCA BASE PVA</t>
  </si>
  <si>
    <t>41426</t>
  </si>
  <si>
    <t>MINICAPTOR, EM ACO GALVANIZADO A FOGO, FIXACAO HORIZONTAL DE 2 FUROS, SEM BANDEIRA, H=600 MM X DN=10 MM</t>
  </si>
  <si>
    <t>44329</t>
  </si>
  <si>
    <t>DETERGENTE NEUTRO USO GERAL, CONCENTRADO</t>
  </si>
  <si>
    <t>44072</t>
  </si>
  <si>
    <t>PRIMER EPOXI / EPOXIDICO</t>
  </si>
  <si>
    <t>43681</t>
  </si>
  <si>
    <t>CHAPA/PAINEL DE MADEIRA COMPENSADA RESINADA (MADEIRITE RESINADO ROSA) PARA FORMA DE CONCRETO, DE 2200 x 1100 MM, E = 8 A 12 MM</t>
  </si>
  <si>
    <t>44476</t>
  </si>
  <si>
    <t>DIVISORIA EM GRANITO, COM DUAS FACES POLIDAS, TIPO ANDORINHA/ QUARTZ/ CASTELO/ CORUMBA OU OUTROS EQUIVALENTES DA REGIAO, E=  *3,0*  CM</t>
  </si>
  <si>
    <t>43652</t>
  </si>
  <si>
    <t>MASSA PARA MADEIRA - INTERIOR E EXTERIOR</t>
  </si>
  <si>
    <t>44509</t>
  </si>
  <si>
    <t>MANTA TERMOPLASTICA, PEAD, GEOMEMBRANA LISA, E = 2,00 MM (NBR 15352)</t>
  </si>
  <si>
    <t>44540</t>
  </si>
  <si>
    <t>PISO EM GRANITO, POLIDO, TIPO MARFIM, DALLAS, CARAVELAS OU OUTROS EQUIVALENTES DA REGIAO, FORMATO MENOR OU IGUAL A 3025 CM2, E=  *2*CM</t>
  </si>
  <si>
    <t>43837</t>
  </si>
  <si>
    <t>RACK DE PISO PARA SERVIDOR, ABERTO, EM COLUNA, 44U X *570* MM</t>
  </si>
  <si>
    <t>INHIDR0004</t>
  </si>
  <si>
    <t>REPARO DA VALVULA DE DESCARGA DECA</t>
  </si>
  <si>
    <t>ININFRA0035</t>
  </si>
  <si>
    <t>Aditivo Impermeabilizante por Cristalização Xypex Admix C 500NF MC BAUCHEMIE</t>
  </si>
  <si>
    <t>ININFRA0037</t>
  </si>
  <si>
    <t>Xypex Patch´n Plug - 25kg MC BAUCHEMIE</t>
  </si>
  <si>
    <t>INPCI0421</t>
  </si>
  <si>
    <t>Fornecimento de materiais, peças e componentes para combate à incêndio.</t>
  </si>
  <si>
    <t>ININFRA2244</t>
  </si>
  <si>
    <t>Fornecimento de materiais, peças e componentes para infraestrutura.</t>
  </si>
  <si>
    <t>INHIDR3051</t>
  </si>
  <si>
    <t>Fornecimento de materiais, peças e componentes para hidrossanitário.</t>
  </si>
  <si>
    <t>INELET51101</t>
  </si>
  <si>
    <t>Fornecimento de materiais, peças e componentes para instalações elétricas.</t>
  </si>
  <si>
    <t>INELET5137</t>
  </si>
  <si>
    <t>Luminária LED para embutir, referência: Lumicenter LAA03-E3500840 ou equivalente técnico.</t>
  </si>
  <si>
    <t>INELET5138</t>
  </si>
  <si>
    <t>Luminária redonda de embutir completa com LED e driver. Referência: Lumicenter EF41-E11100850 ou equivalente técnico.</t>
  </si>
  <si>
    <t>INELET5139</t>
  </si>
  <si>
    <t>Luminária retangular de embutir, completa com LED e driver. Referência: Lumicenter LHT41-E2000850 ou equivalente técnico.</t>
  </si>
  <si>
    <t>INELET513910</t>
  </si>
  <si>
    <t>Luminária à LED tipo pendente com iluminação direta. Referência: Lumicenter PD69-P3LED3KPT ou equivalente técnico.</t>
  </si>
  <si>
    <t>INELET513911</t>
  </si>
  <si>
    <t>Luminária quadrada tipo painel LED para embutir em forro de gesso, completa com LED e driver. Referência: Lumicenter LHT45-E2000840 ou equivalente técnico.</t>
  </si>
  <si>
    <t>INELET513912</t>
  </si>
  <si>
    <t>Luminária de embutir retangular completa com LED e driver. Referência: Lumicenter WW01-E2800840 ou equivalente técnico.</t>
  </si>
  <si>
    <t>INELET513913</t>
  </si>
  <si>
    <t>Luminária de embutir ruler retangular LED 60x15cm 20W</t>
  </si>
  <si>
    <t>INELET513914</t>
  </si>
  <si>
    <t>Luminária LSQY 2x32W Lumiluz. Dimensão de lâmpadas de 120 cm</t>
  </si>
  <si>
    <t>INELET513915</t>
  </si>
  <si>
    <t>Luminária embutir Abalux A06 – 4x20W c/ aletas.</t>
  </si>
  <si>
    <t>INELET513916</t>
  </si>
  <si>
    <t>Lâmpada LED tubular bivolt 18/20W, base G13, 3000-6000K, 60-120cm. Referência Phillips.</t>
  </si>
  <si>
    <t>INELET513917</t>
  </si>
  <si>
    <t>Luminária Tipo refletor Referência Phillips, G2 30W IP65 2850, fluxo luminoso de 2850 lúmens, potência de 30W, temperatura de cor 6500K, tensão de operação 120-277V, corpo em material de alumínio fundido (preto) e vidro temperado, vida útil de 30.000 horas e grau de proteção IP65</t>
  </si>
  <si>
    <t>INELET513918</t>
  </si>
  <si>
    <t>Luminária Tipo refletor Referência Phillips,G2 50W IP65 4750, fluxo luminoso de 14250 lúmens, potência de 50W, temperatura de cor 6500K, tensão de operação 120-277V, corpo em material de alumínio fundido (preto) e vidro temperado, vida útil de 30.000 horas e grau de proteção IP65</t>
  </si>
  <si>
    <t>INELET513919</t>
  </si>
  <si>
    <t>Luminária Tipo refletor Referência Phillips, G2 150W IP65 14250, fluxo luminoso de 14250 lúmens, potência de 150W, temperatura de cor 6500K, tensão de operação 120-277V, corpo em material de alumínio fundido (preto) e vidro temperado, vida útil de 30.000 horas e grau de proteção IP65</t>
  </si>
  <si>
    <t>INELET5171</t>
  </si>
  <si>
    <t>Borne tipo SAK DIN para cabos de 10mm² inclusive acessórios.</t>
  </si>
  <si>
    <t>INELET51715</t>
  </si>
  <si>
    <t>Interruptor Diferencial Dr Weg 100a 30ma Tetrapolar Rdws Ac.</t>
  </si>
  <si>
    <t>INELET51717</t>
  </si>
  <si>
    <t>Minicontator Auxiliar 24v Dc 10a 2na 2nf Cwca0 Weg.</t>
  </si>
  <si>
    <t>INELET51718</t>
  </si>
  <si>
    <t>Hager, modelo EGN103 ou Programador Horário Digital Din 7pv0300-0an00 Siemens.</t>
  </si>
  <si>
    <t>INELET5172</t>
  </si>
  <si>
    <t>Borne tipo SAK DIN para cabos de 16mm² inclusive acessórios.</t>
  </si>
  <si>
    <t>INELET5173</t>
  </si>
  <si>
    <t>Borne tipo SAK DIN para cabos de 2,5mm² inclusive acessórios.</t>
  </si>
  <si>
    <t>INELET5189</t>
  </si>
  <si>
    <t>Régua de rack com pelo menos 8 tomadas com minidisjuntor e fusível.</t>
  </si>
  <si>
    <t>INELET5191</t>
  </si>
  <si>
    <t>Cordão Óptico Lc Lc Multimodo 3mts Duplex 50/125 Om3 10gb.</t>
  </si>
  <si>
    <t>INELET5192</t>
  </si>
  <si>
    <t>Cabo Optico 50/125 Mm 6 fibra ópticas Ut Om3 Ref. Prysmian.</t>
  </si>
  <si>
    <t>INELET5197</t>
  </si>
  <si>
    <t>Suporte Adericone referência Termotécnica TEl-755.</t>
  </si>
  <si>
    <t>INARQT6214</t>
  </si>
  <si>
    <t>LÃ DE ROCHA COM DENSIDADE DE 48KG/M³ E ESPESSURA DE 50MM</t>
  </si>
  <si>
    <t>IN62210</t>
  </si>
  <si>
    <t>Vidro laminado espelhado Ref. Sunguard Chrome, Silver 20, Silver 32, Guardian Glass ou equivalente c/ remoção e instalação inclui todos insumos necessários</t>
  </si>
  <si>
    <t>INARQU62213A</t>
  </si>
  <si>
    <t>Kit de guias deslizantes Udinese.</t>
  </si>
  <si>
    <t>INARQU62213B</t>
  </si>
  <si>
    <t>Kit fecho e contra fecho caracol Udinese.</t>
  </si>
  <si>
    <t>INARQU62217</t>
  </si>
  <si>
    <t>Maçaneta Arouca Luna 108496-ZCE 55mm com cilindro</t>
  </si>
  <si>
    <t>INCT0302022CPU02C</t>
  </si>
  <si>
    <t>PORTA DE MADEIRA, FOLHA PESADA (NBR 15930) DE 600 X 2100 MM, DE 40 MM A 45 MM DE ESPESSURA, NUCLEO SOLIDO, CAPA LISA EM HDF, ACABAMENTO EM LAMINADO NATURAL PARA VERNIZ</t>
  </si>
  <si>
    <t>INARQU62414</t>
  </si>
  <si>
    <t>Microcimento espatulado. Efeito Cimento Queimado Para Piso Suvinil Balde 15kg.</t>
  </si>
  <si>
    <t>ARQUIN624212COT24</t>
  </si>
  <si>
    <t>Resvestimento 3D Portobello modelo spot sea cru (cor cru), em alto relevo, 20x20cm, retificado. Edifício II</t>
  </si>
  <si>
    <t>INARQT62424</t>
  </si>
  <si>
    <t>Revestimento para parede interna brilhante borda arredondada branco 10x20cm Artens ou metro white Eliane.</t>
  </si>
  <si>
    <t>INARQU624417A</t>
  </si>
  <si>
    <t>Piso podotátil elementos soltos metálicos (inox) alerta.</t>
  </si>
  <si>
    <t>INARQU624417B</t>
  </si>
  <si>
    <t>Piso podotátil elementos soltos metálicos (inox) direcional.</t>
  </si>
  <si>
    <t>INARQU624418</t>
  </si>
  <si>
    <t>Piso podotátil elementos soltos para carpete metálico.</t>
  </si>
  <si>
    <t>ARQU62451</t>
  </si>
  <si>
    <t>Rodapé em poliestrieno barra 496 RP/BR Santa Luzia.</t>
  </si>
  <si>
    <t>INARQU62452</t>
  </si>
  <si>
    <t>Rodapé em poliestrieno barra 466 RP/BR Santa Luzia.</t>
  </si>
  <si>
    <t>INARQU62453</t>
  </si>
  <si>
    <t>Rodapé em aço inox h=7,5cm de altura.</t>
  </si>
  <si>
    <t>INARQT6258</t>
  </si>
  <si>
    <t>PISO EM GRANITO BRANCO CEARÁ, POLIDO OU FLAMEADO, INCLUSIVE PARA RODAPÉ, SOLEIRA, ETC.</t>
  </si>
  <si>
    <t>INARQT6259</t>
  </si>
  <si>
    <t>PISO EM GRANITO VERMELHO BRASÍLIA, POLIDO OU FLAMEADO, INCLUSIVE PARA RODAPÉ, SOLEIRA E ETC.</t>
  </si>
  <si>
    <t>INARQU6265</t>
  </si>
  <si>
    <t>Tinta resistente a incêndio, referência Tinta Intumescente Maza, Classe IIA, Ignífuga.</t>
  </si>
  <si>
    <t>INARQU6272</t>
  </si>
  <si>
    <t>Bacia / Cuba sanitária com caixa acoplada. Ref. Deca Vogue Plus P510 com caixa acoplada - sem assento.</t>
  </si>
  <si>
    <t>INARQU62721</t>
  </si>
  <si>
    <t>Torneira de parede Docol Gali 00800106 Cromada.</t>
  </si>
  <si>
    <t>INARQU62722</t>
  </si>
  <si>
    <t>Torneira de tanque dupla de parede 1134 Docol.</t>
  </si>
  <si>
    <t>INCT0302022CPU19</t>
  </si>
  <si>
    <t>Acabamento para Válvula Docol de Descarga Clássica Salvágua 00451106 Cromado</t>
  </si>
  <si>
    <t>HIDROIN6273COT31</t>
  </si>
  <si>
    <t>Bacia sanitária (vaso) convencional, colorido, Ref. Deca Ravena P.9.37</t>
  </si>
  <si>
    <t>INARQU62910</t>
  </si>
  <si>
    <t>Fornecimento de peças e insumos para arquitetura / civil.</t>
  </si>
  <si>
    <t>INELE5210001</t>
  </si>
  <si>
    <t>Piso elevador - Placa 50x50 sem revestimento sistema Remaster - Somente forncimento</t>
  </si>
  <si>
    <t>PÇ</t>
  </si>
  <si>
    <t>INELE5210002</t>
  </si>
  <si>
    <t>Piso elevado - Placa 50x50 com revestimento vinílico instalado de fábrica - Sistema Remaster</t>
  </si>
  <si>
    <t>INELE5210003</t>
  </si>
  <si>
    <t>Piso elevado - Pedestais fixos 7cm central e acabamento - Sistema Remaster</t>
  </si>
  <si>
    <t>INELE5210004</t>
  </si>
  <si>
    <t>Piso elevado - Manta em polietileno expandido - Sistema Remaster</t>
  </si>
  <si>
    <t>INELE5210005</t>
  </si>
  <si>
    <t>Piso elevado - Cabo de alimentação 5m com 4 circuitos - Sistema Remaster</t>
  </si>
  <si>
    <t>INELE5210006</t>
  </si>
  <si>
    <t>Piso elevado - Cabo de alimentação 9m com 4 circuitos - Sistema Remaster</t>
  </si>
  <si>
    <t>INELE5210007</t>
  </si>
  <si>
    <t>Piso elevado - Cabo de alimentação 15m com 4 circuitos - Sistema Remaster</t>
  </si>
  <si>
    <t>INELE5210008</t>
  </si>
  <si>
    <t>Piso elevado - Cabo de interligação 2,5m com 4 circuitos - Sistema Remaster</t>
  </si>
  <si>
    <t>INELE5210009</t>
  </si>
  <si>
    <t>Piso elevado - Cabo de interligação 3,5m com 4 circuitos - Sistema Remaster</t>
  </si>
  <si>
    <t>INELE5210010</t>
  </si>
  <si>
    <t>Piso elevado - Cabo de interligação 5,0m com 4 circuitos - Sistema Remaster</t>
  </si>
  <si>
    <t>INELE5210011</t>
  </si>
  <si>
    <t>Piso elevado - Cabo de interligação 7,0m com 4 circuitos - Sistema Remaster</t>
  </si>
  <si>
    <t>INELE5210012</t>
  </si>
  <si>
    <t>Piso elevado - Caixa elétrica modular c/ 4 tomadas e espaço para 4 RJ45 fêmea (sem RJ45) - Sistema Remaster</t>
  </si>
  <si>
    <t>INELE5210013</t>
  </si>
  <si>
    <t>Piso elevado - Tampa de superfície e fixação de tomadas (caixa de superfície) - Sistema Remaster</t>
  </si>
  <si>
    <t>INELE5210014</t>
  </si>
  <si>
    <t>Piso elevado - Plug para emenda de cabos blindados - Sistema Remaster</t>
  </si>
  <si>
    <t>HIDRINMN62731COT41</t>
  </si>
  <si>
    <t>Torneira de mesa conforto com fechamento automático, para lavatório, metálica, acessível, bica baixa, linha Decamatic Eco, marca DECA, Docol Pressmatic Benefit</t>
  </si>
  <si>
    <t>ARQUIN6276COT36</t>
  </si>
  <si>
    <t>Assento Sanitário - Deca Izy / Ravena Ap.01</t>
  </si>
  <si>
    <t>INELET5193</t>
  </si>
  <si>
    <t>Dio Completo 12fo - Distribuidor Interno Optico Sc Upc 1u com bandeja deslizante.</t>
  </si>
  <si>
    <t>ELETMNIN4006COT123</t>
  </si>
  <si>
    <t>Disjuntor Motor Tripolar 32A 416A 50Ka MPW40I3U032 WEG</t>
  </si>
  <si>
    <t>ELETMNIN4006COT124</t>
  </si>
  <si>
    <t>BOTÃO DE COMANDO (TIPO: SINALEIRO LED|CORES: DIVERSAS|BITOLA: 22MM|TENSÃO: 220V AC)</t>
  </si>
  <si>
    <t>BOTÃO DE COMANDO (TIPO: SELETOR 3 POSIÇÕES|BITOLA: 22MM|CONTATOS: 2NA)</t>
  </si>
  <si>
    <t>PCIMNIN4007COT125</t>
  </si>
  <si>
    <t>Cabo blindado em 4 vias para Alarme/Detecção Incêndio 1x4x1,50mm² na cor vermelha</t>
  </si>
  <si>
    <t>MNIN51633ORSE00859</t>
  </si>
  <si>
    <t>Eletrocalha Valemam 180x50mm VL3.60</t>
  </si>
  <si>
    <t>MNIN51633ORSE00885</t>
  </si>
  <si>
    <t>Emenda interna 150 x 50 mm com base lisa para eletrocalha metálica (ref. vl 3.01-21-150/50 ge valemam ou similar)</t>
  </si>
  <si>
    <t>MNIN51633ORSE11057</t>
  </si>
  <si>
    <t>Curva horizontal externa Valemam VL 3.64 180x50mm</t>
  </si>
  <si>
    <t>MNIN51633ORSE11058</t>
  </si>
  <si>
    <t>Curva interna para canaleta metálica articulada, da Valemam ou similar</t>
  </si>
  <si>
    <t>MNIN51633ORSE11058B</t>
  </si>
  <si>
    <t>Módulo de Tomada Valemam com espaço para 2 tomadas e 2 pontos de rede VL3.42.5PT 180x50mm</t>
  </si>
  <si>
    <t>MNIN51633ORSE11059</t>
  </si>
  <si>
    <t>Caixa de derivação Valemam VL 3.68</t>
  </si>
  <si>
    <t>MNIN51633ORSE11060</t>
  </si>
  <si>
    <t>Curva vertical/horizontal para canaleta metálica articulada, da Valemam</t>
  </si>
  <si>
    <t>MNIN62227COT02</t>
  </si>
  <si>
    <t>Porta PVC Wood Freijó Pormade - kit porta pronta com alizar e dobradiças, sem fechadura</t>
  </si>
  <si>
    <t>ARQUMNIN62448ACOT76</t>
  </si>
  <si>
    <t>Tarkett, 4mm, linha Square Set, 609,6x609,6mm ref. 24026300, 24026200, 24026100, 24024001. Capa de PVC igual o superior a 0,7mm, resistência ao escorregamento R9 ou Classe 1</t>
  </si>
  <si>
    <t>HIDROMNIN62720COT40</t>
  </si>
  <si>
    <t>Torneira metálica cromada de mesa/bancada, para cozinha e lavatório - Ref. Deca Flex Plus</t>
  </si>
  <si>
    <t>MNIN62732COT37</t>
  </si>
  <si>
    <t>cuba de semi-encaixe Q2, linha BASIC, marca CELITE</t>
  </si>
  <si>
    <t>ARQUMNIN62810COT121</t>
  </si>
  <si>
    <t>Fornecimento e instalação de Película Jateada Cor branca com 5 anos de garantia</t>
  </si>
  <si>
    <t>ARQUMNIN62816COT47</t>
  </si>
  <si>
    <t>Alarme audiovisual, com nobreak integrado, com boteira de soco com trava por giro. Ref. Sol Sustentável PNE Cap 30</t>
  </si>
  <si>
    <t>ARQUMNIN6281COT45</t>
  </si>
  <si>
    <t>Espelho tipo cristal 6mm, fundo prata, colado na parede com acabamento chanfrado e polimento lateral</t>
  </si>
  <si>
    <t>ARQUMNIN6288CPUETERA3113</t>
  </si>
  <si>
    <t>Fornecimento e instalação de batente ou apoio em silicone</t>
  </si>
  <si>
    <t>ANEXO II – PLANILHA DE CUSTOS E FORMAÇÃO DE PREÇOS DO LICITANTE – BDI DIFERENCIADO</t>
  </si>
  <si>
    <t>BONIFICAÇÃO E DESPESAS INDIRETAS – BDI</t>
  </si>
  <si>
    <t>BDI DIFERENCIADO ESTIMATIVO REFERENTE À PLANILHA 1.2 E 1.3</t>
  </si>
  <si>
    <t>DISCRIMINAÇÃO</t>
  </si>
  <si>
    <t>VALOR</t>
  </si>
  <si>
    <t>DESPESAS (INCIDEM SOBRE O CUSTO DIRETO)</t>
  </si>
  <si>
    <t>Taxas Llimite TCU - Acórdão Nº 2622/2013 – Plenário</t>
  </si>
  <si>
    <t>1o Quartil</t>
  </si>
  <si>
    <t>Médio</t>
  </si>
  <si>
    <t>3o Quartil</t>
  </si>
  <si>
    <t>Adotado</t>
  </si>
  <si>
    <t>AC</t>
  </si>
  <si>
    <t>TAXA DE RATEIO DA ADMINISTRAÇÃO CENTRAL (%)</t>
  </si>
  <si>
    <t>S</t>
  </si>
  <si>
    <t>SEGURO + GARANTIAS (%)</t>
  </si>
  <si>
    <t>R</t>
  </si>
  <si>
    <t>RISCO (%)</t>
  </si>
  <si>
    <t>DF</t>
  </si>
  <si>
    <t>DESPESAS FINANCEIRAS (%)</t>
  </si>
  <si>
    <t>LUCRO BRUTO (%)</t>
  </si>
  <si>
    <t>TRIBUTOS (INCIDEM SOBRE O FATURAMENTO)</t>
  </si>
  <si>
    <t>PIS (%) -  Lei Complementar nº 7 de 07 de setembro de 1970</t>
  </si>
  <si>
    <t>COFINS (%) -  Lei Complementar 70 de 30 dezembro de 1991</t>
  </si>
  <si>
    <t>ISSQN (%)  - considerando 50% sobre o preço de venda - TCU 2369/2011 para PBH Lei municipal 8725 de 2003 art. 25 define que tem que se pagar ISS sobre 30% do material valor da NF, sendo deduzido o excedente deste valor</t>
  </si>
  <si>
    <r>
      <t xml:space="preserve">CPRB (%) - Contribuição Previdenciária sobre Receita Bruta (%) Lei nº 13.161 de 31/08/15. </t>
    </r>
    <r>
      <rPr>
        <b/>
        <sz val="10"/>
        <rFont val="Arial"/>
        <family val="2"/>
      </rPr>
      <t>- não será permitido o uso da CPRB para a elaboração da proposta conforme consta no TR</t>
    </r>
    <r>
      <rPr>
        <sz val="10"/>
        <rFont val="Arial"/>
        <family val="2"/>
      </rPr>
      <t>.</t>
    </r>
  </si>
  <si>
    <t>T</t>
  </si>
  <si>
    <t>TOTAL DE TRIBUTOS</t>
  </si>
  <si>
    <r>
      <rPr>
        <b/>
        <sz val="10"/>
        <rFont val="Arial"/>
        <family val="2"/>
      </rPr>
      <t>%BDI</t>
    </r>
    <r>
      <rPr>
        <sz val="10"/>
        <rFont val="Arial"/>
        <family val="2"/>
      </rPr>
      <t xml:space="preserve"> = { [ 1 + ( </t>
    </r>
    <r>
      <rPr>
        <b/>
        <sz val="10"/>
        <rFont val="Arial"/>
        <family val="2"/>
      </rPr>
      <t xml:space="preserve">AC </t>
    </r>
    <r>
      <rPr>
        <sz val="10"/>
        <rFont val="Arial"/>
        <family val="2"/>
      </rPr>
      <t xml:space="preserve">+ </t>
    </r>
    <r>
      <rPr>
        <b/>
        <sz val="10"/>
        <rFont val="Arial"/>
        <family val="2"/>
      </rPr>
      <t xml:space="preserve">S </t>
    </r>
    <r>
      <rPr>
        <sz val="10"/>
        <rFont val="Arial"/>
        <family val="2"/>
      </rPr>
      <t xml:space="preserve">+ </t>
    </r>
    <r>
      <rPr>
        <b/>
        <sz val="10"/>
        <rFont val="Arial"/>
        <family val="2"/>
      </rPr>
      <t xml:space="preserve">R </t>
    </r>
    <r>
      <rPr>
        <sz val="10"/>
        <rFont val="Arial"/>
        <family val="2"/>
      </rPr>
      <t xml:space="preserve">+ </t>
    </r>
    <r>
      <rPr>
        <b/>
        <sz val="10"/>
        <rFont val="Arial"/>
        <family val="2"/>
      </rPr>
      <t>G</t>
    </r>
    <r>
      <rPr>
        <sz val="10"/>
        <rFont val="Arial"/>
        <family val="2"/>
      </rPr>
      <t xml:space="preserve"> ) ] </t>
    </r>
    <r>
      <rPr>
        <sz val="10"/>
        <rFont val="Segoe UI"/>
        <family val="2"/>
      </rPr>
      <t>×</t>
    </r>
    <r>
      <rPr>
        <sz val="10"/>
        <rFont val="Arial"/>
        <family val="2"/>
      </rPr>
      <t xml:space="preserve"> ( 1 + </t>
    </r>
    <r>
      <rPr>
        <b/>
        <sz val="10"/>
        <rFont val="Arial"/>
        <family val="2"/>
      </rPr>
      <t>DF</t>
    </r>
    <r>
      <rPr>
        <sz val="10"/>
        <rFont val="Arial"/>
        <family val="2"/>
      </rPr>
      <t xml:space="preserve"> ) </t>
    </r>
    <r>
      <rPr>
        <sz val="10"/>
        <rFont val="Segoe UI"/>
        <family val="2"/>
      </rPr>
      <t>×</t>
    </r>
    <r>
      <rPr>
        <sz val="10"/>
        <rFont val="Arial"/>
        <family val="2"/>
      </rPr>
      <t xml:space="preserve"> ( 1 + </t>
    </r>
    <r>
      <rPr>
        <b/>
        <sz val="10"/>
        <rFont val="Arial"/>
        <family val="2"/>
      </rPr>
      <t>L</t>
    </r>
    <r>
      <rPr>
        <sz val="10"/>
        <rFont val="Arial"/>
        <family val="2"/>
      </rPr>
      <t xml:space="preserve"> ) } </t>
    </r>
    <r>
      <rPr>
        <sz val="10"/>
        <rFont val="Arial"/>
        <family val="2"/>
        <charset val="1"/>
      </rPr>
      <t>÷</t>
    </r>
    <r>
      <rPr>
        <sz val="10"/>
        <rFont val="Arial"/>
        <family val="2"/>
      </rPr>
      <t xml:space="preserve"> [ ( 1 - </t>
    </r>
    <r>
      <rPr>
        <b/>
        <sz val="10"/>
        <rFont val="Arial"/>
        <family val="2"/>
      </rPr>
      <t>T</t>
    </r>
    <r>
      <rPr>
        <sz val="10"/>
        <rFont val="Arial"/>
        <family val="2"/>
      </rPr>
      <t xml:space="preserve"> ) - 1 ]</t>
    </r>
  </si>
  <si>
    <t>OBS.:</t>
  </si>
  <si>
    <t xml:space="preserve">- Elaborado conforme Acórdão TCU Nº 2622/2013
</t>
  </si>
  <si>
    <t xml:space="preserve">- Utilizadas as taxas médias do acórdão
</t>
  </si>
  <si>
    <t xml:space="preserve">- Percentual do ISSQN definido pela Lei 8.725/03 do Município de Belo Horizonte. Alíquota no município para a construção civil é de 5%. O valor considerado para materiais foi de 50%.
</t>
  </si>
  <si>
    <t xml:space="preserve">- Caso os licitantes trabalhem no regime desoneração de folha de pagamentos, deverá ser previsto o percentual referente à Contribuição Previdenciária sobre a Receita Bruta – CPRB
</t>
  </si>
  <si>
    <t>Empresas sujeitas a PIS e COFINS cumulativos</t>
  </si>
  <si>
    <t>Apresentar documentação complementar necessária conforme detalhamento no Termo de Referência.</t>
  </si>
  <si>
    <r>
      <rPr>
        <b/>
        <sz val="9"/>
        <color indexed="55"/>
        <rFont val="Arial"/>
        <family val="2"/>
      </rPr>
      <t>Desoneração / Reoneração da folha de pagamento</t>
    </r>
    <r>
      <rPr>
        <sz val="9"/>
        <color indexed="55"/>
        <rFont val="Arial"/>
        <family val="2"/>
      </rPr>
      <t xml:space="preserve">
O percentual do INSS poderá sofrer alteração de acordo com a "Desoneração / Reoneração gradual da Folha de Pagamento". (Lei 12.546/2011 e suas alterações).
Os percentuais dos encargos previdenciários, do FGTS e demais contribuições são aqueles estabelecidos pela legislação vigente. 
As alíquotas da Contribuição Previdenciária sobre a Receita Bruta (CPRB) e Contribuição Previdenciária Patronal (CPP) poderão ser ajustadas ao longo do contrato por simples apostilamento entre as partes</t>
    </r>
  </si>
  <si>
    <t>BDI DE EQUIPAMENTOS ESTIMATIVO REFERENTE À PLANILHA 1.3</t>
  </si>
  <si>
    <t>- Este BDI será utilizado quando da necessidade de aquisição de ferramentas e equipamentos conforme definido no item  5.12.2.1.1</t>
  </si>
  <si>
    <t>ANEXO II-1.4 – PLANILHA DE CUSTOS E FORMAÇÃO DE PREÇOS REFERENCIAIS – Serviços eventuais manutenção/reforma predial</t>
  </si>
  <si>
    <t>SERVIÇOS EVENTUAIS</t>
  </si>
  <si>
    <t>PLANILHA SINTÉTICA - Contratação de empresa especializada em manutenção predial para execução de serviços comum de engenharia nas edificações pertencentes ao TRF6 e SJMG</t>
  </si>
  <si>
    <t>Serviços comuns de engenharia para manutenção predial – Serviços Eventuais</t>
  </si>
  <si>
    <t>AV. ÁLVARES CABRAL, 1805 - BAIRRO SANTO AGOSTINHO -  Belo Horizonte – MG, e outros</t>
  </si>
  <si>
    <t>Esta planilha é preenchida no item 'PERCENTUAL DE DESCONTO A SER APLICADO NAS ABAS 1.3 E 1.4: ' da aba 'dados'</t>
  </si>
  <si>
    <t>Conforme item 7.1.5.1 do TR:</t>
  </si>
  <si>
    <t>001</t>
  </si>
  <si>
    <t>SERVIÇOS PRELIMINARES</t>
  </si>
  <si>
    <t>001.001</t>
  </si>
  <si>
    <t>ANOTAÇÃO DE RESPONSABILIDADE TÉCNICA</t>
  </si>
  <si>
    <t>001.002</t>
  </si>
  <si>
    <t>ALUGUEL DE MÁQUINAS E EQUIPAMENTOS</t>
  </si>
  <si>
    <t>001.003</t>
  </si>
  <si>
    <t>DEMOLIÇÕES E REMOÇÕES</t>
  </si>
  <si>
    <t>002</t>
  </si>
  <si>
    <t>INFRAESTRUTURA</t>
  </si>
  <si>
    <t>002.001</t>
  </si>
  <si>
    <t>MANUTENÇÃO PREVENTIVA</t>
  </si>
  <si>
    <t>002.002</t>
  </si>
  <si>
    <t>MANUTENÇÃO CORRETIVA</t>
  </si>
  <si>
    <t>002.003</t>
  </si>
  <si>
    <t>003</t>
  </si>
  <si>
    <t>INSTALAÇÕES HIDROSSANITÁRIAS</t>
  </si>
  <si>
    <t>003.001</t>
  </si>
  <si>
    <t>003.002</t>
  </si>
  <si>
    <t>003.003</t>
  </si>
  <si>
    <t>004</t>
  </si>
  <si>
    <t>INSTALAÇÕES DE COMBATE A INCÊNDIO</t>
  </si>
  <si>
    <t>004.001</t>
  </si>
  <si>
    <t>004.002</t>
  </si>
  <si>
    <t>004.003</t>
  </si>
  <si>
    <t>005</t>
  </si>
  <si>
    <t>INSTALAÇÕES ELÉTRICAS</t>
  </si>
  <si>
    <t>005.001</t>
  </si>
  <si>
    <t>005.002</t>
  </si>
  <si>
    <t>005.002.001</t>
  </si>
  <si>
    <t>SUBESTAÇÃO</t>
  </si>
  <si>
    <t>005.002.002</t>
  </si>
  <si>
    <t>QUADROS ELÉTRICOS</t>
  </si>
  <si>
    <t>005.002.003</t>
  </si>
  <si>
    <t>ILUMINAÇÃO</t>
  </si>
  <si>
    <t>005.002.004</t>
  </si>
  <si>
    <t>DISTRIBUIÇÃO/INFRAESTRUTURA</t>
  </si>
  <si>
    <t>005.002.005</t>
  </si>
  <si>
    <t>CABOS</t>
  </si>
  <si>
    <t>005.002.006</t>
  </si>
  <si>
    <t>CONDUTOS</t>
  </si>
  <si>
    <t>005.002.007</t>
  </si>
  <si>
    <t>DISJUNTORES</t>
  </si>
  <si>
    <t>005.002.008</t>
  </si>
  <si>
    <t>CABEAMENTO ESTRUTURADO</t>
  </si>
  <si>
    <t>005.002.009</t>
  </si>
  <si>
    <t>SPDA E ATERRAMENTO</t>
  </si>
  <si>
    <t>005.002.010</t>
  </si>
  <si>
    <t>SISTEMA DE PISO ELEVADO - REMASTER - FORNECIMENTO</t>
  </si>
  <si>
    <t>005.002.011</t>
  </si>
  <si>
    <t>PEÇAS E INSUMOS</t>
  </si>
  <si>
    <t>006</t>
  </si>
  <si>
    <t>ELEMENTOS ARQUITETÔNICOS</t>
  </si>
  <si>
    <t>006.001</t>
  </si>
  <si>
    <t>006.002</t>
  </si>
  <si>
    <t>006.002.001</t>
  </si>
  <si>
    <t>ESQUADRIAS</t>
  </si>
  <si>
    <t>006.002.002</t>
  </si>
  <si>
    <t>FORRO</t>
  </si>
  <si>
    <t>006.002.003</t>
  </si>
  <si>
    <t>PERSIANAS</t>
  </si>
  <si>
    <t>006.003</t>
  </si>
  <si>
    <t>006.003.001</t>
  </si>
  <si>
    <t>VEDAÇÕES</t>
  </si>
  <si>
    <t>006.003.002</t>
  </si>
  <si>
    <t>006.003.003</t>
  </si>
  <si>
    <t>FORROS</t>
  </si>
  <si>
    <t>006.003.003.001</t>
  </si>
  <si>
    <t>GESSO</t>
  </si>
  <si>
    <t>006.003.003.002</t>
  </si>
  <si>
    <t>MINERAL</t>
  </si>
  <si>
    <t>006.003.003.003</t>
  </si>
  <si>
    <t>PVC</t>
  </si>
  <si>
    <t>006.003.004</t>
  </si>
  <si>
    <t>MASSAS, REVESTIMENTOS, PISOS E RODAPÉS</t>
  </si>
  <si>
    <t>006.003.004.001</t>
  </si>
  <si>
    <t>MASSAS</t>
  </si>
  <si>
    <t>006.003.004.002</t>
  </si>
  <si>
    <t>CERÂMICAS  E PORCELANATOS</t>
  </si>
  <si>
    <t>006.003.004.003</t>
  </si>
  <si>
    <t>LAMINADOS | MDF | PAPEL DE PAREDE</t>
  </si>
  <si>
    <t>006.003.004.004</t>
  </si>
  <si>
    <t>PISOS</t>
  </si>
  <si>
    <t>006.003.004.005</t>
  </si>
  <si>
    <t>RODAPÉS DIVERSOS</t>
  </si>
  <si>
    <t>006.003.005</t>
  </si>
  <si>
    <t>GRANITOS</t>
  </si>
  <si>
    <t>006.003.006</t>
  </si>
  <si>
    <t>PINTURAS</t>
  </si>
  <si>
    <t>006.003.007</t>
  </si>
  <si>
    <t>LOUÇAS E METAIS</t>
  </si>
  <si>
    <t>006.003.008</t>
  </si>
  <si>
    <t>COMPLEMENTOS</t>
  </si>
  <si>
    <t>006.003.009</t>
  </si>
  <si>
    <t>SISTEMA DE COMUNICAÇÃO VISUAL</t>
  </si>
  <si>
    <t>006.003.009.001</t>
  </si>
  <si>
    <t>SINALIZAÇÃO DE SEGURANÇA CONTRA INCÊNDIO E PÂNICO</t>
  </si>
  <si>
    <t>006.003.010</t>
  </si>
  <si>
    <r>
      <t>Os valores a serem recebido pela Contratada será referente</t>
    </r>
    <r>
      <rPr>
        <b/>
        <sz val="11"/>
        <color indexed="45"/>
        <rFont val="Arial"/>
        <family val="2"/>
      </rPr>
      <t xml:space="preserve"> aos preços unitários na data-base SINAPI publicada mais recente, com aplicação de BDI e do desconto ofertado referente aos itens 1.3 e 1.4 da licitação.</t>
    </r>
    <r>
      <rPr>
        <b/>
        <sz val="11"/>
        <color indexed="44"/>
        <rFont val="Arial"/>
        <family val="2"/>
      </rPr>
      <t xml:space="preserve">
Esta planilha não necessita ser apresentada juntamente com a proposta, porém serve para a licitante efetuar a avaliação dos descontos a serem aplicados ao materiais, equipamentos e serviços eventuais, de modo a estudar a viabilidade da proposta.
Para o caso de fornecimento de equipamentos, deverá ser considerado na OS o BDI de equipamento.
A </t>
    </r>
    <r>
      <rPr>
        <b/>
        <sz val="11"/>
        <color indexed="45"/>
        <rFont val="Arial"/>
        <family val="2"/>
      </rPr>
      <t>data-base desta planilha é meramente ilustrativa</t>
    </r>
    <r>
      <rPr>
        <b/>
        <sz val="11"/>
        <color indexed="44"/>
        <rFont val="Arial"/>
        <family val="2"/>
      </rPr>
      <t xml:space="preserve"> e serve para auxiliar a empresa na apresentação da proposta.</t>
    </r>
  </si>
  <si>
    <t>COD. REF.</t>
  </si>
  <si>
    <t>FONTE</t>
  </si>
  <si>
    <t>UNID.</t>
  </si>
  <si>
    <t>CUSTO UNIT.
S/ BDI</t>
  </si>
  <si>
    <t>Custo c/ desconto sem BDI</t>
  </si>
  <si>
    <t>PREÇO UNIT.
C/ BDI</t>
  </si>
  <si>
    <t>001.001.004</t>
  </si>
  <si>
    <t>ART01</t>
  </si>
  <si>
    <t>ART por valor do Contrato / Obra / Serviço acima de R$15.000,00;</t>
  </si>
  <si>
    <t>001.001.005</t>
  </si>
  <si>
    <t>ART02</t>
  </si>
  <si>
    <t>ART por valor do Contrato / Obra / Serviço até R$15.000,00;</t>
  </si>
  <si>
    <t>001.002.001</t>
  </si>
  <si>
    <t>001.002.002</t>
  </si>
  <si>
    <t>001.002.003</t>
  </si>
  <si>
    <t>001.002.004</t>
  </si>
  <si>
    <t>COLOCAÇÃO DE TELA EM ANDAIME FACHADEIRO. AF_03/2024</t>
  </si>
  <si>
    <t>001.002.005</t>
  </si>
  <si>
    <t>MONTAGEM E DESMONTAGEM DE ANDAIME MODULAR FACHADEIRO, COM PISO METÁLICO, PARA EDIFÍCIOS COM MULTIPLOS PAVIMENTOS (EXCLUSIVE ANDAIME E LIMPEZA). AF_03/2024</t>
  </si>
  <si>
    <t>001.002.006</t>
  </si>
  <si>
    <t>MONTAGEM E DESMONTAGEM DE ANDAIME TUBULAR TIPO TORRE (EXCLUSIVE ANDAIME E LIMPEZA). AF_03/2024</t>
  </si>
  <si>
    <t>001.002.007</t>
  </si>
  <si>
    <t>MONTAGEM E DESMONTAGEM DE ANDAIME MULTIDIRECIONAL (EXCLUSIVE ANDAIME E LIMPEZA). AF_03/2024</t>
  </si>
  <si>
    <t>001.002.008</t>
  </si>
  <si>
    <t>001.002.009</t>
  </si>
  <si>
    <t>001.002.010</t>
  </si>
  <si>
    <t>001.002.011</t>
  </si>
  <si>
    <t>001.002.012</t>
  </si>
  <si>
    <t>001.002.013</t>
  </si>
  <si>
    <t>INSTALAÇÃO E DESINSTALAÇÃO MECANIZADA DE CONTÊINER OU MÓDULO HABITÁVEL DE USOS DIVERSOS. AF_03/2024</t>
  </si>
  <si>
    <t>001.002.014</t>
  </si>
  <si>
    <t>INSTALAÇÃO E DESINSTALAÇÃO MANUAL DE CONTÊINER OU MÓDULO HABITÁVEL PEQUENO. AF_03/2024</t>
  </si>
  <si>
    <t>001.002.015</t>
  </si>
  <si>
    <t>ED-16348</t>
  </si>
  <si>
    <t>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</si>
  <si>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001.002.016</t>
  </si>
  <si>
    <t>ED-50155</t>
  </si>
  <si>
    <t>LOCAÇÃO DE BANHEIRO QUÍMICO, DIMENSÃO ( 110X120X230)CM, LINHA PADRÃO, CONTENDO UMA (1) PIA/ HIGIENIZADOR DE MÃOS, INCLUSIVE MANUTENÇÃO E MOBILIZAÇÃO/ DESMOBILIZAÇÃO</t>
  </si>
  <si>
    <t>001.002.017</t>
  </si>
  <si>
    <t>001.003.001</t>
  </si>
  <si>
    <t>DEMOLIÇÃO DE ALVENARIA DE BLOCO FURADO, DE FORMA MANUAL, SEM REAPROVEITAMENTO. AF_09/2023</t>
  </si>
  <si>
    <t>001.003.002</t>
  </si>
  <si>
    <t>DEMOLIÇÃO DE ALVENARIA DE TIJOLO MACIÇO, DE FORMA MANUAL, SEM REAPROVEITAMENTO. AF_09/2023</t>
  </si>
  <si>
    <t>001.003.003</t>
  </si>
  <si>
    <t>DEMOLIÇÃO DE ALVENARIA PARA QUALQUER TIPO DE BLOCO, DE FORMA MECANIZADA, SEM REAPROVEITAMENTO. AF_09/2023</t>
  </si>
  <si>
    <t>001.003.004</t>
  </si>
  <si>
    <t>DEMOLIÇÃO DE PILARES E VIGAS EM CONCRETO ARMADO, DE FORMA MANUAL, SEM REAPROVEITAMENTO. AF_09/2023</t>
  </si>
  <si>
    <t>001.003.005</t>
  </si>
  <si>
    <t>DEMOLIÇÃO DE PILARES E VIGAS EM CONCRETO ARMADO, DE FORMA MECANIZADA COM MARTELETE, SEM REAPROVEITAMENTO. AF_09/2023</t>
  </si>
  <si>
    <t>001.003.006</t>
  </si>
  <si>
    <t>DEMOLIÇÃO DE LAJES, EM CONCRETO ARMADO, DE FORMA MANUAL, SEM REAPROVEITAMENTO. AF_09/2023</t>
  </si>
  <si>
    <t>001.003.007</t>
  </si>
  <si>
    <t>DEMOLIÇÃO DE LAJES, EM CONCRETO ARMADO, DE FORMA MECANIZADA COM MARTELETE, SEM REAPROVEITAMENTO. AF_09/2023</t>
  </si>
  <si>
    <t>001.003.008</t>
  </si>
  <si>
    <t>DEMOLIÇÃO DE ARGAMASSAS, DE FORMA MANUAL, SEM REAPROVEITAMENTO. AF_09/2023</t>
  </si>
  <si>
    <t>001.003.009</t>
  </si>
  <si>
    <t>DEMOLIÇÃO DE RODAPÉ CERÂMICO, DE FORMA MANUAL, SEM REAPROVEITAMENTO. AF_09/2023</t>
  </si>
  <si>
    <t>001.003.010</t>
  </si>
  <si>
    <t>DEMOLIÇÃO DE REVESTIMENTO CERÂMICO, DE FORMA MANUAL, SEM REAPROVEITAMENTO. AF_09/2023</t>
  </si>
  <si>
    <t>001.003.011</t>
  </si>
  <si>
    <t>DEMOLIÇÃO DE REVESTIMENTO CERÂMICO, DE FORMA MECANIZADA COM MARTELETE, SEM REAPROVEITAMENTO. AF_09/2023</t>
  </si>
  <si>
    <t>001.003.012</t>
  </si>
  <si>
    <t>REMOÇÃO DE PISO DE BLOCO INTERTRAVADO OU DE PEDRA PORTUGUESA, DE FORMA MANUAL, COM REAPROVEITAMENTO. AF_09/2023</t>
  </si>
  <si>
    <t>001.003.013</t>
  </si>
  <si>
    <t>REMOÇÃO DE TAPUME/ CHAPAS METÁLICAS E DE MADEIRA, DE FORMA MANUAL, SEM REAPROVEITAMENTO. AF_09/2023</t>
  </si>
  <si>
    <t>001.003.014</t>
  </si>
  <si>
    <t>REMOÇÃO DE CHAPAS E PERFIS DE DRYWALL, DE FORMA MANUAL, SEM REAPROVEITAMENTO. AF_09/2023</t>
  </si>
  <si>
    <t>001.003.015</t>
  </si>
  <si>
    <t>REMOÇÃO DE PLACAS E PILARETES DE CONCRETO, DE FORMA MANUAL, SEM REAPROVEITAMENTO. AF_09/2023</t>
  </si>
  <si>
    <t>001.003.016</t>
  </si>
  <si>
    <t>REMOÇÃO DE FORRO DE GESSO, DE FORMA MANUAL, SEM REAPROVEITAMENTO. AF_09/2023</t>
  </si>
  <si>
    <t>001.003.017</t>
  </si>
  <si>
    <t>REMOÇÃO DE TRAMA METÁLICA OU DE MADEIRA PARA FORRO, DE FORMA MANUAL, SEM REAPROVEITAMENTO. AF_09/2023</t>
  </si>
  <si>
    <t>001.003.018</t>
  </si>
  <si>
    <t>REMOÇÃO DE PISO DE MADEIRA (ASSOALHO E BARROTE), DE FORMA MANUAL, SEM REAPROVEITAMENTO. AF_09/2023</t>
  </si>
  <si>
    <t>001.003.019</t>
  </si>
  <si>
    <t>REMOÇÃO DE PORTAS, DE FORMA MANUAL, SEM REAPROVEITAMENTO. AF_09/2023</t>
  </si>
  <si>
    <t>001.003.020</t>
  </si>
  <si>
    <t>REMOÇÃO DE JANELAS, DE FORMA MANUAL, SEM REAPROVEITAMENTO. AF_09/2023</t>
  </si>
  <si>
    <t>001.003.021</t>
  </si>
  <si>
    <t>REMOÇÃO DE TELHAS DE FIBROCIMENTO METÁLICA E CERÂMICA, DE FORMA MANUAL, SEM REAPROVEITAMENTO. AF_09/2023</t>
  </si>
  <si>
    <t>001.003.022</t>
  </si>
  <si>
    <t>REMOÇÃO DE PROTEÇÃO TÉRMICA PARA COBERTURA EM EPS, DE FORMA MANUAL, SEM REAPROVEITAMENTO. AF_09/2023</t>
  </si>
  <si>
    <t>001.003.023</t>
  </si>
  <si>
    <t>REMOÇÃO DE TELHAS DE FIBROCIMENTO, METÁLICA E CERÂMICA, DE FORMA MECANIZADA, COM USO DE GUINDASTE, SEM REAPROVEITAMENTO. AF_09/2023</t>
  </si>
  <si>
    <t>001.003.024</t>
  </si>
  <si>
    <t>REMOÇÃO DE TRAMA DE MADEIRA PARA COBERTURA, DE FORMA MANUAL, SEM REAPROVEITAMENTO. AF_09/2023</t>
  </si>
  <si>
    <t>001.003.025</t>
  </si>
  <si>
    <t>REMOÇÃO DE TESOURAS DE MADEIRA, COM VÃO MENOR QUE 8M, DE FORMA MANUAL, SEM REAPROVEITAMENTO. AF_09/2023</t>
  </si>
  <si>
    <t>001.003.026</t>
  </si>
  <si>
    <t>REMOÇÃO DE TESOURAS DE MADEIRA, COM VÃO MAIOR OU IGUAL A 8M, DE FORMA MANUAL, SEM REAPROVEITAMENTO. AF_09/2023</t>
  </si>
  <si>
    <t>001.003.027</t>
  </si>
  <si>
    <t>REMOÇÃO DE TESOURAS DE MADEIRA, COM VÃO MENOR QUE 8M, DE FORMA MECANIZADA, COM REAPROVEITAMENTO. AF_09/2023</t>
  </si>
  <si>
    <t>001.003.028</t>
  </si>
  <si>
    <t>REMOÇÃO DE TESOURAS DE MADEIRA, COM VÃO MAIOR OU IGUAL A 8M, DE FORMA MECANIZADA, COM REAPROVEITAMENTO. AF_09/2023</t>
  </si>
  <si>
    <t>001.003.029</t>
  </si>
  <si>
    <t>REMOÇÃO DE TRAMA METÁLICA PARA COBERTURA, DE FORMA MANUAL, SEM REAPROVEITAMENTO. AF_09/2023</t>
  </si>
  <si>
    <t>001.003.030</t>
  </si>
  <si>
    <t>REMOÇÃO DE TESOURAS METÁLICAS, COM VÃO MENOR QUE 8M, DE FORMA MANUAL, SEM REAPROVEITAMENTO. AF_09/2023</t>
  </si>
  <si>
    <t>001.003.031</t>
  </si>
  <si>
    <t>REMOÇÃO DE TESOURAS METÁLICAS, COM VÃO MAIOR OU IGUAL A 8M, DE FORMA MANUAL, SEM REAPROVEITAMENTO. AF_09/2023</t>
  </si>
  <si>
    <t>001.003.032</t>
  </si>
  <si>
    <t>REMOÇÃO DE TESOURAS METÁLICAS, COM VÃO MENOR QUE 8M, DE FORMA MECANIZADA, COM REAPROVEITAMENTO. AF_09/2023</t>
  </si>
  <si>
    <t>001.003.033</t>
  </si>
  <si>
    <t>REMOÇÃO DE TESOURAS METÁLICAS, COM VÃO MAIOR OU IGUAL A 8M, DE FORMA MECANIZADA, COM REAPROVEITAMENTO. AF_09/2023</t>
  </si>
  <si>
    <t>001.003.034</t>
  </si>
  <si>
    <t>REMOÇÃO DE INTERRUPTORES/TOMADAS ELÉTRICAS, DE FORMA MANUAL, SEM REAPROVEITAMENTO. AF_09/2023</t>
  </si>
  <si>
    <t>001.003.035</t>
  </si>
  <si>
    <t>REMOÇÃO DE CABOS ELÉTRICOS, COM SEÇÃO DE 10 MM², FORMA MANUAL, SEM REAPROVEITAMENTO. AF_09/2023</t>
  </si>
  <si>
    <t>001.003.036</t>
  </si>
  <si>
    <t>REMOÇÃO DE TUBULAÇÕES (TUBOS E CONEXÕES) DE ÁGUA FRIA, DE FORMA MANUAL, SEM REAPROVEITAMENTO. AF_09/2023</t>
  </si>
  <si>
    <t>001.003.037</t>
  </si>
  <si>
    <t>REMOÇÃO DE LOUÇAS, DE FORMA MANUAL, SEM REAPROVEITAMENTO. AF_09/2023</t>
  </si>
  <si>
    <t>001.003.038</t>
  </si>
  <si>
    <t>REMOÇÃO DE ACESSÓRIOS, DE FORMA MANUAL, SEM REAPROVEITAMENTO. AF_09/2023</t>
  </si>
  <si>
    <t>001.003.039</t>
  </si>
  <si>
    <t>REMOÇÃO DE LUMINÁRIAS, DE FORMA MANUAL, SEM REAPROVEITAMENTO. AF_09/2023</t>
  </si>
  <si>
    <t>001.003.040</t>
  </si>
  <si>
    <t>REMOÇÃO DE METAIS SANITÁRIOS, DE FORMA MANUAL, SEM REAPROVEITAMENTO. AF_09/2023</t>
  </si>
  <si>
    <t>001.003.041</t>
  </si>
  <si>
    <t>REMOÇÃO DE VIDRO LISO COMUM DE ESQUADRIA COM BAGUETE DE MADEIRA. AF_01/2021</t>
  </si>
  <si>
    <t>001.003.042</t>
  </si>
  <si>
    <t>REMOÇÃO DE VIDRO LISO COMUM DE ESQUADRIA COM BAGUETE DE ALUMÍNIO OU PVC. AF_01/2021</t>
  </si>
  <si>
    <t>001.003.043</t>
  </si>
  <si>
    <t>REMOÇÃO DE VIDRO TEMPERADO FIXADO EM PERFIL U. AF_01/2021</t>
  </si>
  <si>
    <t>001.003.044</t>
  </si>
  <si>
    <t>DEMOLIÇÃO DE PISO DE CONCRETO SIMPLES, DE FORMA MANUAL, SEM REAPROVEITAMENTO. AF_09/2023</t>
  </si>
  <si>
    <t>001.003.045</t>
  </si>
  <si>
    <t>DEMOLIÇÃO DE PISO DE CONCRETO SIMPLES, DE FORMA MECANIZADA COM MARTELETE, SEM REAPROVEITAMENTO. AF_09/2023</t>
  </si>
  <si>
    <t>001.003.046</t>
  </si>
  <si>
    <t>CZ5005</t>
  </si>
  <si>
    <t>REMOÇÃO DE DIVISÓRIA NAVAL, DE FORMA MANUAL, SEM REAPROVEITAMENTO</t>
  </si>
  <si>
    <t>001.003.047</t>
  </si>
  <si>
    <t>CZ5007</t>
  </si>
  <si>
    <t>REMOÇÃO DE PAINEL REVESTIDO DE MADEIRA, DE FORMA MANUAL, SEM REAPROVEITAMENTO</t>
  </si>
  <si>
    <t>001.003.048</t>
  </si>
  <si>
    <t>CZ5009</t>
  </si>
  <si>
    <t>DEMOLIÇÃO DE REVESTIMENTO DE PEDRA, DE FORMA MANUAL, SEM REAPROVEITAMENTO</t>
  </si>
  <si>
    <t>001.003.049</t>
  </si>
  <si>
    <t>CZ5011</t>
  </si>
  <si>
    <t>DEMOLIÇÃO DE REVESTIMENTO DE MADEIRA EM PILARES E PAREDES, DE FORMA MANUAL, SEM REAPROVEITAMENTO</t>
  </si>
  <si>
    <t>001.003.050</t>
  </si>
  <si>
    <t>CZ5013</t>
  </si>
  <si>
    <t>DEMOLIÇÃO DE PEITORIL/CHAPIM, DE FORMA MANUAL, SEM REAPROVEITAMENTO</t>
  </si>
  <si>
    <t>001.003.051</t>
  </si>
  <si>
    <t>CZ5015</t>
  </si>
  <si>
    <t>REMOÇÃO DE CONTRAPISO EM ARGAMASSA, DE FORMA MANUAL, S/ REAPROVEITAMENTO</t>
  </si>
  <si>
    <t>001.003.052</t>
  </si>
  <si>
    <t>CZ5017</t>
  </si>
  <si>
    <t>DEMOLIÇÃO DE PISO EM PEDRA, DE FORMA MANUAL, S/ REAPROVEITAMENTO</t>
  </si>
  <si>
    <t>001.003.053</t>
  </si>
  <si>
    <t>CZ5019</t>
  </si>
  <si>
    <t>REMOÇÃO DE PISO VINÍLICO, DE FORMA MANUAL, S/ REAPROVEITAMENTO</t>
  </si>
  <si>
    <t>001.003.054</t>
  </si>
  <si>
    <t>CZ5021</t>
  </si>
  <si>
    <t>DEMOLIÇÃO DE PISO CERÂMICO, DE FORMA MANUAL, S/ REAPROVEITAMENTO</t>
  </si>
  <si>
    <t>001.003.055</t>
  </si>
  <si>
    <t>CZ5023</t>
  </si>
  <si>
    <t>REMOÇÃO DE PISO EM CARPETE, DE FORMA MANUAL, S/ REAPROVEITAMENTO</t>
  </si>
  <si>
    <t>001.003.056</t>
  </si>
  <si>
    <t>CZ5025</t>
  </si>
  <si>
    <t>REMOÇÃO DE IMPERMEABILIZAÇÃO COM MANTA ASFÁLTICA INCLUSIVE PROTEÇÃO MECANICA E REGULARIZAÇÃO, DE FORMA MANUAL, S/ REAPROVEITAMENTO</t>
  </si>
  <si>
    <t>001.003.057</t>
  </si>
  <si>
    <t>CZ5027</t>
  </si>
  <si>
    <t>DEMOLIÇÃO DE RODAPÉ DE MADEIRA, DE FORMA MANUAL, SEM REAPROVEITAMENTO</t>
  </si>
  <si>
    <t>001.003.058</t>
  </si>
  <si>
    <t>CZ5029</t>
  </si>
  <si>
    <t>DEMOLIÇÃO DE RODAPÉ EM PEDRA, DE FORMA MANUAL, SEM REAPROVEITAMENTO</t>
  </si>
  <si>
    <t>001.003.059</t>
  </si>
  <si>
    <t>CZ5031</t>
  </si>
  <si>
    <t>REMOÇÃO DE FORRO EM PLACAS ACÚSTICAS, DE FORMA MANUAL, SEM REAPROVEITAMENTO</t>
  </si>
  <si>
    <t>001.003.060</t>
  </si>
  <si>
    <t>CZ5033</t>
  </si>
  <si>
    <t>REMOÇÃO DE FORRO REVESTIDO EM CARPETE, DE FORMA MANUAL, SEM REAPROVEITAMENTO</t>
  </si>
  <si>
    <t>001.003.061</t>
  </si>
  <si>
    <t>CZ5035</t>
  </si>
  <si>
    <t>REMOÇÃO DE GUARDA-CORPOS METÁLICOS, DE FORMA MANUAL, SEM REAPROVEITAMENTO</t>
  </si>
  <si>
    <t>001.003.062</t>
  </si>
  <si>
    <t>CZ5037</t>
  </si>
  <si>
    <t>REMOÇÃO DE BANCADA EM GRANITO, DE FORMA MANUAL, PARA REAPROVEITAMENTO EM CASO DE POSSIBILIDADE</t>
  </si>
  <si>
    <t>001.003.063</t>
  </si>
  <si>
    <t>CZ5039</t>
  </si>
  <si>
    <t>REMOÇÃO DE DIVISÓRIA EM VIDRO TEMPERADO DOS SANITÁRIOS, DE FORMA MANUAL, SEM REAPROVEITAMENTO</t>
  </si>
  <si>
    <t>001.003.064</t>
  </si>
  <si>
    <t>CZ5041</t>
  </si>
  <si>
    <t>REMOÇÃO DE PORTA EM VIDRO TEMPERADO, DE FORMA MANUAL, SEM REAPROVEITAMENTO</t>
  </si>
  <si>
    <t>001.003.065</t>
  </si>
  <si>
    <t>CZ5043</t>
  </si>
  <si>
    <t>REMOÇÃO DE LUMINÁRIA TIPO PLAFON REDONDO DE EMBUTIR, DE FORMA MANUAL, SEM REAPROVEITAMENTO</t>
  </si>
  <si>
    <t>001.003.066</t>
  </si>
  <si>
    <t>CZ5045</t>
  </si>
  <si>
    <t>REMOÇÃO DE LUMINÁRIA QUADRADA DE EMBUTIR EM FORRO MODULAR, DE FORMA MANUAL, SEM REAPROVEITAMENTO</t>
  </si>
  <si>
    <t>001.003.067</t>
  </si>
  <si>
    <t>CZ5047</t>
  </si>
  <si>
    <t>REMOÇÃO DE LUMINÁRIA RETANGULAR DE SOBREPOR, DE FORMA MANUAL, SEM REAPROVEITAMENTO</t>
  </si>
  <si>
    <t>001.003.068</t>
  </si>
  <si>
    <t>CZ5049</t>
  </si>
  <si>
    <t>REMOÇÃO DE LUMINÁRIA RETANGULAR DE EMBUTIR, DE FORMA MANUAL, SEM REAPROVEITAMENTO</t>
  </si>
  <si>
    <t>001.003.069</t>
  </si>
  <si>
    <t>CZ5051</t>
  </si>
  <si>
    <t>REMOÇÃO DE LUMINÁRIA TIPO PLAFON TRIPLO DE EMBUTIR, DE FORMA MANUAL, SEM REAPROVEITAMENTO</t>
  </si>
  <si>
    <t>001.003.070</t>
  </si>
  <si>
    <t>CZ5053</t>
  </si>
  <si>
    <t>REMOÇÃO DE GRELHA DE EXAUSTÃO DE SANITÁRIO, DE FORMA MANUAL, SEM REAPROVEITAMENTO</t>
  </si>
  <si>
    <t>001.003.071</t>
  </si>
  <si>
    <t>CZ5055</t>
  </si>
  <si>
    <t>REMOÇÃO DE GRELHA DE VENTILAÇÃO DO AR CONDICIONADO, DE FORMA MANUAL, SEM REAPROVEITAMENTO</t>
  </si>
  <si>
    <t>001.003.072</t>
  </si>
  <si>
    <t>CZ5057</t>
  </si>
  <si>
    <t>REMOÇÃO DE AUTOFALANTE EMBUTIDO NO FORRO, DE FORMA MANUAL, SEM REAPROVEITAMENTO</t>
  </si>
  <si>
    <t>001.003.073</t>
  </si>
  <si>
    <t>CZ5059</t>
  </si>
  <si>
    <t>REMOÇÃO DE DIFUSOR NO TETO DO AR CONDICIONADO, DE FORMA MANUAL, SEM REAPROVEITAMENTO</t>
  </si>
  <si>
    <t>001.003.074</t>
  </si>
  <si>
    <t>CZ5061</t>
  </si>
  <si>
    <t>REMOÇÃO DE GRELHA VERTICAL DO AR CONDICIONADO, DE FORMA MANUAL, SEM REAPROVEITAMENTO</t>
  </si>
  <si>
    <t>001.003.075</t>
  </si>
  <si>
    <t>CZ5063</t>
  </si>
  <si>
    <t>REMOÇÃO DE QUADRO ELÉTRICO EMBUTIDO, DE FORMA MANUAL, SEM REAPROVEITAMENTO, INCLUSIVE PREENCHIMENTO DO VÃO COM ALVENARIA E REVESTIMENTO COM CHAPISCO E REBOCO</t>
  </si>
  <si>
    <t>001.003.076</t>
  </si>
  <si>
    <t>CZ5065</t>
  </si>
  <si>
    <t>REMOÇÃO DE QUADRO ELÉTRICO DE SOBREPOR, DE FORMA MANUAL, SEM REAPROVEITAMENTO</t>
  </si>
  <si>
    <t>001.003.077</t>
  </si>
  <si>
    <t>CZ5067</t>
  </si>
  <si>
    <t>REMOÇÃO DE QUADRO TELEFÔNICO EMBUTIDO, DE FORMA MANUAL, SEM REAPROVEITAMENTO, INCLUSIVE PREENCHIMENTO DO VÃO COM ALVENARIA E REVESTIMENTO COM CHAPISCO E REBOCO</t>
  </si>
  <si>
    <t>001.003.078</t>
  </si>
  <si>
    <t>MN0003</t>
  </si>
  <si>
    <t>DEMOLIÇÃO DE PASSEIO EM PEDRA PORTUGUESA, DE FORMA MANUAL, COM REAPROVEITAMENTO.</t>
  </si>
  <si>
    <t>001.003.079</t>
  </si>
  <si>
    <t>INFRA0020</t>
  </si>
  <si>
    <t>Lona plástica preta - fornecimento e instalação</t>
  </si>
  <si>
    <t>001.003.080</t>
  </si>
  <si>
    <t>INFRA0021</t>
  </si>
  <si>
    <t>Carga e descarga de entulho em sacos de 50 litros, transporte horizontal/vertical e disposição final inclusos em caçamba.</t>
  </si>
  <si>
    <t>001.003.081</t>
  </si>
  <si>
    <t>ED-48499</t>
  </si>
  <si>
    <t>REMOÇÃO MANUAL DE REDES DE DUTOS PARA CLIMATIZAÇÃO, INCLUSIVE AFASTAMENTO E EMPILHAMENTO, EXCLUSIVE TRANSPORTE E RETIRADA DO MATERIAL REMOVIDO NÃO REAPROVEITÁVEL</t>
  </si>
  <si>
    <t>001.003.082</t>
  </si>
  <si>
    <t>ED-51131</t>
  </si>
  <si>
    <t>CARGA MANUAL DE MATERIAL DE QUALQUER NATUREZA SOBRE CAMINHÃO, EXCLUSIVE TRANSPORTE</t>
  </si>
  <si>
    <t>001.003.083</t>
  </si>
  <si>
    <t>ED-51126</t>
  </si>
  <si>
    <t>TRANSPORTE DE MATERIAL DEMOLIDO EM CAÇAMBA (MUNICÍPIO: BELO HORIZONTE), EXCLUSIVE CARGA MANUAL OU MECÂNICA</t>
  </si>
  <si>
    <t>002.001.001</t>
  </si>
  <si>
    <t>MN0001</t>
  </si>
  <si>
    <t>Revisão e lubrificação de portões de ferro/aço</t>
  </si>
  <si>
    <t>002.001.002</t>
  </si>
  <si>
    <t>MN0002</t>
  </si>
  <si>
    <t>Inspeção e limpeza do portões de ferro/aço</t>
  </si>
  <si>
    <t>002.002.001</t>
  </si>
  <si>
    <t>EXECUÇÃO DE PASSEIO (CALÇADA) OU PISO DE CONCRETO COM CONCRETO MOLDADO IN LOCO, FEITO EM OBRA, ACABAMENTO CONVENCIONAL, NÃO ARMADO. AF_08/2022</t>
  </si>
  <si>
    <t>002.002.002</t>
  </si>
  <si>
    <t>EXECUÇÃO DE PASSEIO (CALÇADA) OU PISO DE CONCRETO COM CONCRETO MOLDADO IN LOCO, USINADO C20, ACABAMENTO CONVENCIONAL, NÃO ARMADO. AF_08/2022</t>
  </si>
  <si>
    <t>002.002.003</t>
  </si>
  <si>
    <t>EXECUÇÃO DE PASSEIO (CALÇADA) OU PISO DE CONCRETO COM CONCRETO MOLDADO IN LOCO, FEITO EM OBRA, ACABAMENTO CONVENCIONAL, ESPESSURA 6 CM, ARMADO. AF_08/2022</t>
  </si>
  <si>
    <t>002.002.004</t>
  </si>
  <si>
    <t>EXECUÇÃO DE PASSEIO (CALÇADA) OU PISO DE CONCRETO COM CONCRETO MOLDADO IN LOCO, USINADO, ACABAMENTO CONVENCIONAL, ESPESSURA 6 CM, ARMADO. AF_08/2022</t>
  </si>
  <si>
    <t>002.002.005</t>
  </si>
  <si>
    <t>EXECUÇÃO DE PASSEIO (CALÇADA) OU PISO DE CONCRETO COM CONCRETO MOLDADO IN LOCO, FEITO EM OBRA, ACABAMENTO CONVENCIONAL, ESPESSURA 8 CM, ARMADO. AF_08/2022</t>
  </si>
  <si>
    <t>002.002.006</t>
  </si>
  <si>
    <t>EXECUÇÃO DE PASSEIO (CALÇADA) OU PISO DE CONCRETO COM CONCRETO MOLDADO IN LOCO, USINADO, ACABAMENTO CONVENCIONAL, ESPESSURA 8 CM, ARMADO. AF_08/2022</t>
  </si>
  <si>
    <t>002.002.007</t>
  </si>
  <si>
    <t>PISO EM PEDRA PORTUGUESA ASSENTADO SOBRE ARGAMASSA SECA DE CIMENTO E AREIA, TRAÇO 1:3, REJUNTADO COM CIMENTO COMUM. AF_05/2020</t>
  </si>
  <si>
    <t>002.002.008</t>
  </si>
  <si>
    <t>ED-50539</t>
  </si>
  <si>
    <t>PISO EM PEDRA PORTUGUESA, INCLUSIVE FORNECIMENTO, ARGAMASSA SECA, TIPO FAROFA COM PREPARO MECANIZADO, COM ASSENTAMENTO EM COLCHÃO DE AREIA E CIMENTO, ESPESSURA DE 6CM, REJUNTAMENTO E ACABAMENTO</t>
  </si>
  <si>
    <t>002.003.001</t>
  </si>
  <si>
    <t>TAPUME COM COMPENSADO DE MADEIRA. AF_03/2024</t>
  </si>
  <si>
    <t>002.003.002</t>
  </si>
  <si>
    <t>CONCRETO MAGRO PARA LASTRO, TRAÇO 1:4,5:4,5 (EM MASSA SECA DE CIMENTO/ AREIA MÉDIA/ BRITA 1) - PREPARO MECÂNICO COM BETONEIRA 400 L. AF_05/2021</t>
  </si>
  <si>
    <t>002.003.003</t>
  </si>
  <si>
    <t>CONCRETO FCK = 15MPA, TRAÇO 1:3,4:3,5 (EM MASSA SECA DE CIMENTO/ AREIA MÉDIA/ BRITA 1) - PREPARO MECÂNICO COM BETONEIRA 400 L. AF_05/2021</t>
  </si>
  <si>
    <t>002.003.004</t>
  </si>
  <si>
    <t>CONCRETO MAGRO PARA LASTRO, TRAÇO 1:4,5:4,5 (EM MASSA SECA DE CIMENTO/ AREIA MÉDIA/ BRITA 1) - PREPARO MANUAL. AF_05/2021</t>
  </si>
  <si>
    <t>002.003.005</t>
  </si>
  <si>
    <t>ED-50842</t>
  </si>
  <si>
    <t>PILAR EM CONCRETO APARENTE 20 MPa, INCLUSIVE ARMAÇÃO, FÔRMA PLASTIFICADA E DESFORMA</t>
  </si>
  <si>
    <t>002.003.006</t>
  </si>
  <si>
    <t>ED-50850</t>
  </si>
  <si>
    <t>VIGA DE 0,21 A 0,35 M DE LARGURA EM CONCRETO 20MPa, APARENTE, ARMAÇÃO, FÔRMA PLASTIFICADA, ESCORAMENTO E DESFORMA</t>
  </si>
  <si>
    <t>002.003.008</t>
  </si>
  <si>
    <t>INFRA0005</t>
  </si>
  <si>
    <t>Concreto usinado fck = 20Mpa</t>
  </si>
  <si>
    <t>002.003.009</t>
  </si>
  <si>
    <t>INFRA0007</t>
  </si>
  <si>
    <t>Reparo ou reforço de elemento estrutural com graute</t>
  </si>
  <si>
    <t>002.003.010</t>
  </si>
  <si>
    <t>INFRA0008</t>
  </si>
  <si>
    <t>Fabricação de fôrma para pilares e estruturas similares, em chapa de madeira compensada resinada ou plastificada. espessura de 17 ou 18 mm.</t>
  </si>
  <si>
    <t>002.003.011</t>
  </si>
  <si>
    <t>INFRA0009</t>
  </si>
  <si>
    <t>Fabricação de fôrma para vigas, em chapa de madeira compensada resinada ou plastificada. espessura de 17 ou 18 mm.</t>
  </si>
  <si>
    <t>002.003.012</t>
  </si>
  <si>
    <t>INFRA0010</t>
  </si>
  <si>
    <t>Fabricação de fôrma para lajes, em chapa de madeira compensada resinada ou plastificada. espessura de 17 ou 18 mm.</t>
  </si>
  <si>
    <t>002.003.013</t>
  </si>
  <si>
    <t>INFRA0011</t>
  </si>
  <si>
    <t>Fabricação de fôrma para vigas, pilares e estruturas similares, em madeira serrada, e=25 mm.</t>
  </si>
  <si>
    <t>002.003.014</t>
  </si>
  <si>
    <t>INFRA0012</t>
  </si>
  <si>
    <t>Fabricação de fôrma para lajes, em madeira serrada, espessura de 25mm.</t>
  </si>
  <si>
    <t>002.003.015</t>
  </si>
  <si>
    <t>INFRA0013</t>
  </si>
  <si>
    <t>Armação de pilar, viga ou laje de uma estrutura convencional de concreto armado em um edifício de múltiplos pavimentos, edificação térrea ou sobrado utilizando aço ca-50 ou ca-60 de 5 a 10 mm.</t>
  </si>
  <si>
    <t>002.003.016</t>
  </si>
  <si>
    <t>INFRA0014</t>
  </si>
  <si>
    <t>Armação de pilar, viga ou laje de uma estrutura convencional de concreto armado em um edifício de múltiplos pavimentos, edificação térrea ou sobrado utilizando aço ca-50 de 12,5 a 25 mm.</t>
  </si>
  <si>
    <t>002.003.018</t>
  </si>
  <si>
    <t>INFRA0015</t>
  </si>
  <si>
    <t>Tela de aço soldada para concreto armado</t>
  </si>
  <si>
    <t>002.003.019</t>
  </si>
  <si>
    <t>INFRA0016</t>
  </si>
  <si>
    <t>Execução de furos em elementos estruturais</t>
  </si>
  <si>
    <t>002.003.020</t>
  </si>
  <si>
    <t>INFRA0017</t>
  </si>
  <si>
    <t>Demolição de elementos de concreto armado</t>
  </si>
  <si>
    <t>002.003.021</t>
  </si>
  <si>
    <t>002.003.025</t>
  </si>
  <si>
    <t>INFRA0023</t>
  </si>
  <si>
    <t>Escavação manual de valas</t>
  </si>
  <si>
    <t>002.003.026</t>
  </si>
  <si>
    <t>INFRA0024</t>
  </si>
  <si>
    <t>Escavação mecanizada de valas com mini escavadeira</t>
  </si>
  <si>
    <t>002.003.027</t>
  </si>
  <si>
    <t>INFRA0025</t>
  </si>
  <si>
    <t>Reaterro manual de valas</t>
  </si>
  <si>
    <t>002.003.028</t>
  </si>
  <si>
    <t>INFRA0026</t>
  </si>
  <si>
    <t>Reaterro mecanizado de valas com mini carregadeira</t>
  </si>
  <si>
    <t>002.003.029</t>
  </si>
  <si>
    <t>INFRA0027</t>
  </si>
  <si>
    <t>Estrutura de aço para suporte/fixação de elementos arquitetônicos ou de instalações</t>
  </si>
  <si>
    <t>002.003.030</t>
  </si>
  <si>
    <t>INFRA0028</t>
  </si>
  <si>
    <t>Impermeabilização com manta asfáltica</t>
  </si>
  <si>
    <t>002.003.031</t>
  </si>
  <si>
    <t>INFRA0029</t>
  </si>
  <si>
    <t>Impermeabilização com manta asfáltica anti-raiz</t>
  </si>
  <si>
    <t>002.003.032</t>
  </si>
  <si>
    <t>INFRA0030</t>
  </si>
  <si>
    <t>Impermeabilização com manta asfáltica aluminizada</t>
  </si>
  <si>
    <t>002.003.033</t>
  </si>
  <si>
    <t>INFRA0031</t>
  </si>
  <si>
    <t>Impermeabilização com argamassa polimérica</t>
  </si>
  <si>
    <t>002.003.034</t>
  </si>
  <si>
    <t>INFRA0032</t>
  </si>
  <si>
    <t>Proteção mecânica</t>
  </si>
  <si>
    <t>002.003.035</t>
  </si>
  <si>
    <t>INFRA0033</t>
  </si>
  <si>
    <t>Vedação  com selante elastomérico à base de PU</t>
  </si>
  <si>
    <t>002.003.036</t>
  </si>
  <si>
    <t>INFRA0034A</t>
  </si>
  <si>
    <t>Tratamento de junta de dilatação com tarugo de polietileno e selante PU, inclusive preenchimento com espuma expansiva.</t>
  </si>
  <si>
    <t>002.003.037</t>
  </si>
  <si>
    <t>INFRA0034B</t>
  </si>
  <si>
    <t>Aplicação de plástica de dilatação (Junta Jeene / Fungeband)</t>
  </si>
  <si>
    <t>002.003.038</t>
  </si>
  <si>
    <t>INFRA0035</t>
  </si>
  <si>
    <t>Tratamento de trincas e superfícies de concreto com adesivo estrutural a base de resina epoxi para injeção em trincas.</t>
  </si>
  <si>
    <t>002.003.040</t>
  </si>
  <si>
    <t>INFRA0037</t>
  </si>
  <si>
    <t>Tratamento de trincas com cimento hidráulico tipo Xypex</t>
  </si>
  <si>
    <t>002.003.041</t>
  </si>
  <si>
    <t>INFRA0038</t>
  </si>
  <si>
    <t>Pavimento intertravado de concreto</t>
  </si>
  <si>
    <t>002.003.042</t>
  </si>
  <si>
    <t>INFRA0039</t>
  </si>
  <si>
    <t>Meio-fio de concreto</t>
  </si>
  <si>
    <t>002.003.043</t>
  </si>
  <si>
    <t>INFRA0040</t>
  </si>
  <si>
    <t>Calçada de concreto simples</t>
  </si>
  <si>
    <t>002.003.044</t>
  </si>
  <si>
    <t>INFRA0041A</t>
  </si>
  <si>
    <t>Regularização de lajes e pisos, contrapiso convencional.</t>
  </si>
  <si>
    <t>002.003.045</t>
  </si>
  <si>
    <t>INFRA0041B</t>
  </si>
  <si>
    <t>Regularização de lajes e pisos, contrapiso autonivelante.</t>
  </si>
  <si>
    <t>002.003.046</t>
  </si>
  <si>
    <t>INFRA0041C</t>
  </si>
  <si>
    <t>Regularização de lajes e pisos, contrapiso ensacado.</t>
  </si>
  <si>
    <t>002.003.047</t>
  </si>
  <si>
    <t>INFRA0042</t>
  </si>
  <si>
    <t>Soldagem elétrica manual com eletrodo revestido</t>
  </si>
  <si>
    <t>002.003.048</t>
  </si>
  <si>
    <t>INFRA0043</t>
  </si>
  <si>
    <t>Gradil externo em tela soldada revestida</t>
  </si>
  <si>
    <t>002.003.049</t>
  </si>
  <si>
    <t>CT0302022CPUADT22</t>
  </si>
  <si>
    <t>Isolamento e sinalização da área de trabalho com cones e tela plástica laranja.</t>
  </si>
  <si>
    <t>002.003.050</t>
  </si>
  <si>
    <t>ED-27006</t>
  </si>
  <si>
    <t>CONE PARA SINALIZAÇÃO/ISOLAMENTO DE ÁREAS , ALTURA 75CM, INCLUSIVE FORNECIMENTO E MOVIMENTAÇÃO</t>
  </si>
  <si>
    <t>002.003.051</t>
  </si>
  <si>
    <t>ED-50157</t>
  </si>
  <si>
    <t>FITA ZEBRADA AMARELA PARA SINALIZAÇÃO ISOLAMENTO DE ÁREA, EXCLUSIVE SUPORTE PARA SUSTENTAÇÃO, INCLUSIVE FIXAÇÃO E FORNECIMENTO</t>
  </si>
  <si>
    <t>002.003.052</t>
  </si>
  <si>
    <t>INFRA2244</t>
  </si>
  <si>
    <t>Fornecimento de materiais, peças, insumos e componentes para infraestrutura</t>
  </si>
  <si>
    <t>002.003.053</t>
  </si>
  <si>
    <t>INFRA2245</t>
  </si>
  <si>
    <t>Instalação - equipe infraestrutura</t>
  </si>
  <si>
    <t>003.002.001</t>
  </si>
  <si>
    <t>HIDRO0004</t>
  </si>
  <si>
    <t>Reparo de válvula de descarga</t>
  </si>
  <si>
    <t>003.002.002</t>
  </si>
  <si>
    <t>HIDRO0005</t>
  </si>
  <si>
    <t>Substituição de válvula de descarga - inclui serviços civis Ref. Pressmatic compact Docol ou Decamatic 2570.C e Válvula 1.1/2 Compatível Com Docol, Deca ou Hydra</t>
  </si>
  <si>
    <t>003.002.003</t>
  </si>
  <si>
    <t>HIDRO0007</t>
  </si>
  <si>
    <t>Substituição de chuveiro elétrico</t>
  </si>
  <si>
    <t>003.002.004</t>
  </si>
  <si>
    <t>HIDRO0008</t>
  </si>
  <si>
    <t>Substituição de tubos de PVC-água – DN 25 a 40mm</t>
  </si>
  <si>
    <t>003.002.005</t>
  </si>
  <si>
    <t>HIDRO0009</t>
  </si>
  <si>
    <t>Substituição de tubos de PVC-água – DN 50 a 75mm</t>
  </si>
  <si>
    <t>003.002.006</t>
  </si>
  <si>
    <t>HIDRO0010</t>
  </si>
  <si>
    <t>Substituição de tubos de PVC-esgoto – DN 40 a 50mm</t>
  </si>
  <si>
    <t>003.002.007</t>
  </si>
  <si>
    <t>HIDRO0011</t>
  </si>
  <si>
    <t>Substituição de tubos de PVC-esgoto – DN 75 a 100mm</t>
  </si>
  <si>
    <t>003.002.008</t>
  </si>
  <si>
    <t>HIDRO0012</t>
  </si>
  <si>
    <t>Substituição de tubos de PVC-esgoto Série R – DN 75 a 100mm</t>
  </si>
  <si>
    <t>003.002.009</t>
  </si>
  <si>
    <t>HIDRO0013</t>
  </si>
  <si>
    <t>Substituição de tubos de PVC-esgoto Série R – DN 150mm</t>
  </si>
  <si>
    <t>003.002.010</t>
  </si>
  <si>
    <t>HIDRO0014</t>
  </si>
  <si>
    <t>Substituição de tubos de PPR – esgoto a vácuo</t>
  </si>
  <si>
    <t>003.002.011</t>
  </si>
  <si>
    <t>HIDRO0015</t>
  </si>
  <si>
    <t>Substituição de registros e válvulas de retenção – DN 1”</t>
  </si>
  <si>
    <t>003.002.012</t>
  </si>
  <si>
    <t>HIDRO0016</t>
  </si>
  <si>
    <t>Substituição de registros e válvulas de retenção – DN 2”</t>
  </si>
  <si>
    <t>003.002.013</t>
  </si>
  <si>
    <t>HIDRO0017</t>
  </si>
  <si>
    <t>Substituição de registros e válvulas de retenção – DN 4”</t>
  </si>
  <si>
    <t>003.002.014</t>
  </si>
  <si>
    <t>HIDRO0018</t>
  </si>
  <si>
    <t>Substituição de registros de esfera de 1.1/2" até 4"</t>
  </si>
  <si>
    <t>003.002.015</t>
  </si>
  <si>
    <t>HIDRO0019</t>
  </si>
  <si>
    <t>Fornecimento e instalação de tampão ou grelha fofo</t>
  </si>
  <si>
    <t>003.002.016</t>
  </si>
  <si>
    <t>HIDRO0020</t>
  </si>
  <si>
    <t>Desentupimento de peças de esgoto convencional</t>
  </si>
  <si>
    <t>003.002.017</t>
  </si>
  <si>
    <t>HIDRO0021</t>
  </si>
  <si>
    <t>Desentupimento de rede de esgoto com sistema ‘roto-rooter’</t>
  </si>
  <si>
    <t>003.002.018</t>
  </si>
  <si>
    <t>HIDRO0022</t>
  </si>
  <si>
    <t>Reparo em bomba centrífuga de eixo horizontal, até 2CV</t>
  </si>
  <si>
    <t>003.002.019</t>
  </si>
  <si>
    <t>HIDRO0023</t>
  </si>
  <si>
    <t>Reparo em bomba centrífuga de eixo horizontal, de 5CV</t>
  </si>
  <si>
    <t>003.002.020</t>
  </si>
  <si>
    <t>HIDRO0024</t>
  </si>
  <si>
    <t>Reparo em bomba submersa multiestágio, até 5CV</t>
  </si>
  <si>
    <t>003.002.021</t>
  </si>
  <si>
    <t>HIDRO0032</t>
  </si>
  <si>
    <t>003.002.022</t>
  </si>
  <si>
    <t>HIDRO0033</t>
  </si>
  <si>
    <t>003.002.023</t>
  </si>
  <si>
    <t>TRATAMENTO DE RALO OU PONTO EMERGENTE COM ARGAMASSA POLIMÉRICA / MEMBRANA ACRÍLICA REFORÇADO COM TELA DE POLIÉSTER (MAV). AF_09/2023</t>
  </si>
  <si>
    <t>003.003.001</t>
  </si>
  <si>
    <t>HIDRO0035</t>
  </si>
  <si>
    <t>Execução de ponto de água</t>
  </si>
  <si>
    <t>003.003.002</t>
  </si>
  <si>
    <t>HIDRO0036</t>
  </si>
  <si>
    <t>Execução de ponto de esgoto</t>
  </si>
  <si>
    <t>003.003.007</t>
  </si>
  <si>
    <t>HIDRO3041</t>
  </si>
  <si>
    <t>Fornecimento e instalação de válvula de descarga, referência Pressmatic Compact Docol.</t>
  </si>
  <si>
    <t>003.003.008</t>
  </si>
  <si>
    <t>HIDRO3042</t>
  </si>
  <si>
    <t>Fornecimento e instalação de ralo sifonado, diversas dimensões.</t>
  </si>
  <si>
    <t>003.003.009</t>
  </si>
  <si>
    <t>HIDRO3043</t>
  </si>
  <si>
    <t>Fornecimento e instalação de ralo seco, diversas dimensões.</t>
  </si>
  <si>
    <t>003.003.010</t>
  </si>
  <si>
    <t>HIDRO3044</t>
  </si>
  <si>
    <t>Fornecimento e instalação de caixa de gordura.</t>
  </si>
  <si>
    <t>003.003.011</t>
  </si>
  <si>
    <t>HIDRO3045</t>
  </si>
  <si>
    <t>Fornecimento e instalação de válvula de descarga, inclusive com adaptadores soldáveis.</t>
  </si>
  <si>
    <t>003.003.012</t>
  </si>
  <si>
    <t>HIDRO3046</t>
  </si>
  <si>
    <t>Fornecimento e instalação de registro de gaveta, inclusive com adaptadores soldáveis de 1/2 a 2 pol. Ref Deca Docol ou Hydra</t>
  </si>
  <si>
    <t>003.003.013</t>
  </si>
  <si>
    <t>HIDRO3047A</t>
  </si>
  <si>
    <t>Fornecimento e instalação de registro de pressão, em PVC, inclusive com adaptadores soldáveis.</t>
  </si>
  <si>
    <t>003.003.014</t>
  </si>
  <si>
    <t>HIDRO3047B</t>
  </si>
  <si>
    <t>Fornecimento e instalação de registro de pressão, em latão, inclusive com adaptadores soldáveis.</t>
  </si>
  <si>
    <t>003.003.015</t>
  </si>
  <si>
    <t>HIDRO3047C</t>
  </si>
  <si>
    <t>Fornecimento e instalação de registro de gaveta, inclusive com adaptadores soldáveis de 2 1/2 a 4 pol. Ref Deca Docol ou Hydra</t>
  </si>
  <si>
    <t>003.003.016</t>
  </si>
  <si>
    <t>HIDRO3051</t>
  </si>
  <si>
    <t>Fornecimento de materiais, peças, insumos e componentes hidrossanitários</t>
  </si>
  <si>
    <t>003.003.017</t>
  </si>
  <si>
    <t>HIDRO3052</t>
  </si>
  <si>
    <t>Instalação - equipe hidrossanitário</t>
  </si>
  <si>
    <t>004.002.001</t>
  </si>
  <si>
    <t>PCIN0001</t>
  </si>
  <si>
    <t>Substituição de tubulação da rede de combate a incêndio – DN ¾” a  1 ½”</t>
  </si>
  <si>
    <t>004.002.002</t>
  </si>
  <si>
    <t>PCIN0002</t>
  </si>
  <si>
    <t>Substituição de tubulação da rede de combate a incêndio – DN 2” a  2 ½”</t>
  </si>
  <si>
    <t>004.002.003</t>
  </si>
  <si>
    <t>PCIN0003</t>
  </si>
  <si>
    <t>Substituição de tubulação da rede de combate a incêndio – DN 3” a 4”</t>
  </si>
  <si>
    <t>004.002.004</t>
  </si>
  <si>
    <t>PCIN0004</t>
  </si>
  <si>
    <t>Substituição de manômetros</t>
  </si>
  <si>
    <t>004.002.005</t>
  </si>
  <si>
    <t>PCIN0005</t>
  </si>
  <si>
    <t>Substituição de mangueiras de incêndio</t>
  </si>
  <si>
    <t>004.002.006</t>
  </si>
  <si>
    <t>PCIMN4008</t>
  </si>
  <si>
    <t>Substituição de pressostato de sistema PCI</t>
  </si>
  <si>
    <t>004.002.007</t>
  </si>
  <si>
    <t>PCIMN4009</t>
  </si>
  <si>
    <t>Substituição de acionador de alarme endereçável -  Ref. Ilumac AMQ-E</t>
  </si>
  <si>
    <t>004.002.008</t>
  </si>
  <si>
    <t>PCIMN4010</t>
  </si>
  <si>
    <t>Substituição de mangueira de incêndio - Tipo 2</t>
  </si>
  <si>
    <t>004.002.009</t>
  </si>
  <si>
    <t>PCIMN4011</t>
  </si>
  <si>
    <t>Substituição de extintor de incêndio tipo ABC, 2A, 20BC, 6kg</t>
  </si>
  <si>
    <t>004.002.010</t>
  </si>
  <si>
    <t>PCIMN4012</t>
  </si>
  <si>
    <t>Substituição de extintor de incêndio tipo BC, 20BC, CO2, 6kg</t>
  </si>
  <si>
    <t>004.002.011</t>
  </si>
  <si>
    <t>PCIMN4013</t>
  </si>
  <si>
    <t>Substituição de extintor de incêndio tipo A, 2A, água, 6kg</t>
  </si>
  <si>
    <t>004.002.012</t>
  </si>
  <si>
    <t>PCIMN4006</t>
  </si>
  <si>
    <t>Fornecimento e instalação de quadro de comando para bombas de 3,0 a 7,5CV em partida direta, com acionamento manual/automático, detecção de falta de fase e relé térmico</t>
  </si>
  <si>
    <t>004.002.013</t>
  </si>
  <si>
    <t>PCIMN4014</t>
  </si>
  <si>
    <t>Substituição de sirene de sistema de incêndio. Ref. ILUMAC SAVQ-E</t>
  </si>
  <si>
    <t>004.002.014</t>
  </si>
  <si>
    <t>PCIMN4007</t>
  </si>
  <si>
    <t>004.002.015</t>
  </si>
  <si>
    <t>PCIMN4015</t>
  </si>
  <si>
    <t>Substituição de luminária autônoma de emergência - Ref. Ilumac ILED</t>
  </si>
  <si>
    <t>004.002.016</t>
  </si>
  <si>
    <t>PCIMN4016</t>
  </si>
  <si>
    <t>Substituição de luminária bloco autônomo com dois refletores de emergência - Ref. Ilumac IP40L</t>
  </si>
  <si>
    <t>004.003.001</t>
  </si>
  <si>
    <t>PCIN0421</t>
  </si>
  <si>
    <t>Fornecimento de materiais, peças, insumos e componentes</t>
  </si>
  <si>
    <t>004.003.002</t>
  </si>
  <si>
    <t>PCIN0422</t>
  </si>
  <si>
    <t>Instalação - equipe bombeiro hidráulico</t>
  </si>
  <si>
    <t>004.003.003</t>
  </si>
  <si>
    <t>CO-27468</t>
  </si>
  <si>
    <t>PROJETO EXECUTIVO DE PREVENÇÃO E COMBATE A INCÊNDIO</t>
  </si>
  <si>
    <t>PR A1</t>
  </si>
  <si>
    <t>004.003.004</t>
  </si>
  <si>
    <t>PCIMN0434</t>
  </si>
  <si>
    <t>Vistoria anual de manutenção das condições do sistema de segurança de incêndio com emissão de ART por edifício até 5 pavimentos</t>
  </si>
  <si>
    <t>004.003.005</t>
  </si>
  <si>
    <t>PCIMN0433</t>
  </si>
  <si>
    <t>Vistoria anual de manutenção das condições do sistema de segurança de incêndio com emissão de ART por edifício acima de 5 pavimentos</t>
  </si>
  <si>
    <t>005.002.001.001</t>
  </si>
  <si>
    <t>ELET5111</t>
  </si>
  <si>
    <t>Subestação - Substituição de fusível HH 63 A</t>
  </si>
  <si>
    <t>005.002.001.002</t>
  </si>
  <si>
    <t>ELET5112</t>
  </si>
  <si>
    <t>Subestação - Substituição de bateria do módulo de iluminação de emergência</t>
  </si>
  <si>
    <t>005.002.002.001</t>
  </si>
  <si>
    <t>ELET5121</t>
  </si>
  <si>
    <t>Quadro de Distribuição Metálico de embutir para 12 disjuntores monopolar e geral</t>
  </si>
  <si>
    <t>005.002.002.002</t>
  </si>
  <si>
    <t>ELET5122</t>
  </si>
  <si>
    <t>Quadro de Distribuição Metálico de sobrepor ou embutir para 18 disjuntores monopolar e geral</t>
  </si>
  <si>
    <t>005.002.002.003</t>
  </si>
  <si>
    <t>ELET5123</t>
  </si>
  <si>
    <t>Quadro de Distribuição Metálico de sobrepor ou embutir para 24 disjuntores monopolar e geral</t>
  </si>
  <si>
    <t>005.002.002.004</t>
  </si>
  <si>
    <t>ELET5124</t>
  </si>
  <si>
    <t>Quadro de Distribuição Metálico de sobrepor ou embutir para 40 disjuntores monopolar e geral</t>
  </si>
  <si>
    <t>005.002.002.005</t>
  </si>
  <si>
    <t>ELET5125</t>
  </si>
  <si>
    <t>Verificação de Quadro Elétrico</t>
  </si>
  <si>
    <t>005.002.003.001</t>
  </si>
  <si>
    <t>ELET5131</t>
  </si>
  <si>
    <t>Bloco autônomo para iluminação – sobrepor</t>
  </si>
  <si>
    <t>005.002.003.002</t>
  </si>
  <si>
    <t>ELET5132</t>
  </si>
  <si>
    <t>Lâmpada BULBLED E27 9,5W</t>
  </si>
  <si>
    <t>005.002.003.003</t>
  </si>
  <si>
    <t>ELET5133</t>
  </si>
  <si>
    <t>Lâmpada LED dicróica 5 wats</t>
  </si>
  <si>
    <t>005.002.003.004</t>
  </si>
  <si>
    <t>ELET5135</t>
  </si>
  <si>
    <t>Lâmpada tubular LED T5/T8 18/20W</t>
  </si>
  <si>
    <t>005.002.003.005</t>
  </si>
  <si>
    <t>ELET5136</t>
  </si>
  <si>
    <t>Lâmpada tubular LED T5/T8 9/10W</t>
  </si>
  <si>
    <t>005.002.003.006</t>
  </si>
  <si>
    <t>ELET5137</t>
  </si>
  <si>
    <t>Luminária quadrada de embutir, completa com LED e driver. Referência: Lumicenter LLA03-E3500840 ou equivalente técnico.</t>
  </si>
  <si>
    <t>005.002.003.007</t>
  </si>
  <si>
    <t>ELET5138</t>
  </si>
  <si>
    <t>005.002.003.008</t>
  </si>
  <si>
    <t>ELET5139</t>
  </si>
  <si>
    <t>005.002.003.009</t>
  </si>
  <si>
    <t>ELET513910</t>
  </si>
  <si>
    <t>005.002.003.010</t>
  </si>
  <si>
    <t>ELET513911</t>
  </si>
  <si>
    <t>005.002.003.011</t>
  </si>
  <si>
    <t>ELET513912</t>
  </si>
  <si>
    <t>005.002.003.012</t>
  </si>
  <si>
    <t>ELET513913</t>
  </si>
  <si>
    <t>Luminária de embutir ruler retangular LED 60x15cm 20W ou equivalente técnico.</t>
  </si>
  <si>
    <t>005.002.003.013</t>
  </si>
  <si>
    <t>ELET513914</t>
  </si>
  <si>
    <t>005.002.003.014</t>
  </si>
  <si>
    <t>ELET513915</t>
  </si>
  <si>
    <t>Luminária embutir Abalux A06 – 4x20W c/ aletas</t>
  </si>
  <si>
    <t>005.002.003.015</t>
  </si>
  <si>
    <t>ELET513916</t>
  </si>
  <si>
    <t>Lâmpada LED tubular bivolt 18/20W, base G13, 3000-6000K, 60-120cm. Referência Phillips</t>
  </si>
  <si>
    <t>005.002.003.016</t>
  </si>
  <si>
    <t>ELET513917</t>
  </si>
  <si>
    <t>Refletor 30W</t>
  </si>
  <si>
    <t>005.002.003.017</t>
  </si>
  <si>
    <t>ELET513918</t>
  </si>
  <si>
    <t>Refletor 50W</t>
  </si>
  <si>
    <t>005.002.003.018</t>
  </si>
  <si>
    <t>ELET513919</t>
  </si>
  <si>
    <t>Refletor 150W</t>
  </si>
  <si>
    <t>005.002.004.001</t>
  </si>
  <si>
    <t>ELET5141</t>
  </si>
  <si>
    <t>Caixa de Passagem Metálica 20x20x10cm com tampa lisa/ antiderrapante</t>
  </si>
  <si>
    <t>005.002.004.002</t>
  </si>
  <si>
    <t>ELET5142</t>
  </si>
  <si>
    <t>Caixa de Passagem Metálica 40x40x12cm com tampa lisa/ antiderrapante</t>
  </si>
  <si>
    <t>005.002.004.003</t>
  </si>
  <si>
    <t>ELET5143</t>
  </si>
  <si>
    <t>Interruptor de 1 tecla + 1 tomada</t>
  </si>
  <si>
    <t>005.002.004.004</t>
  </si>
  <si>
    <t>ELET5144</t>
  </si>
  <si>
    <t>Interruptor de 1 tecla simples ou paralela</t>
  </si>
  <si>
    <t>005.002.004.005</t>
  </si>
  <si>
    <t>ELET5145</t>
  </si>
  <si>
    <t>Interruptor de 2 teclas + 1 tomada</t>
  </si>
  <si>
    <t>005.002.004.006</t>
  </si>
  <si>
    <t>ELET5146</t>
  </si>
  <si>
    <t>Interruptor de 2 teclas simples ou paralelas</t>
  </si>
  <si>
    <t>005.002.004.007</t>
  </si>
  <si>
    <t>ELET5147</t>
  </si>
  <si>
    <t>Interruptor de 3 teclas simples ou paralelas</t>
  </si>
  <si>
    <t>005.002.004.008</t>
  </si>
  <si>
    <t>ELET5148</t>
  </si>
  <si>
    <t>Plugue Macho/Fêmea 2P+T 10A-220V para luminária</t>
  </si>
  <si>
    <t>005.002.004.009</t>
  </si>
  <si>
    <t>ELET5149</t>
  </si>
  <si>
    <t>Relé fotoelétrico</t>
  </si>
  <si>
    <t>005.002.004.010</t>
  </si>
  <si>
    <t>ELET51410</t>
  </si>
  <si>
    <t>Sensor de presença</t>
  </si>
  <si>
    <t>005.002.004.011</t>
  </si>
  <si>
    <t>ELET51411</t>
  </si>
  <si>
    <t>Sensor de presença com fotocélula</t>
  </si>
  <si>
    <t>005.002.004.012</t>
  </si>
  <si>
    <t>ELET51412</t>
  </si>
  <si>
    <t>Tomada 2P+T de embutir ou sobrepor 10A</t>
  </si>
  <si>
    <t>005.002.004.013</t>
  </si>
  <si>
    <t>ELET51413</t>
  </si>
  <si>
    <t>Tomada 2P+T de embutir ou sobrepor 20A</t>
  </si>
  <si>
    <t>005.002.004.014</t>
  </si>
  <si>
    <t>ELET51414</t>
  </si>
  <si>
    <t>Tomada Dupla 2P+T de embutir ou sobrepor 10A</t>
  </si>
  <si>
    <t>005.002.004.015</t>
  </si>
  <si>
    <t>ELET51415</t>
  </si>
  <si>
    <t>Verificação de circuito elétrico – Serviço Tipo A</t>
  </si>
  <si>
    <t>005.002.005.001</t>
  </si>
  <si>
    <t>ELET5151</t>
  </si>
  <si>
    <t>Cabo cobre classe 2 EPR/XLPE 0.6/1 KV 120mm²</t>
  </si>
  <si>
    <t>005.002.005.002</t>
  </si>
  <si>
    <t>ELET5152</t>
  </si>
  <si>
    <t>Cabo cobre classe 2 EPR/XLPE 0.6/1 KV 150mm²</t>
  </si>
  <si>
    <t>005.002.005.003</t>
  </si>
  <si>
    <t>MN5153</t>
  </si>
  <si>
    <t>Cabo cobre classe 2 EPR/XLPE 0.6/1 KV 185mm²</t>
  </si>
  <si>
    <t>005.002.005.004</t>
  </si>
  <si>
    <t>ELET5154</t>
  </si>
  <si>
    <t>Cabo cobre classe 2 EPR/XLPE 0.6/1 KV 25mm²</t>
  </si>
  <si>
    <t>005.002.005.005</t>
  </si>
  <si>
    <t>ELET5155</t>
  </si>
  <si>
    <t>Cabo cobre classe 2 EPR/XLPE 0.6/1 KV 35mm²</t>
  </si>
  <si>
    <t>005.002.005.006</t>
  </si>
  <si>
    <t>ELET5156</t>
  </si>
  <si>
    <t>Cabo cobre classe 2 EPR/XLPE 0.6/1 KV 50mm²</t>
  </si>
  <si>
    <t>005.002.005.007</t>
  </si>
  <si>
    <t>ELET5157</t>
  </si>
  <si>
    <t>Cabo cobre classe 2 EPR/XLPE 0.6/1 KV 70mm²</t>
  </si>
  <si>
    <t>005.002.005.008</t>
  </si>
  <si>
    <t>ELET5158</t>
  </si>
  <si>
    <t>Cabo cobre classe 2 EPR/XLPE 0.6/1 KV 95mm²</t>
  </si>
  <si>
    <t>005.002.005.009</t>
  </si>
  <si>
    <t>ELET5159</t>
  </si>
  <si>
    <t>Cabo cobre classe 5 450/750V PVC 1,5mm²</t>
  </si>
  <si>
    <t>005.002.005.010</t>
  </si>
  <si>
    <t>ELET51510</t>
  </si>
  <si>
    <t>Cabo cobre classe 5 450/750V PVC 10mm²</t>
  </si>
  <si>
    <t>005.002.005.011</t>
  </si>
  <si>
    <t>ELET51511</t>
  </si>
  <si>
    <t>Cabo cobre classe 5 450/750V PVC 2,5mm²</t>
  </si>
  <si>
    <t>005.002.005.012</t>
  </si>
  <si>
    <t>ELET51512</t>
  </si>
  <si>
    <t>Cabo cobre classe 5 450/750V PVC 4mm²</t>
  </si>
  <si>
    <t>005.002.005.013</t>
  </si>
  <si>
    <t>ELET51513</t>
  </si>
  <si>
    <t>Cabo cobre classe 5 450/750V PVC 6mm²</t>
  </si>
  <si>
    <t>005.002.005.014</t>
  </si>
  <si>
    <t>ELET51514</t>
  </si>
  <si>
    <t>Cabo cobre classe 5 EPR/XLPE 0.6/1 KV 10mm²</t>
  </si>
  <si>
    <t>005.002.005.015</t>
  </si>
  <si>
    <t>ELET51515</t>
  </si>
  <si>
    <t>Cabo cobre classe 5 EPR/XLPE 0.6/1 KV 16mm²</t>
  </si>
  <si>
    <t>005.002.005.016</t>
  </si>
  <si>
    <t>ELET51516</t>
  </si>
  <si>
    <t>Cabo cobre classe 5 EPR/XLPE 0.6/1 KV 6mm²</t>
  </si>
  <si>
    <t>005.002.005.017</t>
  </si>
  <si>
    <t>ELET51517</t>
  </si>
  <si>
    <t>Cabo PP cobre classe 5 PVC/PVC 3X1,5mm²</t>
  </si>
  <si>
    <t>005.002.006.001</t>
  </si>
  <si>
    <t>ELET5161</t>
  </si>
  <si>
    <t>Caixa de passagem de PVC 4"x2"</t>
  </si>
  <si>
    <t>005.002.006.002</t>
  </si>
  <si>
    <t>ELET5162</t>
  </si>
  <si>
    <t>Caixa de passagem de PVC 4"x4"</t>
  </si>
  <si>
    <t>005.002.006.003</t>
  </si>
  <si>
    <t>ELET5163</t>
  </si>
  <si>
    <t>Condulete de PVC 1" de qualquer tipo</t>
  </si>
  <si>
    <t>005.002.006.004</t>
  </si>
  <si>
    <t>ELET5164</t>
  </si>
  <si>
    <t>Condulete de PVC 3/4" de qualquer tipo</t>
  </si>
  <si>
    <t>005.002.006.005</t>
  </si>
  <si>
    <t>ELET5165</t>
  </si>
  <si>
    <t>Condulete múltiplo de alumínio 1"</t>
  </si>
  <si>
    <t>005.002.006.006</t>
  </si>
  <si>
    <t>ELET5166</t>
  </si>
  <si>
    <t>Condulete múltiplo de alumínio 3/4"</t>
  </si>
  <si>
    <t>005.002.006.007</t>
  </si>
  <si>
    <t>ELET5167</t>
  </si>
  <si>
    <t>Eletrocalha Galvanizada 100x50mm, inclusive acessórios e conexões</t>
  </si>
  <si>
    <t>005.002.006.008</t>
  </si>
  <si>
    <t>ELET5168</t>
  </si>
  <si>
    <t>Eletrocalha Galvanizada 200x50mm, inclusive acessórios e conexões</t>
  </si>
  <si>
    <t>005.002.006.009</t>
  </si>
  <si>
    <t>ELET5169</t>
  </si>
  <si>
    <t>Eletrocalha Galvanizada 300x50mm, inclusive acessórios e conexões</t>
  </si>
  <si>
    <t>005.002.006.010</t>
  </si>
  <si>
    <t>ELET51610</t>
  </si>
  <si>
    <t>Eletrocalha Galvanizada 100x100mm, inclusive acessórios e conexões</t>
  </si>
  <si>
    <t>005.002.006.011</t>
  </si>
  <si>
    <t>ELETMN51633</t>
  </si>
  <si>
    <t>Eletrocalha aparente 180x50mm. Ref. Valemam sistema VL 3.60, inclusive acessórios e conexões</t>
  </si>
  <si>
    <t>005.002.006.012</t>
  </si>
  <si>
    <t>ELETMN51634</t>
  </si>
  <si>
    <t>Módulo de Tomada Valemam com 2 tomadas e 2 pontos de rede VL3.42.5PT 180x50mm</t>
  </si>
  <si>
    <t>005.002.006.013</t>
  </si>
  <si>
    <t>ELET51611</t>
  </si>
  <si>
    <t>Eletroduto em Aço Carbono Rígido galvanizado a fogo 1", inclusive acessórios e conexões</t>
  </si>
  <si>
    <t>005.002.006.014</t>
  </si>
  <si>
    <t>ELET51612</t>
  </si>
  <si>
    <t>Eletroduto em Aço Carbono Rígido galvanizado a fogo 1.1/2", inclusive acessórios e conexões</t>
  </si>
  <si>
    <t>005.002.006.015</t>
  </si>
  <si>
    <t>ELET51613</t>
  </si>
  <si>
    <t>Eletroduto em Aço Carbono Rígido galvanizado a fogo 1.1/4", inclusive acessórios e conexões</t>
  </si>
  <si>
    <t>005.002.006.016</t>
  </si>
  <si>
    <t>ELET51614</t>
  </si>
  <si>
    <t>Eletroduto em Aço Carbono Rígido galvanizado a fogo 2", inclusive acessórios e conexões</t>
  </si>
  <si>
    <t>005.002.006.017</t>
  </si>
  <si>
    <t>ELET51615</t>
  </si>
  <si>
    <t>Eletroduto em Aço Carbono Rígido galvanizado a fogo 2.1/2", inclusive acessórios e conexões</t>
  </si>
  <si>
    <t>005.002.006.018</t>
  </si>
  <si>
    <t>ELET51616</t>
  </si>
  <si>
    <t>Eletroduto em Aço Carbono Rígido galvanizado a fogo 3", inclusive acessórios e conexões</t>
  </si>
  <si>
    <t>005.002.006.019</t>
  </si>
  <si>
    <t>ELET51617</t>
  </si>
  <si>
    <t>Eletroduto em Aço Carbono Rígido galvanizado a fogo 3/4", inclusive acessórios e conexões</t>
  </si>
  <si>
    <t>005.002.006.020</t>
  </si>
  <si>
    <t>ELET51618</t>
  </si>
  <si>
    <t>Eletroduto Metálico Flexível 1", inclusive acessórios e conexões</t>
  </si>
  <si>
    <t>005.002.006.021</t>
  </si>
  <si>
    <t>ELET51619</t>
  </si>
  <si>
    <t>Eletroduto Metálico Flexível 1.1/2", inclusive acessórios e conexões</t>
  </si>
  <si>
    <t>005.002.006.022</t>
  </si>
  <si>
    <t>ELET51620</t>
  </si>
  <si>
    <t>Eletroduto Metálico Flexível 1.1/4", inclusive acessórios e conexões</t>
  </si>
  <si>
    <t>005.002.006.023</t>
  </si>
  <si>
    <t>ELET51621</t>
  </si>
  <si>
    <t>Eletroduto Metálico Flexível 2", inclusive acessórios e conexões</t>
  </si>
  <si>
    <t>005.002.006.024</t>
  </si>
  <si>
    <t>ELET51622</t>
  </si>
  <si>
    <t>Eletroduto Metálico Flexível 2.1/2", inclusive acessórios e conexões</t>
  </si>
  <si>
    <t>005.002.006.025</t>
  </si>
  <si>
    <t>ELET51623</t>
  </si>
  <si>
    <t>Eletroduto Metálico Flexível 3/4", inclusive acessórios e conexões</t>
  </si>
  <si>
    <t>005.002.006.026</t>
  </si>
  <si>
    <t>ELET51624</t>
  </si>
  <si>
    <t>Eletroduto PVC Flexível 1", inclusive acessórios e conexões</t>
  </si>
  <si>
    <t>005.002.006.027</t>
  </si>
  <si>
    <t>ELET51625</t>
  </si>
  <si>
    <t>Eletroduto PVC Flexível 3/4", inclusive acessórios e conexões</t>
  </si>
  <si>
    <t>005.002.006.028</t>
  </si>
  <si>
    <t>ELET51626</t>
  </si>
  <si>
    <t>Eletroduto PVC Rígido Roscável 1", inclusive acessórios e conexões</t>
  </si>
  <si>
    <t>005.002.006.029</t>
  </si>
  <si>
    <t>ELET51627</t>
  </si>
  <si>
    <t>Eletroduto PVC Rígido Roscável 1.1/2", inclusive acessórios e conexões</t>
  </si>
  <si>
    <t>005.002.006.030</t>
  </si>
  <si>
    <t>ELET51628</t>
  </si>
  <si>
    <t>Eletroduto PVC Rígido Roscável 1.1/4", inclusive acessórios e conexões</t>
  </si>
  <si>
    <t>005.002.006.031</t>
  </si>
  <si>
    <t>ELET51629</t>
  </si>
  <si>
    <t>Eletroduto PVC Rígido Roscável 2.1/2", inclusive acessórios e conexões</t>
  </si>
  <si>
    <t>005.002.006.032</t>
  </si>
  <si>
    <t>ELET51630</t>
  </si>
  <si>
    <t>Eletroduto PVC Rígido Roscável 3", inclusive acessórios e conexões</t>
  </si>
  <si>
    <t>005.002.006.033</t>
  </si>
  <si>
    <t>ELET51631</t>
  </si>
  <si>
    <t>Eletroduto PVC Rígido Roscável 3/4", inclusive acessórios e conexões</t>
  </si>
  <si>
    <t>005.002.006.034</t>
  </si>
  <si>
    <t>ELET51632</t>
  </si>
  <si>
    <t>Perfilado Galvanizado 38x38, inclusive acessórios e conexões</t>
  </si>
  <si>
    <t>005.002.007.001</t>
  </si>
  <si>
    <t>ELET5171</t>
  </si>
  <si>
    <t>Borne tipo SAK DIN para cabos 10mm² inclusive acessórios</t>
  </si>
  <si>
    <t>005.002.007.002</t>
  </si>
  <si>
    <t>ELET5172</t>
  </si>
  <si>
    <t>Borne tipo SAK DIN para cabos 16mm² inclusive acessórios</t>
  </si>
  <si>
    <t>005.002.007.003</t>
  </si>
  <si>
    <t>ELET5173</t>
  </si>
  <si>
    <t>Borne tipo SAK DIN para cabos 2,5mm² inclusive acessórios</t>
  </si>
  <si>
    <t>005.002.007.004</t>
  </si>
  <si>
    <t>ELET5174</t>
  </si>
  <si>
    <t>Contator 25A 3~380V-60Hz acionamento 220Vca</t>
  </si>
  <si>
    <t>005.002.007.005</t>
  </si>
  <si>
    <t>ELET5175</t>
  </si>
  <si>
    <t>Disjuntor bipolar de 06A a 32A</t>
  </si>
  <si>
    <t>005.002.007.006</t>
  </si>
  <si>
    <t>ELET5176</t>
  </si>
  <si>
    <t>Disjuntor monopolar de 06A a 32A</t>
  </si>
  <si>
    <t>005.002.007.007</t>
  </si>
  <si>
    <t>ELET5177</t>
  </si>
  <si>
    <t>Disjuntor monopolar de 40A a 50A</t>
  </si>
  <si>
    <t>005.002.007.008</t>
  </si>
  <si>
    <t>ELET5178</t>
  </si>
  <si>
    <t>Disjuntor Tripolar Caixa Moldada de 100A a 250A</t>
  </si>
  <si>
    <t>005.002.007.009</t>
  </si>
  <si>
    <t>ELET5179</t>
  </si>
  <si>
    <t>Disjuntor Tripolar de 10A a 50A</t>
  </si>
  <si>
    <t>005.002.007.010</t>
  </si>
  <si>
    <t>ELET51710</t>
  </si>
  <si>
    <t>Disjuntor Tripolar de 63A</t>
  </si>
  <si>
    <t>005.002.007.011</t>
  </si>
  <si>
    <t>ELET51711</t>
  </si>
  <si>
    <t>Disjuntor Tripolar de 70A</t>
  </si>
  <si>
    <t>005.002.007.012</t>
  </si>
  <si>
    <t>ELET51712</t>
  </si>
  <si>
    <t>Disjuntor Tripolar de 80A</t>
  </si>
  <si>
    <t>005.002.007.013</t>
  </si>
  <si>
    <t>ELET51713</t>
  </si>
  <si>
    <t>Disjuntor Tripolar de 90A</t>
  </si>
  <si>
    <t>005.002.007.014</t>
  </si>
  <si>
    <t>ELET51714</t>
  </si>
  <si>
    <t>Dispositivo de Proteção contra Surtos elétricos (DPS), 175/275V, 20kA, Monopolar</t>
  </si>
  <si>
    <t>005.002.007.015</t>
  </si>
  <si>
    <t>ELET51715</t>
  </si>
  <si>
    <t>Interruptor Diferencial Residual Tetrapolar 50 a 100A</t>
  </si>
  <si>
    <t>005.002.007.016</t>
  </si>
  <si>
    <t>ELET51716</t>
  </si>
  <si>
    <t>Interruptor Diferencial Residual Bipolar DE 10A a 63A</t>
  </si>
  <si>
    <t>005.002.007.017</t>
  </si>
  <si>
    <t>ELET51717</t>
  </si>
  <si>
    <t>Minicontator</t>
  </si>
  <si>
    <t>005.002.007.018</t>
  </si>
  <si>
    <t>ELET51718</t>
  </si>
  <si>
    <t>Programador Horário Digital</t>
  </si>
  <si>
    <t>005.002.007.019</t>
  </si>
  <si>
    <t>ELET51719</t>
  </si>
  <si>
    <t>Relé de sobrecarga 11-17A 3~380V-60Hz</t>
  </si>
  <si>
    <t>005.002.008.001</t>
  </si>
  <si>
    <t>ELET5181</t>
  </si>
  <si>
    <t>Conector RJ-45 fêmea categoria 6</t>
  </si>
  <si>
    <t>005.002.008.002</t>
  </si>
  <si>
    <t>ELET5182</t>
  </si>
  <si>
    <t>Conector RJ-45 macho categoria 6</t>
  </si>
  <si>
    <t>005.002.008.003</t>
  </si>
  <si>
    <t>ELET5183</t>
  </si>
  <si>
    <t>Caixa de consolidação de rede para 24 pontos</t>
  </si>
  <si>
    <t>005.002.008.004</t>
  </si>
  <si>
    <t>ELET5184</t>
  </si>
  <si>
    <t>Cabo UTP Categoria 6</t>
  </si>
  <si>
    <t>005.002.008.005</t>
  </si>
  <si>
    <t>ELET5185</t>
  </si>
  <si>
    <t>Line Cord em Cabo UTP Categoria 6</t>
  </si>
  <si>
    <t>005.002.008.006</t>
  </si>
  <si>
    <t>ELET5186</t>
  </si>
  <si>
    <t>Patch Panel Categoria 6 – 24 Posições</t>
  </si>
  <si>
    <t>005.002.008.007</t>
  </si>
  <si>
    <t>ELET5187</t>
  </si>
  <si>
    <t>Voice Panel – 50 Posições</t>
  </si>
  <si>
    <t>005.002.008.008</t>
  </si>
  <si>
    <t>ELET5188</t>
  </si>
  <si>
    <t>Organizador de Cabos 1U Plástico Alta Densidade</t>
  </si>
  <si>
    <t>005.002.008.009</t>
  </si>
  <si>
    <t>ELET5189</t>
  </si>
  <si>
    <t>Filtro de linha com 7 tomadas para Rack 19”.</t>
  </si>
  <si>
    <t>005.002.008.010</t>
  </si>
  <si>
    <t>ELET5190</t>
  </si>
  <si>
    <t>Rack aberto em coluna 44U</t>
  </si>
  <si>
    <t>005.002.008.011</t>
  </si>
  <si>
    <t>ELET51901</t>
  </si>
  <si>
    <t>005.002.008.012</t>
  </si>
  <si>
    <t>ELET51902</t>
  </si>
  <si>
    <t>005.002.008.013</t>
  </si>
  <si>
    <t>ELET51903</t>
  </si>
  <si>
    <t>Distribuidor Interno Óptico com bandeja deslizantes e no mínimo 12 conectores</t>
  </si>
  <si>
    <t>005.002.008.014</t>
  </si>
  <si>
    <t>ED-48368</t>
  </si>
  <si>
    <t>CERTIFICAÇÃO DE GARANTIA DE TRANSMISSÃO DE CABOS LÓGICOS CAT. 5/6</t>
  </si>
  <si>
    <t>U</t>
  </si>
  <si>
    <t>005.002.009.001</t>
  </si>
  <si>
    <t>ELET5191</t>
  </si>
  <si>
    <t>Barra chata de alumínio 7/8 x 1/8 - 3 metros</t>
  </si>
  <si>
    <t>005.002.009.002</t>
  </si>
  <si>
    <t>ELET5192</t>
  </si>
  <si>
    <t>Cabo de cobre nú 10mm meio duro</t>
  </si>
  <si>
    <t>005.002.009.003</t>
  </si>
  <si>
    <t>ELET5193</t>
  </si>
  <si>
    <t>Cabo de cobre nú 35mm meio duro</t>
  </si>
  <si>
    <t>005.002.009.004</t>
  </si>
  <si>
    <t>ELET5194</t>
  </si>
  <si>
    <t>Cabo de cobre nú 50mm meio duro</t>
  </si>
  <si>
    <t>005.002.009.005</t>
  </si>
  <si>
    <t>ELET5195</t>
  </si>
  <si>
    <t>Conector Split-bolt</t>
  </si>
  <si>
    <t>005.002.009.006</t>
  </si>
  <si>
    <t>ELET5196</t>
  </si>
  <si>
    <t>Suporte isolador de passagem com roldana em polipropileno</t>
  </si>
  <si>
    <t>005.002.009.007</t>
  </si>
  <si>
    <t>ELET5197</t>
  </si>
  <si>
    <t>Suporte Fixador Colável Ref. Termotécnica TEL-755</t>
  </si>
  <si>
    <t>005.002.009.008</t>
  </si>
  <si>
    <t>CAPTOR TIPO FRANKLIN PARA SPDA - FORNECIMENTO E INSTALAÇÃO. AF_08/2023</t>
  </si>
  <si>
    <t>005.002.009.009</t>
  </si>
  <si>
    <t>MINI CAPTOR PARA SPDA - FORNECIMENTO E INSTALAÇÃO. AF_08/2023</t>
  </si>
  <si>
    <t>005.002.010.001</t>
  </si>
  <si>
    <t>005.002.010.002</t>
  </si>
  <si>
    <t>005.002.010.003</t>
  </si>
  <si>
    <t>005.002.010.004</t>
  </si>
  <si>
    <t>005.002.010.005</t>
  </si>
  <si>
    <t>005.002.010.006</t>
  </si>
  <si>
    <t>005.002.010.007</t>
  </si>
  <si>
    <t>005.002.010.008</t>
  </si>
  <si>
    <t>005.002.010.009</t>
  </si>
  <si>
    <t>005.002.010.010</t>
  </si>
  <si>
    <t>005.002.010.011</t>
  </si>
  <si>
    <t>005.002.010.012</t>
  </si>
  <si>
    <t>005.002.010.013</t>
  </si>
  <si>
    <t>005.002.010.014</t>
  </si>
  <si>
    <t>005.002.011.001</t>
  </si>
  <si>
    <t>ELET51101</t>
  </si>
  <si>
    <t>005.002.011.002</t>
  </si>
  <si>
    <t>ELET51102</t>
  </si>
  <si>
    <t>Instalação de peças e insumos - equipe eletricista</t>
  </si>
  <si>
    <t>006.002.001.001</t>
  </si>
  <si>
    <t>ARQU6111</t>
  </si>
  <si>
    <t>Fornecimento e substituição das borrachas de vedação de esquadrias</t>
  </si>
  <si>
    <t>006.002.001.002</t>
  </si>
  <si>
    <t>ARQU6112</t>
  </si>
  <si>
    <t>Fornecimento e substituição de kit de suspensão de janelas tipo guilhotina</t>
  </si>
  <si>
    <t>006.002.001.003</t>
  </si>
  <si>
    <t>ARQU6113</t>
  </si>
  <si>
    <t>Fornecimento e substituição de ferragens de janelas maxim-ar</t>
  </si>
  <si>
    <t>006.002.002.001</t>
  </si>
  <si>
    <t>ARQU6121</t>
  </si>
  <si>
    <t>Reparo em forro de gesso incluindo todo material necessário</t>
  </si>
  <si>
    <t>006.002.002.002</t>
  </si>
  <si>
    <t>ARQU6122</t>
  </si>
  <si>
    <t>Reparo em elementos decorativos no forro de gesso incluindo todo material necessário</t>
  </si>
  <si>
    <t>006.002.002.003</t>
  </si>
  <si>
    <t>ARQU6123</t>
  </si>
  <si>
    <t>Reparo em trincas no forro de gesso incluindo todo material necessário</t>
  </si>
  <si>
    <t>006.002.003.001</t>
  </si>
  <si>
    <t>ARQU6131</t>
  </si>
  <si>
    <t>Manutenção em cortina tipo rolô</t>
  </si>
  <si>
    <t>006.002.003.002</t>
  </si>
  <si>
    <t>ARQU6132</t>
  </si>
  <si>
    <t>Manutenção em persianas verticais</t>
  </si>
  <si>
    <t>006.002.003.003</t>
  </si>
  <si>
    <t>ARQU6133</t>
  </si>
  <si>
    <t>Manutenção em persianas horizontais</t>
  </si>
  <si>
    <t>006.003.001.001</t>
  </si>
  <si>
    <t>ARQU6211</t>
  </si>
  <si>
    <t>Alvenaria em tijolo cerâmico furado 9x14x19cm, 1/2 vez.</t>
  </si>
  <si>
    <t>006.003.001.002</t>
  </si>
  <si>
    <t>ARQU6212</t>
  </si>
  <si>
    <t>Alvenaria em tijolo cerâmico furado 9x14x19cm, 1 vez.</t>
  </si>
  <si>
    <t>006.003.001.003</t>
  </si>
  <si>
    <t>ARQU6213</t>
  </si>
  <si>
    <t>Alvenaria em bloco de concreto, 19x19x39 cm, 1/2 vez</t>
  </si>
  <si>
    <t>006.003.001.004</t>
  </si>
  <si>
    <t>ARQU6214</t>
  </si>
  <si>
    <t>Divisória de dry-wall com isolamento acústico -  esp. de 10cm</t>
  </si>
  <si>
    <t>006.003.001.005</t>
  </si>
  <si>
    <t>ARQU6215</t>
  </si>
  <si>
    <t>006.003.001.006</t>
  </si>
  <si>
    <t>ARQU6216</t>
  </si>
  <si>
    <t>Divisória de dry-wall com resistência à umidade e isolamento acústico -  esp. de 10cm</t>
  </si>
  <si>
    <t>006.003.002.001</t>
  </si>
  <si>
    <t>ARQU6221</t>
  </si>
  <si>
    <t>Vidro temperado cor fumê - esp.6mm</t>
  </si>
  <si>
    <t>006.003.002.002</t>
  </si>
  <si>
    <t>ARQU6222</t>
  </si>
  <si>
    <t>Roldana para porta de correr de vidro temperado</t>
  </si>
  <si>
    <t>006.003.002.003</t>
  </si>
  <si>
    <t>ARQU6223</t>
  </si>
  <si>
    <t>Mola de piso para porta de vidro temperado</t>
  </si>
  <si>
    <t>006.003.002.004</t>
  </si>
  <si>
    <t>ARQU6224</t>
  </si>
  <si>
    <t>Pivô para porta de vidro temperado</t>
  </si>
  <si>
    <t>006.003.002.005</t>
  </si>
  <si>
    <t>ARQU6225</t>
  </si>
  <si>
    <t>Vidro temperado incolor, esp. 6mm</t>
  </si>
  <si>
    <t>006.003.002.006</t>
  </si>
  <si>
    <t>ARQU6226</t>
  </si>
  <si>
    <t>Vidro temperado incolor, esp. 8mm</t>
  </si>
  <si>
    <t>006.003.002.007</t>
  </si>
  <si>
    <t>ARQU6227</t>
  </si>
  <si>
    <t>Vidro temperado incolor, esp. 10mm</t>
  </si>
  <si>
    <t>006.003.002.008</t>
  </si>
  <si>
    <t>ARQU6228</t>
  </si>
  <si>
    <t>Vidro laminado incolor, esp. 6mm</t>
  </si>
  <si>
    <t>006.003.002.009</t>
  </si>
  <si>
    <t>ARQU6229</t>
  </si>
  <si>
    <t>Vidro laminado incolor, esp. 8mm</t>
  </si>
  <si>
    <t>006.003.002.010</t>
  </si>
  <si>
    <t>ARQU62210</t>
  </si>
  <si>
    <t>Vidro laminado esp. 8mm, Ref. Sunguard Chrome, Guardian ou equivalente.</t>
  </si>
  <si>
    <t>006.003.002.012</t>
  </si>
  <si>
    <t>CT0302022CPU20</t>
  </si>
  <si>
    <t>Remoção e instalação de vidro em esquadria de alumínio.</t>
  </si>
  <si>
    <t>006.003.002.013</t>
  </si>
  <si>
    <t>CT0302022CPU21</t>
  </si>
  <si>
    <t>Reparos em portas de correr em alumínio com substituição de itens defeituosos como roldanas, fechadura de fecho central, contrafecho central, acabamentos plásticos e em alumínio variados danificados. Ref. Udinese</t>
  </si>
  <si>
    <t>006.003.002.014</t>
  </si>
  <si>
    <t>CT0302022CPU22</t>
  </si>
  <si>
    <t>Reparo em janelas tipo maxim-ar em alumínio com substituição de itens defeituosos com braço, fecho, alavanca, contrafecho alavanca, acabamentos plásticos e em alumínio variados danificados. Ref. Udinese.</t>
  </si>
  <si>
    <t>006.003.002.015</t>
  </si>
  <si>
    <t>CT0302022CPU24</t>
  </si>
  <si>
    <t>Aplicação de verniz / resina stain impregnante, 3 demãos, incluindo lixamento para remoção de verniz e lixamento entre demãos em bancos externos.</t>
  </si>
  <si>
    <t>006.003.002.016</t>
  </si>
  <si>
    <t>CT0302022CPU26</t>
  </si>
  <si>
    <t>Manutenção de esquadrias de madeira, diversas dimensões, inclui substituição de fitas de bordo danificadas, lixamento, verniz com resina tipo Stain, proteção de metais, emassamento com massa para madeira e ajustes necessários para o bom funcionamento, proteção e acabamento.</t>
  </si>
  <si>
    <t>006.003.002.017</t>
  </si>
  <si>
    <t>CT0302022CPU27</t>
  </si>
  <si>
    <t>Substituição de maçanetas - instalação maçanetas acessível, alinhado esteticamente com as existentes</t>
  </si>
  <si>
    <t>006.003.002.018</t>
  </si>
  <si>
    <t>CT0302022CPU05A</t>
  </si>
  <si>
    <t>Instalação de divisória fixa em vidro temperado fumê 10mm.</t>
  </si>
  <si>
    <t>006.003.002.019</t>
  </si>
  <si>
    <t>Instalação de divisória fixa em vidro temperado incolor 10mm.</t>
  </si>
  <si>
    <t>006.003.002.020</t>
  </si>
  <si>
    <t>CT0302022CPU05B</t>
  </si>
  <si>
    <t>Instalação de porta de vidro fumê de até 100 x 210cm, com acessórios e puxador.</t>
  </si>
  <si>
    <t>006.003.002.021</t>
  </si>
  <si>
    <t>Instalação de porta de vidro incolor de até 100 x 210cm, com acessórios e puxador.</t>
  </si>
  <si>
    <t>006.003.002.022</t>
  </si>
  <si>
    <t>CT0302022CPU02A</t>
  </si>
  <si>
    <t>Instalação de porta em madeira tipo "sucupira" ou equivalente verificado in loco completa para vão de 76 até 85cm. Semi-sólida. PEM. Incluído batente, alizar interno, ferragens e verniz.</t>
  </si>
  <si>
    <t>006.003.002.023</t>
  </si>
  <si>
    <t>CT0302022CPU02B</t>
  </si>
  <si>
    <t>Instalação de porta em madeira tipo "sucupira" ou equivalente verificado in loco para vão de 76 até 85cm. Semi-sólida. PEM. Incluído verniz e ferragens.</t>
  </si>
  <si>
    <t>006.003.002.024</t>
  </si>
  <si>
    <t>CT0302022CPU02C</t>
  </si>
  <si>
    <t>Instalação de porta em madeira tipo "sucupira" ou equivalente verificado in loco completa para vão de 60 até 69cm. Sólida. PEM-RU. Incluído verniz e ferragens. Não incluso batente e alizar.</t>
  </si>
  <si>
    <t>006.003.002.025</t>
  </si>
  <si>
    <t>CT0302022CPU02D</t>
  </si>
  <si>
    <t>Instalação de porta em madeira tipo "sucupira" ou equivalente verificado in loco para vão de 86 até 95cm. Semi-sólida. PEM. Incluído verniz e ferragens.</t>
  </si>
  <si>
    <t>006.003.002.026</t>
  </si>
  <si>
    <t>CT0302022CPU02E</t>
  </si>
  <si>
    <t>Instalação de porta em madeira tipo "sucupira" ou equivalente verificado in loco tipo dupla para vão de 120 até 160cm, com duas folhas, incluído verniz e ferragens. Semi-sólida. PEM.</t>
  </si>
  <si>
    <t>006.003.002.027</t>
  </si>
  <si>
    <t>CT0302022CPU02</t>
  </si>
  <si>
    <t>Instalação de porta em madeira tipo "sucupira" ou equivalente verificado in loco para vão de 70 até 75cm. Semi-sólida. PEM. Incluído verniz e ferragens.</t>
  </si>
  <si>
    <t>006.003.002.028</t>
  </si>
  <si>
    <t>MNIN62227</t>
  </si>
  <si>
    <t>Porta PVC Wood Freijó Pormade</t>
  </si>
  <si>
    <t>006.003.002.029</t>
  </si>
  <si>
    <t>CT0302022CPUADT13C</t>
  </si>
  <si>
    <t>Tingimento - pintura verniz (incolor) alquídico em madeira, uso interno e externo, 1 demão. Considerada para o tingimento necessário nas portas para chegar ao tom padrão da edificação.</t>
  </si>
  <si>
    <t>006.003.002.030</t>
  </si>
  <si>
    <t>ARQUMN62228</t>
  </si>
  <si>
    <t>Fornecimento e instalação de fechadura completa. Ref. Arouca Luna 108496-ZCE 55mm com cilindro</t>
  </si>
  <si>
    <t>006.003.002.031</t>
  </si>
  <si>
    <t>ARQUMN62229</t>
  </si>
  <si>
    <t>Fornecimento e instalação de fechadura completa. Ref. Arouca Luna 108496-ZCE 40 mm para sanitário</t>
  </si>
  <si>
    <t>006.003.003.001.001</t>
  </si>
  <si>
    <t>ARQU62311</t>
  </si>
  <si>
    <t>Forro de gesso acartonado liso com tabica</t>
  </si>
  <si>
    <t>006.003.003.001.002</t>
  </si>
  <si>
    <t>ARQU62312</t>
  </si>
  <si>
    <t>Forro de gesso acartonado resistente à umidade com tabica</t>
  </si>
  <si>
    <t>006.003.003.001.003</t>
  </si>
  <si>
    <t>ARQU62314</t>
  </si>
  <si>
    <t>Sanca/rasgo em forro de gesso</t>
  </si>
  <si>
    <t>006.003.003.001.004</t>
  </si>
  <si>
    <t>ARQU62315</t>
  </si>
  <si>
    <t>Tabica em perfil metálico, no forro de gesso - dimensões 4x4cm</t>
  </si>
  <si>
    <t>006.003.003.002.001</t>
  </si>
  <si>
    <t>006.003.003.002.002</t>
  </si>
  <si>
    <t>006.003.003.002.003</t>
  </si>
  <si>
    <t>006.003.003.002.004</t>
  </si>
  <si>
    <t>006.003.003.003.001</t>
  </si>
  <si>
    <t>FORRO EM RÉGUAS DE PVC, LISO, PARA AMBIENTES COMERCIAIS, INCLUSIVE ESTRUTURA BIDIRECIONAL DE FIXAÇÃO. AF_08/2023_PS</t>
  </si>
  <si>
    <t>006.003.004.001.001</t>
  </si>
  <si>
    <t>ARQU62411</t>
  </si>
  <si>
    <t>Chapisco</t>
  </si>
  <si>
    <t>006.003.004.001.002</t>
  </si>
  <si>
    <t>ARQU62412</t>
  </si>
  <si>
    <t>Reboco paulista - camada única</t>
  </si>
  <si>
    <t>006.003.004.001.003</t>
  </si>
  <si>
    <t>ARQU62413</t>
  </si>
  <si>
    <t>Regularização de piso</t>
  </si>
  <si>
    <t>006.003.004.001.004</t>
  </si>
  <si>
    <t>ARQU62414</t>
  </si>
  <si>
    <t>Microcimento espatulado</t>
  </si>
  <si>
    <t>006.003.004.002.002</t>
  </si>
  <si>
    <t>ARQU62422</t>
  </si>
  <si>
    <t>Rejunte acrílico ou epóxy em revestimentos cerâmicos ou porcelanatos (piso / parede)</t>
  </si>
  <si>
    <t>006.003.004.002.003</t>
  </si>
  <si>
    <t>ARQU62422A</t>
  </si>
  <si>
    <t>Rejunte cimentício  em revestimentos cerâmicos ou porcelanatos (piso / parede)</t>
  </si>
  <si>
    <t>006.003.004.002.004</t>
  </si>
  <si>
    <t>ARQU62423</t>
  </si>
  <si>
    <t>Revestimento cerâmico PEI 4 ou superior. Ref.  45x45cm Habitat Eliane, 45x45cm Cargo Plus Eliane ou Almeida 40A36 (AFP)</t>
  </si>
  <si>
    <t>006.003.004.002.005</t>
  </si>
  <si>
    <t>ARQU62424</t>
  </si>
  <si>
    <t>Revestimento cerâmico de parede 10x20cm acetinada borda arredonda. Ref. Artens ou metro white Eliane</t>
  </si>
  <si>
    <t>006.003.004.002.006</t>
  </si>
  <si>
    <t>ARQU62425</t>
  </si>
  <si>
    <t>Rodapé cerâmico  90°, para piso de dimensões: 30x60cm h=7 a 20cm</t>
  </si>
  <si>
    <t>006.003.004.002.007</t>
  </si>
  <si>
    <t>ARQU62426</t>
  </si>
  <si>
    <t>Revestimento cerâmico retificado. Com rejunte e argamassa inclusos 30x60</t>
  </si>
  <si>
    <t>006.003.004.002.010</t>
  </si>
  <si>
    <t>ARQU62429</t>
  </si>
  <si>
    <t>Revestimento em porcelanato Portobello Orbit Gray Natural 80x80cm Cinza Retificado, com coeficiente de atrito entre 0,4 e 0,75, baixa absorção (0 a 0,5%), instalado com o uso de ACIII e rejunte acrílico. Item de referência.</t>
  </si>
  <si>
    <t>006.003.004.002.011</t>
  </si>
  <si>
    <t>ARQU624210</t>
  </si>
  <si>
    <t>Porcelanato retificado na cor branca (cetim bianco line), acabamento acetinado, retificado, 30x60, alta resistência a manchas, variação de tonalidade V1. Edifício II.</t>
  </si>
  <si>
    <t>006.003.004.002.012</t>
  </si>
  <si>
    <t>ARQU624211</t>
  </si>
  <si>
    <t>Rodapé em porcelanato retificado acabamento natural - dimensões de 60-120cm h= 7-20cm</t>
  </si>
  <si>
    <t>006.003.004.002.013</t>
  </si>
  <si>
    <t>ARQU624212</t>
  </si>
  <si>
    <t>Revestimento 3d Portobello modelo spot sea cru (cor cru), em alto relevo, 20x20cm, retificado</t>
  </si>
  <si>
    <t>006.003.004.002.014</t>
  </si>
  <si>
    <t>ARQUMN624213</t>
  </si>
  <si>
    <t>Revestimento cerâmico em pastilhas de porcelana nas dimensões de 2,5x2,5cm. Argamassa ACIII. Alinhadas a prumo.</t>
  </si>
  <si>
    <t>006.003.004.003.001</t>
  </si>
  <si>
    <t>ARQU62431</t>
  </si>
  <si>
    <t>Laminado melamínico, acabamento matte - MT, cor lisa.</t>
  </si>
  <si>
    <t>006.003.004.003.002</t>
  </si>
  <si>
    <t>ARQU62432</t>
  </si>
  <si>
    <t>Laminado melamínico, padrão madeirado.</t>
  </si>
  <si>
    <t>006.003.004.003.003</t>
  </si>
  <si>
    <t>ARQU62433</t>
  </si>
  <si>
    <t>Placa em MDF revestido em laminado melamínico - Esp. 15mm</t>
  </si>
  <si>
    <t>006.003.004.003.004</t>
  </si>
  <si>
    <t>ARQU62434</t>
  </si>
  <si>
    <t>Papel de parede - somente serviços, não incluso insumo</t>
  </si>
  <si>
    <t>006.003.004.003.005</t>
  </si>
  <si>
    <t>CT0302022CPU16</t>
  </si>
  <si>
    <t>Remoção de papel de parede, inclusive lixamento</t>
  </si>
  <si>
    <t>006.003.004.004.001</t>
  </si>
  <si>
    <t>006.003.004.004.003</t>
  </si>
  <si>
    <t>ARQU62443</t>
  </si>
  <si>
    <t>Carpete em manta - provisório e para eventos</t>
  </si>
  <si>
    <t>006.003.004.004.004</t>
  </si>
  <si>
    <t>ARQ611</t>
  </si>
  <si>
    <t>Carpete em rolo fabricante Belgotex, coleção Colorstone Pérola. Tipo boucle, nylon solution dyed, 6mm</t>
  </si>
  <si>
    <t>006.003.004.004.005</t>
  </si>
  <si>
    <t>ARQU62444</t>
  </si>
  <si>
    <t>Carpete em manta em polipropileno - para eventos e instalações</t>
  </si>
  <si>
    <t>006.003.004.004.006</t>
  </si>
  <si>
    <t>ARQ85</t>
  </si>
  <si>
    <t>Carpete em placas 50x50cm, fabricante Belgotex, coleção Metropolis, Modelo Buenos Aires, 50x50, 6mm</t>
  </si>
  <si>
    <t>006.003.004.004.009</t>
  </si>
  <si>
    <t>ARQU62447</t>
  </si>
  <si>
    <t>Acabamento para pisos em perfil de alumínio</t>
  </si>
  <si>
    <t>006.003.004.004.010</t>
  </si>
  <si>
    <t>ARQU62448</t>
  </si>
  <si>
    <t>Piso vinílico em placas. Dimensões: 50x50cm</t>
  </si>
  <si>
    <t>006.003.004.004.011</t>
  </si>
  <si>
    <t>ARQUMN62448A</t>
  </si>
  <si>
    <t>Piso vinílico ref. Tarkett, 4mm, linha Square Set, 609,6x609,6mm ref. 24026300, 24026200, 24026100, 24024001. Capa de PVC igual o superior a 0,7mm, resistência ao escorregamento R9 ou Classe 1</t>
  </si>
  <si>
    <t>006.003.004.004.012</t>
  </si>
  <si>
    <t>ARQU62449</t>
  </si>
  <si>
    <t>Piso vinílico em manta</t>
  </si>
  <si>
    <t>006.003.004.004.013</t>
  </si>
  <si>
    <t>ARQU624410</t>
  </si>
  <si>
    <t>Piso vinílico semiflexível</t>
  </si>
  <si>
    <t>006.003.004.004.014</t>
  </si>
  <si>
    <t>ARQU624411</t>
  </si>
  <si>
    <t>Rodape vinílico</t>
  </si>
  <si>
    <t>006.003.004.004.015</t>
  </si>
  <si>
    <t>ARQU624412</t>
  </si>
  <si>
    <t>Piso podotátil - ladrilho hidráulico - Alerta</t>
  </si>
  <si>
    <t>006.003.004.004.016</t>
  </si>
  <si>
    <t>ARQU624413</t>
  </si>
  <si>
    <t>Piso podotátil - ladrilho hidráulico - Direcional</t>
  </si>
  <si>
    <t>006.003.004.004.017</t>
  </si>
  <si>
    <t>ARQU624414</t>
  </si>
  <si>
    <t>Piso podotátil - poliéster (TPU) - Alerta</t>
  </si>
  <si>
    <t>006.003.004.004.018</t>
  </si>
  <si>
    <t>ARQU624415</t>
  </si>
  <si>
    <t>Piso podotátil - poliéster (TPU) - Direcional</t>
  </si>
  <si>
    <t>006.003.004.004.019</t>
  </si>
  <si>
    <t>ARQU624416</t>
  </si>
  <si>
    <t>Piso podotátil - elementos soltos - nylon - Alerta</t>
  </si>
  <si>
    <t>006.003.004.004.020</t>
  </si>
  <si>
    <t>ARQU624417</t>
  </si>
  <si>
    <t>Piso podotátil - elementos soltos - metálico - Alerta</t>
  </si>
  <si>
    <t>006.003.004.004.021</t>
  </si>
  <si>
    <t>ARQU624418</t>
  </si>
  <si>
    <t>Piso podotátil - elementos soltos - metálico para carpete - Alerta</t>
  </si>
  <si>
    <t>006.003.004.005.001</t>
  </si>
  <si>
    <t>Rodapé em Poliestireno reciclado h= 15cm</t>
  </si>
  <si>
    <t>006.003.004.005.002</t>
  </si>
  <si>
    <t>ARQU62452</t>
  </si>
  <si>
    <t>Rodapé em Poliestireno reciclado h= 3cm</t>
  </si>
  <si>
    <t>006.003.004.005.003</t>
  </si>
  <si>
    <t>ARQU62453</t>
  </si>
  <si>
    <t>Rodapé em Aço Inox Escovado H=7,5cm</t>
  </si>
  <si>
    <t>006.003.004.005.004</t>
  </si>
  <si>
    <t>CT0302022CPU17A</t>
  </si>
  <si>
    <t>Instalação de rodapé interno às salas, em madeira, incluído aplicação de verniz.</t>
  </si>
  <si>
    <t>006.003.004.005.005</t>
  </si>
  <si>
    <t>CT0302022CPU17B</t>
  </si>
  <si>
    <t>Instalação de rodapé, rodateto e alisar corredor incluído aplicação de verniz</t>
  </si>
  <si>
    <t>006.003.004.005.006</t>
  </si>
  <si>
    <t>CT0302022CPU17C</t>
  </si>
  <si>
    <t>Reaproveitamento de rodapé interno das salas, incluído aplicação de verniz.</t>
  </si>
  <si>
    <t>006.003.004.005.007</t>
  </si>
  <si>
    <t>CT0302022CPU17D</t>
  </si>
  <si>
    <t>Lixamento e pintura com verniz em rodapé em madeira existente.</t>
  </si>
  <si>
    <t>006.003.005.001</t>
  </si>
  <si>
    <t>ARQU6251</t>
  </si>
  <si>
    <t>Piso em placas de granito VERDE UBATUBA polido - dimensões: 50x50x2cm</t>
  </si>
  <si>
    <t>006.003.005.002</t>
  </si>
  <si>
    <t>ARQU6252</t>
  </si>
  <si>
    <t>Rodapé em granito BRANCO ITAÚNAS / PRETO SÃO GABRIEL / VERDE UBATUBA H=20cm - Espessura 2cm</t>
  </si>
  <si>
    <t>006.003.005.003</t>
  </si>
  <si>
    <t>ARQU6253</t>
  </si>
  <si>
    <t>Soleira em granito  BRANCO ITAÚNAS / PRETO SÃO GABRIEL / VERDE UBATUBA - Espessura 2cm</t>
  </si>
  <si>
    <t>006.003.005.004</t>
  </si>
  <si>
    <t>ARQU6254</t>
  </si>
  <si>
    <t>Divisória em granito  BRANCO ITAÚNAS / PRETO SÃO GABRIEL / VERDE UBATUBA - Espessura 3cm</t>
  </si>
  <si>
    <t>006.003.005.005</t>
  </si>
  <si>
    <t>ARQU6255</t>
  </si>
  <si>
    <t>Bancada em granito  BRANCO ITAÚNAS / PRETO SÃO GABRIEL / VERDE UBATUBA, com saia e rodabanca</t>
  </si>
  <si>
    <t>006.003.005.006</t>
  </si>
  <si>
    <t>PISO EM GRANITO APLICADO EM AMBIENTES INTERNOS. AF_09/2020</t>
  </si>
  <si>
    <t>006.003.005.007</t>
  </si>
  <si>
    <t>ARQU6256</t>
  </si>
  <si>
    <t>PISO EM GRANITO, POLIDO, TIPO SÃO GABRIEL OU EQUIVALENTE.</t>
  </si>
  <si>
    <t>006.003.005.008</t>
  </si>
  <si>
    <t>ARQU6257</t>
  </si>
  <si>
    <t>PISO EM GRANITO, POLIDO, TIPO MARFIM, DALLAS OU EQUIVALENTE.</t>
  </si>
  <si>
    <t>006.003.005.009</t>
  </si>
  <si>
    <t>ARQU6258</t>
  </si>
  <si>
    <t>PISO EM GRANITO, POLIDO OU FLAMEADO, TIPO BRANCO CEARÁ.</t>
  </si>
  <si>
    <t>006.003.005.010</t>
  </si>
  <si>
    <t>ARQU6259</t>
  </si>
  <si>
    <t>PISO EM GRANITO, POLIDO OU FLAMEADO, TIPO VERMELHO BRASÍLIA OU EQUIVALENTE.</t>
  </si>
  <si>
    <t>006.003.005.011</t>
  </si>
  <si>
    <t>ARQU62510</t>
  </si>
  <si>
    <t>PISO EM GRANITO, POLIDO OU FLAMEADO, TIPO CINZA COMRUMBÁ OU EQUIVALENTE.</t>
  </si>
  <si>
    <t>006.003.005.012</t>
  </si>
  <si>
    <t>ARQU62511</t>
  </si>
  <si>
    <t>Bancada de granito polido, tipo PRETO SÃO GABRIEL ou equivalente, inclusive com testeira e rodobanca, acessórios de fixação e ferragens.</t>
  </si>
  <si>
    <t>006.003.005.013</t>
  </si>
  <si>
    <t>ARQU62512</t>
  </si>
  <si>
    <t>Bancada de granito polido, tipo Amêndoa, Amarelo Capri, Amarelo Dourado ou equivalente, inclusive com testeira e rodobanca, acessórios de fixação e ferragens.</t>
  </si>
  <si>
    <t>006.003.005.014</t>
  </si>
  <si>
    <t>ARQU62513</t>
  </si>
  <si>
    <t>Bancada de granito polido, tipo MARFIM, DALLAS, CARAVELAS ou equivalente, inclusive com testeira e rodobanca, acessórios de fixação e ferragens.</t>
  </si>
  <si>
    <t>006.003.005.015</t>
  </si>
  <si>
    <t>ARQU62514</t>
  </si>
  <si>
    <t>Bancada de granito polido, tipo cinza ANDORINHA, QUARTZ, CASTELO, CORUMBÁ ou equivalente, inclusive com testeira e rodobanca, acessórios de fixação e ferragens.</t>
  </si>
  <si>
    <t>006.003.005.016</t>
  </si>
  <si>
    <t>ARQU62515</t>
  </si>
  <si>
    <t>Bancada de granito polido, tipo BRANCO CEARÁ, SIENA ou equivalente, inclusive com testeira e rodobanca, acessórios de fixação e ferragens.</t>
  </si>
  <si>
    <t>006.003.005.017</t>
  </si>
  <si>
    <t>ARQ62516</t>
  </si>
  <si>
    <t>Bancada de granito polido, tipo VERDE UBATUBA ou equivalente, inclusive com testeira e rodobanca, acessórios de fixação e ferragens.</t>
  </si>
  <si>
    <t>006.003.005.018</t>
  </si>
  <si>
    <t>DIVISORIA SANITÁRIA, TIPO CABINE, EM GRANITO CINZA POLIDO, ESP = 3CM, ASSENTADO COM ARGAMASSA COLANTE AC III-E, EXCLUSIVE FERRAGENS. AF_01/2021</t>
  </si>
  <si>
    <t>006.003.005.019</t>
  </si>
  <si>
    <t>TAPA VISTA DE MICTÓRIO EM GRANITO CINZA POLIDO, ESP = 3CM, ASSENTADO COM ARGAMASSA COLANTE AC III-E . AF_01/2021</t>
  </si>
  <si>
    <t>006.003.006.001</t>
  </si>
  <si>
    <t>ARQU6261</t>
  </si>
  <si>
    <t>Emassamento com massa corrida acrílica</t>
  </si>
  <si>
    <t>006.003.006.002</t>
  </si>
  <si>
    <t>ARQU6262</t>
  </si>
  <si>
    <t>Pintura acrílica para pisos - 02 demãos</t>
  </si>
  <si>
    <t>006.003.006.003</t>
  </si>
  <si>
    <t>ARQU6263</t>
  </si>
  <si>
    <t>Pintura acrílica sem emassamento - 02 demãos - considerando limpeza e lixamento</t>
  </si>
  <si>
    <t>006.003.006.004</t>
  </si>
  <si>
    <t>ARQU6264</t>
  </si>
  <si>
    <t>Pintura esmalte sintético premium com fundo preparador para madeira e metais - 02 demãos + 1 demão de fundo nivelador - inclui limpeza e lixamento pontual</t>
  </si>
  <si>
    <t>006.003.006.005</t>
  </si>
  <si>
    <t>ARQU6265</t>
  </si>
  <si>
    <t>Pintura esmalte sintética retardante ao fogo - 02 demãos</t>
  </si>
  <si>
    <t>006.003.006.006</t>
  </si>
  <si>
    <t>ARQU6266</t>
  </si>
  <si>
    <t>Fundo oxido de ferro/zarcão para ferro - 01 demão</t>
  </si>
  <si>
    <t>006.003.006.007</t>
  </si>
  <si>
    <t>ARQU6267</t>
  </si>
  <si>
    <t>Fundo preparador de paredes à base d'água (LOC) - 01 demão</t>
  </si>
  <si>
    <t>006.003.006.008</t>
  </si>
  <si>
    <t>ARQU6268A</t>
  </si>
  <si>
    <t>Pintura acrílica refletiva para demarcação de vagas</t>
  </si>
  <si>
    <t>006.003.006.009</t>
  </si>
  <si>
    <t>ARQU6268B</t>
  </si>
  <si>
    <t>Pintura epóxi para demarcação de vagas</t>
  </si>
  <si>
    <t>006.003.006.010</t>
  </si>
  <si>
    <t>ARQU6269</t>
  </si>
  <si>
    <t>Caiação de guias de concreto</t>
  </si>
  <si>
    <t>006.003.006.011</t>
  </si>
  <si>
    <t>CT0302022CPUADT07</t>
  </si>
  <si>
    <t>Recuperação de superfície de madeira através de lixamento e verniz, exemplo acabamento dos quadros elétricos no corredor do AFP.</t>
  </si>
  <si>
    <t>006.003.006.012</t>
  </si>
  <si>
    <t>ARQU62701</t>
  </si>
  <si>
    <t>Textura rolada em parede ou teto, uma demão.</t>
  </si>
  <si>
    <t>006.003.006.013</t>
  </si>
  <si>
    <t>ARQU62702</t>
  </si>
  <si>
    <t>Verniz tipo Premium uso interno e externo, referência verniz marítimo.</t>
  </si>
  <si>
    <t>006.003.006.014</t>
  </si>
  <si>
    <t>ARQU62703</t>
  </si>
  <si>
    <t>Verniz impregnante em superfície, duas demãos.</t>
  </si>
  <si>
    <t>006.003.006.015</t>
  </si>
  <si>
    <t>ARQU62704</t>
  </si>
  <si>
    <t>Pintura de piso com uso de tinta epóxi.</t>
  </si>
  <si>
    <t>006.003.006.016</t>
  </si>
  <si>
    <t>PINTURA HIDROFUGANTE COM SILICONE, APLICAÇÃO MANUAL, 2 DEMÃOS. AF_05/2021</t>
  </si>
  <si>
    <t>006.003.007.002</t>
  </si>
  <si>
    <t>ARQU6272</t>
  </si>
  <si>
    <t>Bacia sanitária com caixa acoplada - Deca Vogue Plus Conforto</t>
  </si>
  <si>
    <t>006.003.007.003</t>
  </si>
  <si>
    <t>ARQU6273</t>
  </si>
  <si>
    <t>Bacia sanitária convencional - colorida - Ref. Deca Ravena P.9.37 - completa com assento</t>
  </si>
  <si>
    <t>006.003.007.005</t>
  </si>
  <si>
    <t>ARQU6275</t>
  </si>
  <si>
    <t>Assento sanitário poliéster - Ref. Deca AP.52.17 ou AP.521.17</t>
  </si>
  <si>
    <t>006.003.007.006</t>
  </si>
  <si>
    <t>ARQU6276</t>
  </si>
  <si>
    <t>Assento sanitário polipropileno -  Ref. Deca Izy / Ravena AP.01</t>
  </si>
  <si>
    <t>006.003.007.007</t>
  </si>
  <si>
    <t>ARQU6277</t>
  </si>
  <si>
    <t>Mictório com sifão integrado</t>
  </si>
  <si>
    <t>006.003.007.008</t>
  </si>
  <si>
    <t>ARQU6278</t>
  </si>
  <si>
    <t>Válvula de descarga para mictório - Ref. Pressmatic compact Docol ou Decamatic 2570.C</t>
  </si>
  <si>
    <t>006.003.007.009</t>
  </si>
  <si>
    <t>ARQU6279</t>
  </si>
  <si>
    <t>Válvula de descarga Hydra Duo</t>
  </si>
  <si>
    <t>006.003.007.010</t>
  </si>
  <si>
    <t>ARQU62710</t>
  </si>
  <si>
    <t>Sifão cromado para lavatório 1" x 1 ½"</t>
  </si>
  <si>
    <t>006.003.007.011</t>
  </si>
  <si>
    <t>ARQU62711</t>
  </si>
  <si>
    <t>Chuveiro Elétrico - Ref. Chuveiro Bella Ducha 220V 6800W Lorenzetti</t>
  </si>
  <si>
    <t>006.003.007.014</t>
  </si>
  <si>
    <t>ARQU62714</t>
  </si>
  <si>
    <t>Ducha higiênica - Ref. linha flex plus Deca</t>
  </si>
  <si>
    <t>006.003.007.015</t>
  </si>
  <si>
    <t>ARQU62715</t>
  </si>
  <si>
    <t>Cuba de embutir oval - Ref. L 37.17 Deca - 490X365</t>
  </si>
  <si>
    <t>006.003.007.016</t>
  </si>
  <si>
    <t>ARQU62716</t>
  </si>
  <si>
    <t>Cuba em aço inox para cozinha - Ref. Tramontina linha prime, 48x34x18</t>
  </si>
  <si>
    <t>006.003.007.017</t>
  </si>
  <si>
    <t>MN62732</t>
  </si>
  <si>
    <t>cuba de semi-encaixe Ref. Q2, linha BASIC, marca CELITE</t>
  </si>
  <si>
    <t>006.003.007.019</t>
  </si>
  <si>
    <t>ARQU62717</t>
  </si>
  <si>
    <t>Lavatório com coluna suspensa - Ref. Celite linha acesso comfort, 60x60x19cm, ref. 1310550011300</t>
  </si>
  <si>
    <t>006.003.007.020</t>
  </si>
  <si>
    <t>ARQU62730</t>
  </si>
  <si>
    <t>Torneira de mesa com acionamento automático, metálica,  bica baixa, linha Ecopress, marca Celite, Docol Pressmatic, Deca decamatic eco.</t>
  </si>
  <si>
    <t>006.003.007.021</t>
  </si>
  <si>
    <t>HIDRMN62731</t>
  </si>
  <si>
    <t>Torneira de mesa com acionamento automático acessível, metálica,  linha Ecopress, marca Celite, Docol Pressmatic, Deca decamatic eco.</t>
  </si>
  <si>
    <t>006.003.007.022</t>
  </si>
  <si>
    <t>ARQU62719</t>
  </si>
  <si>
    <t>Torneira de mesa com sensor para lavatório</t>
  </si>
  <si>
    <t>006.003.007.023</t>
  </si>
  <si>
    <t>ARQU62720</t>
  </si>
  <si>
    <t>Torneira de mesa para cozinha - Ref. linha FLEX PLUS, marca DECA</t>
  </si>
  <si>
    <t>006.003.007.024</t>
  </si>
  <si>
    <t>ARQU62721</t>
  </si>
  <si>
    <t>Torneira de parede para cozinha - Ref. Docol Gali 00800106 Cromada</t>
  </si>
  <si>
    <t>006.003.007.025</t>
  </si>
  <si>
    <t>ARQU62722</t>
  </si>
  <si>
    <t>Torneira de tanque dupla de parede 1134 Docol</t>
  </si>
  <si>
    <t>006.003.007.026</t>
  </si>
  <si>
    <t>ARQU62723</t>
  </si>
  <si>
    <t>Cabide cromado - Ref. Docol Idea</t>
  </si>
  <si>
    <t>006.003.007.027</t>
  </si>
  <si>
    <t>ARQU62724</t>
  </si>
  <si>
    <t>Dispenser para papel higiênico tipo “rolão”</t>
  </si>
  <si>
    <t>006.003.007.028</t>
  </si>
  <si>
    <t>Dispenser para papel toalha</t>
  </si>
  <si>
    <t>006.003.007.029</t>
  </si>
  <si>
    <t>ARQU62726</t>
  </si>
  <si>
    <t>Dispenser para protetor de assentos</t>
  </si>
  <si>
    <t>006.003.007.030</t>
  </si>
  <si>
    <t>ARQU62727</t>
  </si>
  <si>
    <t>Dispenser para sabonete líquido</t>
  </si>
  <si>
    <t>006.003.007.031</t>
  </si>
  <si>
    <t>CT0302022CPU18</t>
  </si>
  <si>
    <t>Instalação de tampa cega para vedação do ponto de esgoto do vaso/bacia sanitária.</t>
  </si>
  <si>
    <t>006.003.007.032</t>
  </si>
  <si>
    <t>CT0302022CPU19</t>
  </si>
  <si>
    <t>Instalação de acabamento cromado em válvula de descarga. Ref. Docol Salvagua Duo</t>
  </si>
  <si>
    <t>006.003.007.034</t>
  </si>
  <si>
    <t>ED-48160</t>
  </si>
  <si>
    <t>BARRA DE APOIO EM AÇO INOX POLIDO RETA, DN 1.1/4 (31,75MM), PARA ACESSIBILIDADE (PMR/PCR), COMPRIMENTO 80CM, INSTALADO EM PAREDE, INCLUSIVE FORNECIMENTO, INSTALAÇÃO E ACESSÓRIOS PARA FIXAÇÃO</t>
  </si>
  <si>
    <t>006.003.007.035</t>
  </si>
  <si>
    <t>ED-48163</t>
  </si>
  <si>
    <t>BARRA DE APOIO EM AÇO INOX POLIDO RETA, DN 1.1/4 (31,75MM), PARA ACESSIBILIDADE (PMR/PCR), COMPRIMENTO 40CM, INSTALADO EM PORTA/PAREDE, INCLUSIVE FORNECIMENTO, INSTALAÇÃO E ACESSÓRIOS PARA FIXAÇÃO</t>
  </si>
  <si>
    <t>006.003.007.036</t>
  </si>
  <si>
    <t>ED-48162</t>
  </si>
  <si>
    <t>BARRA DE APOIO EM AÇO INOX POLIDO RETA, DN 1.1/4 (31,75MM), PARA ACESSIBILIDADE (PMR/PCR), COMPRIMENTO 90CM, INSTALADO EM PAREDE, INCLUSIVE FORNECIMENTO, INSTALAÇÃO E ACESSÓRIOS PARA FIXAÇÃO</t>
  </si>
  <si>
    <t>006.003.007.037</t>
  </si>
  <si>
    <t>ED-48164</t>
  </si>
  <si>
    <t>BARRA DE APOIO EM AÇO INOX POLIDO RETA, DN 1.1/4 (31,75MM), PARA ACESSIBILIDADE (PMR/PCR), COMPRIMENTO 70CM, INSTALADO EM PAREDE, INCLUSIVE FORNECIMENTO, INSTALAÇÃO E ACESSÓRIOS PARA FIXAÇÃO</t>
  </si>
  <si>
    <t>006.003.008.001</t>
  </si>
  <si>
    <t>16.20.20</t>
  </si>
  <si>
    <t>ESPELHO CRISTAL, E = 4 MM, APARAFUSADO, ÁREA MENOR OU IGUAL A 1,0 M2, FORNECIMENTO E INSTALAÇÃO REF 102143</t>
  </si>
  <si>
    <t>006.003.008.002</t>
  </si>
  <si>
    <t>16.20.30</t>
  </si>
  <si>
    <t>ESPELHO CRISTAL, E = 4 MM, ADERIDO COM ADESIVO FIXA-ESPELHO E FITA DUPLA-FACE, FORNECIMENTO E INSTALAÇÃO ADP REF 102146</t>
  </si>
  <si>
    <t>006.003.008.003</t>
  </si>
  <si>
    <t>16.20.40</t>
  </si>
  <si>
    <t>ESPELHO CRISTAL, E = 4 MM, ADERIDO COM ADESIVO FIXA-ESPELHO, FORNECIMENTO E INSTALAÇÃO ADP REF 102147</t>
  </si>
  <si>
    <t>006.003.008.004</t>
  </si>
  <si>
    <t>CT0302022CPU023</t>
  </si>
  <si>
    <t>Remoção cuidadosa de espelho com raspagem da massa.</t>
  </si>
  <si>
    <t>006.003.008.005</t>
  </si>
  <si>
    <t>ARQU6281</t>
  </si>
  <si>
    <t>Espelho comum com bordas lapidadas e chanfro de 15mm - Espessura 6mm</t>
  </si>
  <si>
    <t>006.003.008.006</t>
  </si>
  <si>
    <t>ARQU6282</t>
  </si>
  <si>
    <t>Espelho cristal bisotado (10mm) - Espessura 4mm</t>
  </si>
  <si>
    <t>006.003.008.007</t>
  </si>
  <si>
    <t>ARQU6283</t>
  </si>
  <si>
    <t>Vidro incolor modelado - Espessura 6mm</t>
  </si>
  <si>
    <t>006.003.008.008</t>
  </si>
  <si>
    <t>ARQU6284</t>
  </si>
  <si>
    <t>Vidro incolor retangular - Espessura 6mm</t>
  </si>
  <si>
    <t>006.003.008.009</t>
  </si>
  <si>
    <t>ARQU6285</t>
  </si>
  <si>
    <t>Vidro cristal colorido 8mm</t>
  </si>
  <si>
    <t>006.003.008.010</t>
  </si>
  <si>
    <t>ARQU6286</t>
  </si>
  <si>
    <t>Vidro temperado extra clear - pintado - Espessura 6 mm</t>
  </si>
  <si>
    <t>006.003.008.011</t>
  </si>
  <si>
    <t>ARQU6287</t>
  </si>
  <si>
    <t>Perfuração em vidro com broca de videa até 100mm</t>
  </si>
  <si>
    <t>006.003.008.012</t>
  </si>
  <si>
    <t>ARQU6288</t>
  </si>
  <si>
    <t>Batentes de silicone para tampo de vidro ou portas</t>
  </si>
  <si>
    <t>006.003.008.014</t>
  </si>
  <si>
    <t>ARQU62810</t>
  </si>
  <si>
    <t>006.003.008.015</t>
  </si>
  <si>
    <t>ARQU62811</t>
  </si>
  <si>
    <t>Fornecimento e instalação de Película Refletiva Cor branca com 7 anos de garantia. Ref. 3M GT</t>
  </si>
  <si>
    <t>006.003.008.016</t>
  </si>
  <si>
    <t>ARQU62812</t>
  </si>
  <si>
    <t>Fornecimento e instalação de Película UV block com garantia de 5 anos</t>
  </si>
  <si>
    <t>006.003.008.017</t>
  </si>
  <si>
    <t>ARQU62813</t>
  </si>
  <si>
    <t>Fita de sinalização em película jateada - h=10cm</t>
  </si>
  <si>
    <t>006.003.008.018</t>
  </si>
  <si>
    <t>ARQU62814</t>
  </si>
  <si>
    <t>Cantoneira em alumínio anodizado ou pintada para acabamentos e proteção. 1"x1"</t>
  </si>
  <si>
    <t>006.003.008.019</t>
  </si>
  <si>
    <t>ARQU62815</t>
  </si>
  <si>
    <t>Perfil de acabamento U ou cantoneira em alumínio anodizado ou pintado 1/2"</t>
  </si>
  <si>
    <t>006.003.008.020</t>
  </si>
  <si>
    <t>ARQU62816</t>
  </si>
  <si>
    <t>Alarme para banheiro PCR</t>
  </si>
  <si>
    <t>006.003.009.001.031</t>
  </si>
  <si>
    <t>ED-31485</t>
  </si>
  <si>
    <t>SERVIÇO DE INSTALAÇÃO DE PLACA FOTOLUMINESCENTE PARA SINALIZAÇÃO DE EMERGÊNCIA</t>
  </si>
  <si>
    <t>006.003.009.001.032</t>
  </si>
  <si>
    <t>006.003.009.001.033</t>
  </si>
  <si>
    <t>006.003.009.001.034</t>
  </si>
  <si>
    <t>006.003.009.001.035</t>
  </si>
  <si>
    <t>006.003.009.001.036</t>
  </si>
  <si>
    <t>006.003.010.001</t>
  </si>
  <si>
    <t>ARQU62101</t>
  </si>
  <si>
    <t>Fornecimento de materiais, peças, insumos e componentes para arquitetura/civil.</t>
  </si>
  <si>
    <t>006.003.010.002</t>
  </si>
  <si>
    <t>ARQU62102</t>
  </si>
  <si>
    <t>Instalação de peças e insumos - equipe civil</t>
  </si>
  <si>
    <t>ANEXO II – PLANILHA DE CUSTOS E FORMAÇÃO DE PREÇOS DO LICITANTE – BDI</t>
  </si>
  <si>
    <t>BDI ESTIMATIVO</t>
  </si>
  <si>
    <r>
      <t>CPRB (%) - Contribuição Previdenciária sobre Receita Bruta (%) Lei nº 13.161 de 31/08/15.</t>
    </r>
    <r>
      <rPr>
        <b/>
        <sz val="10"/>
        <rFont val="Arial"/>
        <family val="2"/>
      </rPr>
      <t xml:space="preserve"> - não será permitido o uso da CPRB para a elaboração da proposta conforme consta no TR</t>
    </r>
    <r>
      <rPr>
        <sz val="10"/>
        <rFont val="Arial"/>
        <family val="2"/>
      </rPr>
      <t>.</t>
    </r>
  </si>
  <si>
    <t xml:space="preserve">- Os percentuais de PIS e CONFINS adotados referem-se a pessoas jurídicas sujeitas ao regime de incidência cumulativa. Eventuais ajustes devem ser feitos pelos licitantes de acordo com sua situação tributária.
</t>
  </si>
  <si>
    <t>CÁLCULOS 
ADICIONAIS</t>
  </si>
  <si>
    <t>INSERIR ADICIONAL CONFORME CCT / LEGISLAÇÃO VIGENTE</t>
  </si>
  <si>
    <t>CÁLCULOS ADICIONAIS</t>
  </si>
  <si>
    <t>Salário Base</t>
  </si>
  <si>
    <t>CUSTO UNITÁRIO DA CATEGORIA</t>
  </si>
  <si>
    <t>VALOR VALE ALIMENTAÇÃO</t>
  </si>
  <si>
    <t>VALOR MATERIAL</t>
  </si>
  <si>
    <t>VALOR VALE- TRANSPORTE</t>
  </si>
  <si>
    <t>ADC NOTURNO</t>
  </si>
  <si>
    <t>HORA EXTRA
COMUM</t>
  </si>
  <si>
    <t>HORA EXTRA 
FERIADO</t>
  </si>
  <si>
    <t>V.A</t>
  </si>
  <si>
    <t>V.T</t>
  </si>
  <si>
    <t>Função</t>
  </si>
  <si>
    <t>Carga Horária Mensal</t>
  </si>
  <si>
    <t>Remuneração Total sem Encargos</t>
  </si>
  <si>
    <t>Valor Unitário</t>
  </si>
  <si>
    <t>DIAS ÚTEIS</t>
  </si>
  <si>
    <t>DIAS NÃO ÚTEIS</t>
  </si>
  <si>
    <t>VALOR HORA</t>
  </si>
  <si>
    <t>DSR</t>
  </si>
  <si>
    <t>TOTAL DA REMUNERAÇÃO</t>
  </si>
  <si>
    <t xml:space="preserve">Encargos sociais e trabalhistas                         </t>
  </si>
  <si>
    <t>Encargos</t>
  </si>
  <si>
    <t>Total do Montante "A" ( Mão-de-Obra)</t>
  </si>
  <si>
    <t>Montante "A"</t>
  </si>
  <si>
    <t>MONTANTE "B" - INSUMOS</t>
  </si>
  <si>
    <t>Itens</t>
  </si>
  <si>
    <t>Valor Unitario</t>
  </si>
  <si>
    <t>Uniforme</t>
  </si>
  <si>
    <t>EPIs</t>
  </si>
  <si>
    <t xml:space="preserve">Seguro de vida  </t>
  </si>
  <si>
    <t>Vale-Transporte</t>
  </si>
  <si>
    <t>Vale-Alimentação</t>
  </si>
  <si>
    <t>Total do Montante "B" (Insumos)</t>
  </si>
  <si>
    <t>Montante "B"</t>
  </si>
  <si>
    <t>Montante "A" + Montante "B"</t>
  </si>
  <si>
    <t>Montante "A + B"</t>
  </si>
  <si>
    <t>MONTANTE "C" - DEMAIS COMPONENTES</t>
  </si>
  <si>
    <t>ITENS</t>
  </si>
  <si>
    <t>Percentual</t>
  </si>
  <si>
    <t>Despesas administrativas/operacionais</t>
  </si>
  <si>
    <t>Desp. Adm/Operac.</t>
  </si>
  <si>
    <t>Base de cálculo do lucro</t>
  </si>
  <si>
    <t>Base calc. Lucro</t>
  </si>
  <si>
    <t>Total do Montante "C" (Demais componentes)</t>
  </si>
  <si>
    <t>Montante "C"</t>
  </si>
  <si>
    <t>Montante "A" + Montante "B" + Montante "C"</t>
  </si>
  <si>
    <t>Montante "A + B + C"</t>
  </si>
  <si>
    <t>MONTANTE "D" - TRIBUTOS</t>
  </si>
  <si>
    <t>Outros</t>
  </si>
  <si>
    <t>Total do Montante "D" (Tributos)</t>
  </si>
  <si>
    <t>Montante "D"</t>
  </si>
  <si>
    <t>FATOR K</t>
  </si>
  <si>
    <t>Vale Transporte</t>
  </si>
  <si>
    <t>CÁLCULOS
ADICIONAIS</t>
  </si>
  <si>
    <t>HORA EXTRA
FERIADO</t>
  </si>
  <si>
    <t>Encargos sociais e trabalhistas</t>
  </si>
  <si>
    <t>Seguro de vida</t>
  </si>
  <si>
    <t xml:space="preserve">PLANILHA DE CUSTO E FORMAÇÃO DE PREÇO MENSAL ESTIMATIVO DO PROFISSIONAL SUBSTITUTO DO TITULAR EM FÉRIAS </t>
  </si>
  <si>
    <t xml:space="preserve">DESCRIÇÃO </t>
  </si>
  <si>
    <t>4.5</t>
  </si>
  <si>
    <t>Valor em R$</t>
  </si>
  <si>
    <t>Módulo 1 - Total da Remuneração</t>
  </si>
  <si>
    <t>A</t>
  </si>
  <si>
    <t>Remuneração do profissional substituto</t>
  </si>
  <si>
    <t>G</t>
  </si>
  <si>
    <t>Total do Custo MENSAL de Reposição do Profissional Ausente em Férias</t>
  </si>
  <si>
    <t>Total do Custo ANUAL de Reposição do Profissional Ausente em Férias</t>
  </si>
  <si>
    <t>Módulo 2 - Benefícios Mensais e Diários</t>
  </si>
  <si>
    <t>B</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</si>
  <si>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</si>
  <si>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</si>
  <si>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</si>
  <si>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</si>
  <si>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</si>
  <si>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</si>
  <si>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</si>
  <si>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</si>
  <si>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</si>
  <si>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</si>
  <si>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</si>
  <si>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</si>
  <si>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</si>
  <si>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</si>
  <si>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</si>
  <si>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</si>
  <si>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</si>
  <si>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</si>
  <si>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</si>
  <si>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</si>
  <si>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</si>
  <si>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</si>
  <si>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1º REAJUSTE IPCA</t>
  </si>
  <si>
    <t>2º REAJUSTE IPCA</t>
  </si>
  <si>
    <t>3º REAJUSTE IPCA</t>
  </si>
  <si>
    <t>4º REAJUSTE IPCA</t>
  </si>
  <si>
    <t>5º REAJUSTE IPCA</t>
  </si>
  <si>
    <t>Período:</t>
  </si>
  <si>
    <t xml:space="preserve">ÍNDICE </t>
  </si>
  <si>
    <t>IPCA/ IBGE</t>
  </si>
  <si>
    <t>DIAS</t>
  </si>
  <si>
    <t>Pró-rata</t>
  </si>
  <si>
    <t>VALOR ATUAL</t>
  </si>
  <si>
    <t>ÍNDICE %</t>
  </si>
  <si>
    <t>AGO</t>
  </si>
  <si>
    <t>SET</t>
  </si>
  <si>
    <t>OUT</t>
  </si>
  <si>
    <t>NOV</t>
  </si>
  <si>
    <t>DEZ</t>
  </si>
  <si>
    <t>JAN</t>
  </si>
  <si>
    <t>FEV</t>
  </si>
  <si>
    <t>MAR</t>
  </si>
  <si>
    <t>ABR</t>
  </si>
  <si>
    <t>MAI</t>
  </si>
  <si>
    <t>JUN</t>
  </si>
  <si>
    <t>JUL</t>
  </si>
  <si>
    <t>INDICE ACUMULADO</t>
  </si>
  <si>
    <t>45226</t>
  </si>
  <si>
    <t>45245</t>
  </si>
  <si>
    <t>38399</t>
  </si>
  <si>
    <t>38395</t>
  </si>
  <si>
    <t>45235</t>
  </si>
  <si>
    <t>45194</t>
  </si>
  <si>
    <t>45247</t>
  </si>
  <si>
    <t>45278</t>
  </si>
  <si>
    <t>45196</t>
  </si>
  <si>
    <t>45231</t>
  </si>
  <si>
    <t>45213</t>
  </si>
  <si>
    <t>45239</t>
  </si>
  <si>
    <t>5318</t>
  </si>
  <si>
    <t>45200</t>
  </si>
  <si>
    <t>45232</t>
  </si>
  <si>
    <r>
      <t xml:space="preserve">             PLIC = PADM * I</t>
    </r>
    <r>
      <rPr>
        <vertAlign val="subscript"/>
        <sz val="10"/>
        <color indexed="55"/>
        <rFont val="Arial"/>
        <family val="2"/>
      </rPr>
      <t>desc</t>
    </r>
  </si>
  <si>
    <t xml:space="preserve">            PLIC = preço proposto pelo Licitante</t>
  </si>
  <si>
    <t xml:space="preserve">           PADM = preço estimado pela Administração – TRF6 - para os subitens 1.3 e 1.4</t>
  </si>
  <si>
    <t>MG003645/2025</t>
  </si>
  <si>
    <t>MG004404/2025</t>
  </si>
  <si>
    <t>01/01/2026 à 31/12/2026</t>
  </si>
  <si>
    <t>01/05/2025 à 30/04/2026</t>
  </si>
  <si>
    <t>01º de maio</t>
  </si>
  <si>
    <t>01º de janeiro</t>
  </si>
  <si>
    <t>LUCRO PRESUMIDO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</si>
</sst>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R$&quot;\ * #,##0.00_-;\-&quot;R$&quot;\ * #,##0.00_-;_-&quot;R$&quot;\ * &quot;-&quot;??_-;_-@_-"/>
    <numFmt numFmtId="43" formatCode="_-* #,##0.00_-;\-* #,##0.00_-;_-* &quot;-&quot;??_-;_-@_-"/>
    <numFmt numFmtId="164" formatCode="_(&quot;R$&quot;* #,##0.00_);_(&quot;R$&quot;* \(#,##0.00\);_(&quot;R$&quot;* \-??_);_(@_)"/>
    <numFmt numFmtId="165" formatCode="_(&quot;R$ &quot;* #,##0.00_);_(&quot;R$ &quot;* \(#,##0.00\);_(&quot;R$ &quot;* \-??_);_(@_)"/>
    <numFmt numFmtId="166" formatCode="_(&quot;Cr$&quot;* #,##0.00_);_(&quot;Cr$&quot;* \(#,##0.00\);_(&quot;Cr$&quot;* \-??_);_(@_)"/>
    <numFmt numFmtId="167" formatCode="_-&quot;R$ &quot;* #,##0.00_-;&quot;-R$ &quot;* #,##0.00_-;_-&quot;R$ &quot;* \-??_-;_-@_-"/>
    <numFmt numFmtId="168" formatCode="_(* #,##0.00_);_(* \(#,##0.00\);_(* \-??_);_(@_)"/>
    <numFmt numFmtId="169" formatCode="_-* #,##0.00_-;\-* #,##0.00_-;_-* \-??_-;_-@_-"/>
    <numFmt numFmtId="170" formatCode="0.0000"/>
    <numFmt numFmtId="171" formatCode="[$R$-416]\ #,##0.00;[Red]\-[$R$-416]\ #,##0.00"/>
    <numFmt numFmtId="172" formatCode="* #,##0.00\ ;* \(#,##0.00\);* \-#\ ;@\ "/>
    <numFmt numFmtId="173" formatCode="&quot;R$ &quot;#,##0.00"/>
    <numFmt numFmtId="174" formatCode="_-* #,##0.0000_-;\-* #,##0.0000_-;_-* &quot;-&quot;????_-;_-@_-"/>
    <numFmt numFmtId="175" formatCode="0.00\ %"/>
    <numFmt numFmtId="176" formatCode="00"/>
    <numFmt numFmtId="177" formatCode="&quot;_-&quot;[$R$-416]\ * #,##0.00&quot; _-&quot;;\-[$R$-416]\ * #,##0.00&quot; _-&quot;;&quot;_-&quot;[$R$-416]\ * \-??&quot; _-&quot;;_-@_-"/>
    <numFmt numFmtId="178" formatCode="0.00000"/>
    <numFmt numFmtId="179" formatCode="#,##0.0000"/>
    <numFmt numFmtId="180" formatCode="#,##0.00000"/>
    <numFmt numFmtId="181" formatCode="0.000%"/>
    <numFmt numFmtId="182" formatCode="&quot;R$&quot;\ #,##0.00"/>
  </numFmts>
  <fonts count="187" x14ac:knownFonts="1">
    <font>
      <sz val="10"/>
      <name val="Times New Roman"/>
      <charset val="1"/>
    </font>
    <font>
      <sz val="10"/>
      <name val="Times New Roman"/>
      <family val="1"/>
      <charset val="1"/>
    </font>
    <font>
      <sz val="10"/>
      <name val="Arial"/>
      <family val="2"/>
      <charset val="1"/>
    </font>
    <font>
      <sz val="11"/>
      <name val="Calibri"/>
      <family val="2"/>
      <charset val="1"/>
    </font>
    <font>
      <sz val="9"/>
      <name val="Calibri"/>
      <family val="2"/>
      <charset val="1"/>
    </font>
    <font>
      <sz val="10"/>
      <name val="Calibri"/>
      <family val="2"/>
      <charset val="1"/>
    </font>
    <font>
      <b/>
      <sz val="18"/>
      <name val="Calibri"/>
      <family val="2"/>
      <charset val="1"/>
    </font>
    <font>
      <sz val="12"/>
      <name val="Calibri"/>
      <family val="2"/>
      <charset val="1"/>
    </font>
    <font>
      <b/>
      <sz val="16"/>
      <name val="Calibri"/>
      <family val="2"/>
      <charset val="1"/>
    </font>
    <font>
      <b/>
      <sz val="11"/>
      <name val="Calibri"/>
      <family val="2"/>
      <charset val="1"/>
    </font>
    <font>
      <b/>
      <sz val="10"/>
      <name val="Calibri"/>
      <family val="2"/>
      <charset val="1"/>
    </font>
    <font>
      <b/>
      <i/>
      <u/>
      <sz val="11"/>
      <name val="Calibri"/>
      <family val="2"/>
      <charset val="1"/>
    </font>
    <font>
      <b/>
      <sz val="14"/>
      <name val="Calibri"/>
      <family val="2"/>
      <charset val="1"/>
    </font>
    <font>
      <sz val="14"/>
      <name val="Times New Roman"/>
      <family val="1"/>
      <charset val="1"/>
    </font>
    <font>
      <sz val="11"/>
      <name val="Times New Roman"/>
      <family val="1"/>
      <charset val="1"/>
    </font>
    <font>
      <b/>
      <u/>
      <sz val="11"/>
      <name val="Calibri"/>
      <family val="2"/>
      <charset val="1"/>
    </font>
    <font>
      <b/>
      <sz val="10"/>
      <name val="Times New Roman"/>
      <family val="1"/>
      <charset val="1"/>
    </font>
    <font>
      <b/>
      <sz val="11"/>
      <color indexed="29"/>
      <name val="Calibri"/>
      <family val="2"/>
      <charset val="1"/>
    </font>
    <font>
      <sz val="11"/>
      <name val="Arial"/>
      <family val="2"/>
      <charset val="1"/>
    </font>
    <font>
      <b/>
      <sz val="13"/>
      <name val="Calibri"/>
      <family val="2"/>
      <charset val="1"/>
    </font>
    <font>
      <b/>
      <i/>
      <sz val="14"/>
      <name val="Calibri"/>
      <family val="2"/>
      <charset val="1"/>
    </font>
    <font>
      <b/>
      <sz val="12.5"/>
      <name val="Calibri"/>
      <family val="2"/>
      <charset val="1"/>
    </font>
    <font>
      <b/>
      <sz val="8"/>
      <name val="Calibri"/>
      <family val="2"/>
      <charset val="1"/>
    </font>
    <font>
      <sz val="8"/>
      <name val="Calibri"/>
      <family val="2"/>
      <charset val="1"/>
    </font>
    <font>
      <b/>
      <sz val="9"/>
      <name val="Calibri"/>
      <family val="2"/>
      <charset val="1"/>
    </font>
    <font>
      <b/>
      <sz val="12"/>
      <name val="Calibri"/>
      <family val="2"/>
      <charset val="1"/>
    </font>
    <font>
      <sz val="12"/>
      <name val="Times New Roman"/>
      <family val="1"/>
      <charset val="1"/>
    </font>
    <font>
      <sz val="11"/>
      <name val="Calibri"/>
      <family val="2"/>
    </font>
    <font>
      <b/>
      <sz val="11"/>
      <name val="Arial"/>
      <family val="2"/>
      <charset val="1"/>
    </font>
    <font>
      <sz val="9"/>
      <name val="Times New Roman"/>
      <family val="1"/>
      <charset val="1"/>
    </font>
    <font>
      <b/>
      <sz val="12"/>
      <name val="Times New Roman"/>
      <family val="1"/>
      <charset val="1"/>
    </font>
    <font>
      <b/>
      <sz val="13"/>
      <name val="Times New Roman"/>
      <family val="1"/>
      <charset val="1"/>
    </font>
    <font>
      <b/>
      <sz val="11"/>
      <color indexed="55"/>
      <name val="Calibri"/>
      <family val="2"/>
    </font>
    <font>
      <b/>
      <sz val="10"/>
      <color indexed="55"/>
      <name val="Aptos"/>
      <family val="2"/>
    </font>
    <font>
      <sz val="10"/>
      <color indexed="55"/>
      <name val="Aptos"/>
      <family val="2"/>
    </font>
    <font>
      <sz val="11"/>
      <name val="Arial Narrow"/>
      <family val="2"/>
      <charset val="1"/>
    </font>
    <font>
      <sz val="13"/>
      <name val="Calibri"/>
      <family val="2"/>
      <charset val="1"/>
    </font>
    <font>
      <sz val="9"/>
      <name val="Arial"/>
      <family val="2"/>
      <charset val="1"/>
    </font>
    <font>
      <b/>
      <sz val="10"/>
      <name val="Arial"/>
      <family val="2"/>
      <charset val="1"/>
    </font>
    <font>
      <b/>
      <sz val="9"/>
      <name val="Arial"/>
      <family val="2"/>
      <charset val="1"/>
    </font>
    <font>
      <b/>
      <sz val="13"/>
      <name val="Arial"/>
      <family val="2"/>
      <charset val="1"/>
    </font>
    <font>
      <b/>
      <sz val="12"/>
      <name val="Arial"/>
      <family val="2"/>
      <charset val="1"/>
    </font>
    <font>
      <b/>
      <sz val="8"/>
      <name val="Arial"/>
      <family val="2"/>
      <charset val="1"/>
    </font>
    <font>
      <sz val="8"/>
      <name val="Arial"/>
      <family val="2"/>
      <charset val="1"/>
    </font>
    <font>
      <sz val="10"/>
      <name val="Times New Roman"/>
      <family val="1"/>
    </font>
    <font>
      <sz val="10"/>
      <name val="Calibri"/>
      <family val="2"/>
    </font>
    <font>
      <b/>
      <sz val="10"/>
      <name val="Calibri"/>
      <family val="2"/>
    </font>
    <font>
      <sz val="10"/>
      <name val="Times New Roman"/>
      <family val="1"/>
    </font>
    <font>
      <b/>
      <sz val="11"/>
      <name val="Calibri"/>
      <family val="2"/>
    </font>
    <font>
      <sz val="10"/>
      <name val="Arial"/>
      <family val="2"/>
    </font>
    <font>
      <sz val="8"/>
      <name val="Times New Roman"/>
      <family val="1"/>
    </font>
    <font>
      <b/>
      <sz val="14"/>
      <name val="Calibri"/>
      <family val="2"/>
    </font>
    <font>
      <sz val="11"/>
      <color indexed="55"/>
      <name val="Calibri"/>
      <family val="2"/>
    </font>
    <font>
      <b/>
      <sz val="12"/>
      <name val="Calibri"/>
      <family val="2"/>
    </font>
    <font>
      <b/>
      <sz val="14"/>
      <name val="Arial"/>
      <family val="2"/>
      <charset val="1"/>
    </font>
    <font>
      <b/>
      <sz val="8"/>
      <name val="Arial"/>
      <family val="2"/>
    </font>
    <font>
      <b/>
      <sz val="10"/>
      <name val="Arial"/>
      <family val="2"/>
    </font>
    <font>
      <b/>
      <sz val="11"/>
      <name val="Arial"/>
      <family val="2"/>
    </font>
    <font>
      <b/>
      <sz val="12"/>
      <name val="Arial"/>
      <family val="2"/>
    </font>
    <font>
      <u/>
      <sz val="10"/>
      <name val="Arial"/>
      <family val="2"/>
    </font>
    <font>
      <sz val="10"/>
      <name val="Segoe UI"/>
      <family val="2"/>
    </font>
    <font>
      <sz val="12"/>
      <name val="Arial"/>
      <family val="2"/>
      <charset val="1"/>
    </font>
    <font>
      <b/>
      <sz val="9"/>
      <name val="Calibri"/>
      <family val="2"/>
    </font>
    <font>
      <b/>
      <u/>
      <sz val="10"/>
      <name val="Calibri"/>
      <family val="2"/>
    </font>
    <font>
      <sz val="10"/>
      <color indexed="45"/>
      <name val="Times New Roman"/>
      <family val="1"/>
    </font>
    <font>
      <b/>
      <sz val="10"/>
      <color indexed="55"/>
      <name val="Arial"/>
      <family val="2"/>
    </font>
    <font>
      <b/>
      <sz val="11"/>
      <color indexed="44"/>
      <name val="Arial"/>
      <family val="2"/>
    </font>
    <font>
      <b/>
      <vertAlign val="subscript"/>
      <sz val="10"/>
      <color indexed="55"/>
      <name val="Arial"/>
      <family val="2"/>
    </font>
    <font>
      <sz val="9"/>
      <name val="Calibri"/>
      <family val="2"/>
    </font>
    <font>
      <sz val="10"/>
      <color indexed="55"/>
      <name val="Arial"/>
      <family val="2"/>
    </font>
    <font>
      <b/>
      <sz val="8"/>
      <name val="Calibri"/>
      <family val="2"/>
    </font>
    <font>
      <b/>
      <sz val="9"/>
      <name val="Arial"/>
      <family val="2"/>
    </font>
    <font>
      <b/>
      <sz val="9"/>
      <color indexed="55"/>
      <name val="Arial"/>
      <family val="2"/>
    </font>
    <font>
      <sz val="9"/>
      <color indexed="55"/>
      <name val="Arial"/>
      <family val="2"/>
    </font>
    <font>
      <vertAlign val="subscript"/>
      <sz val="10"/>
      <color indexed="55"/>
      <name val="Arial"/>
      <family val="2"/>
    </font>
    <font>
      <b/>
      <sz val="9"/>
      <color indexed="81"/>
      <name val="Segoe UI"/>
      <family val="2"/>
    </font>
    <font>
      <sz val="9"/>
      <color indexed="81"/>
      <name val="Segoe UI"/>
      <family val="2"/>
    </font>
    <font>
      <b/>
      <sz val="12"/>
      <name val="Times New Roman"/>
      <family val="1"/>
    </font>
    <font>
      <b/>
      <sz val="10"/>
      <name val="Times New Roman"/>
      <family val="1"/>
    </font>
    <font>
      <b/>
      <sz val="11"/>
      <color indexed="45"/>
      <name val="Arial"/>
      <family val="2"/>
    </font>
    <font>
      <b/>
      <sz val="11"/>
      <color indexed="45"/>
      <name val="Arial"/>
      <family val="2"/>
    </font>
    <font>
      <sz val="11"/>
      <color theme="1"/>
      <name val="Arial"/>
      <family val="2"/>
      <scheme val="minor"/>
    </font>
    <font>
      <sz val="11"/>
      <color rgb="FF000000"/>
      <name val="Calibri"/>
      <family val="2"/>
      <charset val="1"/>
    </font>
    <font>
      <sz val="10"/>
      <color theme="1"/>
      <name val="Arial"/>
      <family val="2"/>
      <charset val="1"/>
    </font>
    <font>
      <sz val="11"/>
      <color rgb="FFC00000"/>
      <name val="Calibri"/>
      <family val="2"/>
      <charset val="1"/>
    </font>
    <font>
      <sz val="11"/>
      <color rgb="FF000000"/>
      <name val="Arial"/>
      <family val="2"/>
      <charset val="1"/>
    </font>
    <font>
      <b/>
      <sz val="15"/>
      <color rgb="FF3366FF"/>
      <name val="Calibri"/>
      <family val="2"/>
      <charset val="1"/>
    </font>
    <font>
      <b/>
      <sz val="15"/>
      <color rgb="FF10243E"/>
      <name val="Calibri"/>
      <family val="2"/>
      <charset val="1"/>
    </font>
    <font>
      <b/>
      <sz val="11"/>
      <color theme="1"/>
      <name val="Arial"/>
      <family val="2"/>
      <scheme val="minor"/>
    </font>
    <font>
      <sz val="11"/>
      <color rgb="FF333333"/>
      <name val="Calibri"/>
      <family val="2"/>
      <charset val="1"/>
    </font>
    <font>
      <sz val="10"/>
      <color rgb="FFFF0000"/>
      <name val="Calibri"/>
      <family val="2"/>
      <charset val="1"/>
    </font>
    <font>
      <sz val="11"/>
      <color rgb="FF808080"/>
      <name val="Calibri"/>
      <family val="2"/>
      <charset val="1"/>
    </font>
    <font>
      <b/>
      <sz val="11"/>
      <color rgb="FFCC0000"/>
      <name val="Calibri"/>
      <family val="2"/>
      <charset val="1"/>
    </font>
    <font>
      <b/>
      <sz val="10"/>
      <color rgb="FFCC0000"/>
      <name val="Times New Roman"/>
      <family val="1"/>
      <charset val="1"/>
    </font>
    <font>
      <b/>
      <sz val="9"/>
      <color rgb="FF000000"/>
      <name val="Calibri"/>
      <family val="2"/>
      <charset val="1"/>
    </font>
    <font>
      <sz val="9.5"/>
      <color rgb="FF000000"/>
      <name val="Times New Roman"/>
      <family val="1"/>
    </font>
    <font>
      <b/>
      <sz val="10"/>
      <color rgb="FF000000"/>
      <name val="Calibri"/>
      <family val="2"/>
      <charset val="1"/>
    </font>
    <font>
      <sz val="10"/>
      <color rgb="FF000000"/>
      <name val="Calibri"/>
      <family val="2"/>
      <charset val="1"/>
    </font>
    <font>
      <b/>
      <sz val="10"/>
      <color rgb="FFCC0000"/>
      <name val="Calibri"/>
      <family val="2"/>
      <charset val="1"/>
    </font>
    <font>
      <sz val="10"/>
      <color rgb="FFCC0000"/>
      <name val="Calibri"/>
      <family val="2"/>
      <charset val="1"/>
    </font>
    <font>
      <sz val="10"/>
      <color rgb="FFFFFFFF"/>
      <name val="Calibri"/>
      <family val="2"/>
      <charset val="1"/>
    </font>
    <font>
      <b/>
      <sz val="9"/>
      <color rgb="FFCC0000"/>
      <name val="Calibri"/>
      <family val="2"/>
      <charset val="1"/>
    </font>
    <font>
      <b/>
      <sz val="10"/>
      <color rgb="FF000000"/>
      <name val="Aptos"/>
      <family val="2"/>
    </font>
    <font>
      <sz val="10"/>
      <color rgb="FF000000"/>
      <name val="Aptos"/>
      <family val="2"/>
    </font>
    <font>
      <sz val="10"/>
      <color rgb="FF7F7F7F"/>
      <name val="Aptos"/>
      <family val="2"/>
    </font>
    <font>
      <b/>
      <sz val="8"/>
      <color rgb="FFFF0000"/>
      <name val="Arial"/>
      <family val="2"/>
      <charset val="1"/>
    </font>
    <font>
      <b/>
      <sz val="10"/>
      <color theme="1"/>
      <name val="Arial"/>
      <family val="2"/>
      <charset val="1"/>
    </font>
    <font>
      <b/>
      <sz val="11"/>
      <color theme="1"/>
      <name val="Arial"/>
      <family val="2"/>
      <charset val="1"/>
    </font>
    <font>
      <b/>
      <sz val="11"/>
      <color rgb="FF000000"/>
      <name val="Calibri"/>
      <family val="2"/>
      <charset val="1"/>
    </font>
    <font>
      <b/>
      <sz val="12"/>
      <color rgb="FF000000"/>
      <name val="Calibri"/>
      <family val="2"/>
      <charset val="1"/>
    </font>
    <font>
      <b/>
      <sz val="12"/>
      <color rgb="FF000000"/>
      <name val="Calibri"/>
      <family val="2"/>
    </font>
    <font>
      <b/>
      <sz val="8"/>
      <color rgb="FF7F7F7F"/>
      <name val="Calibri"/>
      <family val="2"/>
      <charset val="1"/>
    </font>
    <font>
      <sz val="11"/>
      <color theme="1"/>
      <name val="Calibri"/>
      <family val="2"/>
    </font>
    <font>
      <b/>
      <sz val="11"/>
      <color theme="1"/>
      <name val="Calibri"/>
      <family val="2"/>
    </font>
    <font>
      <sz val="11"/>
      <color rgb="FFFF0000"/>
      <name val="Arial"/>
      <family val="2"/>
      <charset val="1"/>
    </font>
    <font>
      <sz val="10"/>
      <color rgb="FFFF0000"/>
      <name val="Calibri"/>
      <family val="2"/>
    </font>
    <font>
      <b/>
      <sz val="11"/>
      <color rgb="FFFF0000"/>
      <name val="Calibri"/>
      <family val="2"/>
    </font>
    <font>
      <b/>
      <sz val="11"/>
      <color rgb="FF000000"/>
      <name val="Times New Roman"/>
      <family val="1"/>
    </font>
    <font>
      <sz val="10"/>
      <color theme="0" tint="-0.249977111117893"/>
      <name val="Times New Roman"/>
      <family val="1"/>
    </font>
    <font>
      <sz val="12"/>
      <color rgb="FF000000"/>
      <name val="Times New Roman"/>
      <family val="1"/>
    </font>
    <font>
      <sz val="11"/>
      <name val="Arial"/>
      <family val="2"/>
      <scheme val="minor"/>
    </font>
    <font>
      <b/>
      <sz val="12"/>
      <color rgb="FFFF0000"/>
      <name val="Calibri"/>
      <family val="2"/>
    </font>
    <font>
      <b/>
      <sz val="11"/>
      <color rgb="FFFFFFFF"/>
      <name val="Calibri"/>
      <family val="2"/>
      <charset val="1"/>
    </font>
    <font>
      <b/>
      <sz val="20"/>
      <color rgb="FF000000"/>
      <name val="Arial"/>
      <family val="2"/>
      <scheme val="major"/>
    </font>
    <font>
      <b/>
      <sz val="13"/>
      <name val="Arial"/>
      <family val="2"/>
      <scheme val="major"/>
    </font>
    <font>
      <sz val="11"/>
      <name val="Arial"/>
      <family val="2"/>
      <scheme val="major"/>
    </font>
    <font>
      <sz val="12"/>
      <color rgb="FF000000"/>
      <name val="Arial"/>
      <family val="2"/>
      <scheme val="major"/>
    </font>
    <font>
      <sz val="6"/>
      <color rgb="FF000000"/>
      <name val="Arial"/>
      <family val="2"/>
      <scheme val="major"/>
    </font>
    <font>
      <sz val="10"/>
      <name val="Arial"/>
      <family val="2"/>
      <scheme val="major"/>
    </font>
    <font>
      <b/>
      <sz val="10"/>
      <color rgb="FF000000"/>
      <name val="Arial"/>
      <family val="2"/>
      <scheme val="major"/>
    </font>
    <font>
      <b/>
      <sz val="10"/>
      <name val="Arial"/>
      <family val="2"/>
      <scheme val="major"/>
    </font>
    <font>
      <b/>
      <sz val="12"/>
      <color rgb="FF000000"/>
      <name val="Arial"/>
      <family val="2"/>
      <scheme val="major"/>
    </font>
    <font>
      <b/>
      <sz val="11"/>
      <color rgb="FF000000"/>
      <name val="Arial"/>
      <family val="2"/>
      <scheme val="major"/>
    </font>
    <font>
      <sz val="10"/>
      <color theme="0"/>
      <name val="Arial"/>
      <family val="2"/>
      <scheme val="major"/>
    </font>
    <font>
      <sz val="6"/>
      <color theme="0"/>
      <name val="Arial"/>
      <family val="2"/>
      <scheme val="major"/>
    </font>
    <font>
      <b/>
      <sz val="8"/>
      <color theme="0"/>
      <name val="Arial"/>
      <family val="2"/>
      <scheme val="major"/>
    </font>
    <font>
      <sz val="10"/>
      <color rgb="FF000000"/>
      <name val="Arial"/>
      <family val="2"/>
      <scheme val="major"/>
    </font>
    <font>
      <sz val="10"/>
      <color rgb="FF000000"/>
      <name val="Arial"/>
      <family val="2"/>
    </font>
    <font>
      <b/>
      <sz val="20"/>
      <color rgb="FF000000"/>
      <name val="Calibri"/>
      <family val="2"/>
    </font>
    <font>
      <sz val="8"/>
      <color rgb="FF000000"/>
      <name val="Arial"/>
      <family val="2"/>
    </font>
    <font>
      <b/>
      <sz val="10"/>
      <color rgb="FF000000"/>
      <name val="Calibri"/>
      <family val="2"/>
    </font>
    <font>
      <sz val="6"/>
      <color rgb="FF000000"/>
      <name val="Arial"/>
      <family val="2"/>
    </font>
    <font>
      <sz val="10"/>
      <color rgb="FF000000"/>
      <name val="Calibri"/>
      <family val="2"/>
    </font>
    <font>
      <b/>
      <u/>
      <sz val="10"/>
      <color rgb="FF000000"/>
      <name val="Calibri"/>
      <family val="2"/>
    </font>
    <font>
      <sz val="11"/>
      <color rgb="FFFF0000"/>
      <name val="Calibri"/>
      <family val="2"/>
      <charset val="1"/>
    </font>
    <font>
      <sz val="7.5"/>
      <color rgb="FF000000"/>
      <name val="Arial"/>
      <family val="2"/>
    </font>
    <font>
      <sz val="8"/>
      <color rgb="FF7F7F7F"/>
      <name val="Arial"/>
      <family val="2"/>
    </font>
    <font>
      <b/>
      <sz val="8"/>
      <color rgb="FF000000"/>
      <name val="Arial"/>
      <family val="2"/>
    </font>
    <font>
      <b/>
      <sz val="10"/>
      <color rgb="FF000000"/>
      <name val="Arial"/>
      <family val="2"/>
    </font>
    <font>
      <b/>
      <sz val="7.5"/>
      <color rgb="FF000000"/>
      <name val="Arial"/>
      <family val="2"/>
    </font>
    <font>
      <sz val="7.5"/>
      <color rgb="FF000000"/>
      <name val="Arial"/>
      <family val="2"/>
      <charset val="1"/>
    </font>
    <font>
      <b/>
      <sz val="10"/>
      <color rgb="FF000000"/>
      <name val="Arial"/>
      <family val="2"/>
      <charset val="1"/>
    </font>
    <font>
      <sz val="7.5"/>
      <color rgb="FF7F7F7F"/>
      <name val="Arial"/>
      <family val="2"/>
    </font>
    <font>
      <sz val="9"/>
      <color rgb="FF000000"/>
      <name val="Calibri"/>
      <family val="2"/>
      <charset val="1"/>
    </font>
    <font>
      <sz val="8"/>
      <color rgb="FF000000"/>
      <name val="Calibri"/>
      <family val="2"/>
      <charset val="1"/>
    </font>
    <font>
      <b/>
      <sz val="11"/>
      <color rgb="FF000000"/>
      <name val="Calibri"/>
      <family val="2"/>
    </font>
    <font>
      <sz val="8"/>
      <color theme="1"/>
      <name val="Arial"/>
      <family val="2"/>
      <charset val="1"/>
    </font>
    <font>
      <sz val="11"/>
      <color rgb="FF000000"/>
      <name val="Calibri"/>
      <family val="2"/>
    </font>
    <font>
      <sz val="11"/>
      <color rgb="FFFF0000"/>
      <name val="Times New Roman"/>
      <family val="1"/>
      <charset val="1"/>
    </font>
    <font>
      <b/>
      <sz val="8"/>
      <color theme="1"/>
      <name val="Calibri"/>
      <family val="2"/>
    </font>
    <font>
      <sz val="8"/>
      <color rgb="FFFF0000"/>
      <name val="Calibri"/>
      <family val="2"/>
    </font>
    <font>
      <sz val="12"/>
      <color rgb="FFFF0000"/>
      <name val="Calibri"/>
      <family val="2"/>
    </font>
    <font>
      <b/>
      <sz val="12"/>
      <color rgb="FF000000"/>
      <name val="Arial"/>
      <family val="2"/>
      <scheme val="minor"/>
    </font>
    <font>
      <sz val="9"/>
      <color rgb="FF333333"/>
      <name val="Calibri"/>
      <family val="2"/>
      <charset val="1"/>
    </font>
    <font>
      <b/>
      <sz val="12"/>
      <color rgb="FF333333"/>
      <name val="Calibri"/>
      <family val="2"/>
      <charset val="1"/>
    </font>
    <font>
      <sz val="11"/>
      <color rgb="FFFF0000"/>
      <name val="Calibri"/>
      <family val="2"/>
    </font>
    <font>
      <sz val="10"/>
      <color theme="1"/>
      <name val="Arial"/>
      <family val="2"/>
    </font>
    <font>
      <sz val="10"/>
      <color rgb="FF000000"/>
      <name val="Arial"/>
      <family val="2"/>
      <charset val="1"/>
    </font>
    <font>
      <sz val="9"/>
      <color rgb="FF000000"/>
      <name val="Calibri"/>
      <family val="2"/>
    </font>
    <font>
      <b/>
      <sz val="10"/>
      <color rgb="FFFFFFFF"/>
      <name val="Calibri"/>
      <family val="2"/>
      <charset val="1"/>
    </font>
    <font>
      <b/>
      <sz val="10"/>
      <color rgb="FFFF0000"/>
      <name val="Calibri"/>
      <family val="2"/>
      <charset val="1"/>
    </font>
    <font>
      <b/>
      <sz val="16"/>
      <color rgb="FFFF0000"/>
      <name val="Calibri"/>
      <family val="2"/>
    </font>
    <font>
      <b/>
      <sz val="12"/>
      <color theme="1"/>
      <name val="Arial"/>
      <family val="2"/>
      <charset val="1"/>
    </font>
    <font>
      <sz val="10"/>
      <color rgb="FF000000"/>
      <name val="Times New Roman"/>
      <family val="1"/>
    </font>
    <font>
      <b/>
      <sz val="16"/>
      <color rgb="FFFF0000"/>
      <name val="Calibri"/>
      <family val="2"/>
      <charset val="1"/>
    </font>
    <font>
      <b/>
      <sz val="14"/>
      <color rgb="FF000000"/>
      <name val="Calibri"/>
      <family val="2"/>
      <charset val="1"/>
    </font>
    <font>
      <sz val="7.5"/>
      <color rgb="FFFF0000"/>
      <name val="Arial"/>
      <family val="2"/>
    </font>
    <font>
      <b/>
      <sz val="12"/>
      <color rgb="FF000000"/>
      <name val="Arial"/>
      <family val="2"/>
    </font>
    <font>
      <b/>
      <sz val="14"/>
      <color rgb="FF000000"/>
      <name val="Arial"/>
      <family val="2"/>
      <scheme val="major"/>
    </font>
    <font>
      <sz val="8"/>
      <color rgb="FF000000"/>
      <name val="Arial"/>
      <family val="2"/>
      <scheme val="major"/>
    </font>
    <font>
      <b/>
      <sz val="11"/>
      <color theme="0"/>
      <name val="Arial"/>
      <family val="2"/>
      <scheme val="major"/>
    </font>
    <font>
      <sz val="10"/>
      <color theme="5" tint="-0.249977111117893"/>
      <name val="Arial"/>
      <family val="2"/>
    </font>
    <font>
      <b/>
      <sz val="10"/>
      <color theme="0"/>
      <name val="Arial"/>
      <family val="2"/>
      <scheme val="major"/>
    </font>
    <font>
      <b/>
      <sz val="14"/>
      <color rgb="FF000000"/>
      <name val="Calibri"/>
      <family val="2"/>
    </font>
    <font>
      <b/>
      <sz val="8"/>
      <color rgb="FF000000"/>
      <name val="Calibri"/>
      <family val="2"/>
    </font>
    <font>
      <b/>
      <sz val="12"/>
      <color rgb="FF000000"/>
      <name val="Arial"/>
      <family val="2"/>
      <charset val="1"/>
    </font>
    <font>
      <b/>
      <sz val="10"/>
      <color rgb="FFFFFFFF"/>
      <name val="Times New Roman"/>
      <family val="1"/>
      <charset val="1"/>
    </font>
  </fonts>
  <fills count="65">
    <fill>
      <patternFill patternType="none"/>
    </fill>
    <fill>
      <patternFill patternType="gray125"/>
    </fill>
    <fill>
      <patternFill patternType="solid">
        <fgColor rgb="FFDCE6F2"/>
        <bgColor rgb="FFDAE3F3"/>
      </patternFill>
    </fill>
    <fill>
      <patternFill patternType="solid">
        <fgColor rgb="FFFFFF99"/>
        <bgColor rgb="FFFFFFA6"/>
      </patternFill>
    </fill>
    <fill>
      <patternFill patternType="solid">
        <fgColor rgb="FFF2DCDB"/>
        <bgColor rgb="FFDDDDDD"/>
      </patternFill>
    </fill>
    <fill>
      <patternFill patternType="solid">
        <fgColor rgb="FF606060"/>
        <bgColor rgb="FF7F7F7F"/>
      </patternFill>
    </fill>
    <fill>
      <patternFill patternType="solid">
        <fgColor rgb="FFFFFFFF"/>
        <bgColor rgb="FFF2F2F2"/>
      </patternFill>
    </fill>
    <fill>
      <patternFill patternType="solid">
        <fgColor rgb="FFD9D9D9"/>
        <bgColor rgb="FFDDDDDD"/>
      </patternFill>
    </fill>
    <fill>
      <patternFill patternType="solid">
        <fgColor rgb="FFDDDDDD"/>
        <bgColor rgb="FFD9D9D9"/>
      </patternFill>
    </fill>
    <fill>
      <patternFill patternType="solid">
        <fgColor rgb="FFF2F2F2"/>
        <bgColor rgb="FFEEEEEE"/>
      </patternFill>
    </fill>
    <fill>
      <patternFill patternType="solid">
        <fgColor rgb="FFB4C7E7"/>
        <bgColor rgb="FFB4C7DC"/>
      </patternFill>
    </fill>
    <fill>
      <patternFill patternType="solid">
        <fgColor rgb="FF10243E"/>
        <bgColor rgb="FF333333"/>
      </patternFill>
    </fill>
    <fill>
      <patternFill patternType="solid">
        <fgColor rgb="FFDAE3F3"/>
        <bgColor rgb="FFDCE6F2"/>
      </patternFill>
    </fill>
    <fill>
      <patternFill patternType="solid">
        <fgColor rgb="FFD3D3D3"/>
        <bgColor rgb="FFD9D9D9"/>
      </patternFill>
    </fill>
    <fill>
      <patternFill patternType="solid">
        <fgColor rgb="FFC0C0C0"/>
        <bgColor rgb="FFB4C7DC"/>
      </patternFill>
    </fill>
    <fill>
      <patternFill patternType="solid">
        <fgColor rgb="FFFFFF99"/>
        <bgColor rgb="FFFFFFCC"/>
      </patternFill>
    </fill>
    <fill>
      <patternFill patternType="darkTrellis">
        <bgColor theme="0" tint="-0.34998626667073579"/>
      </patternFill>
    </fill>
    <fill>
      <patternFill patternType="solid">
        <fgColor theme="0"/>
        <bgColor indexed="64"/>
      </patternFill>
    </fill>
    <fill>
      <patternFill patternType="solid">
        <fgColor rgb="FFDDDDDD"/>
        <bgColor rgb="FFF7D1D5"/>
      </patternFill>
    </fill>
    <fill>
      <patternFill patternType="solid">
        <fgColor rgb="FFE2EFDA"/>
        <bgColor rgb="FFE2F0D9"/>
      </patternFill>
    </fill>
    <fill>
      <patternFill patternType="solid">
        <fgColor rgb="FFBFBFBF"/>
        <bgColor rgb="FFC0C0C0"/>
      </patternFill>
    </fill>
    <fill>
      <patternFill patternType="solid">
        <fgColor rgb="FFFF9900"/>
        <bgColor rgb="FFF4B183"/>
      </patternFill>
    </fill>
    <fill>
      <patternFill patternType="solid">
        <fgColor theme="0" tint="-4.9989318521683403E-2"/>
        <bgColor indexed="64"/>
      </patternFill>
    </fill>
    <fill>
      <patternFill patternType="solid">
        <fgColor theme="0" tint="-4.9989318521683403E-2"/>
        <bgColor rgb="FFFFCCCC"/>
      </patternFill>
    </fill>
    <fill>
      <patternFill patternType="solid">
        <fgColor theme="8"/>
        <bgColor indexed="64"/>
      </patternFill>
    </fill>
    <fill>
      <patternFill patternType="solid">
        <fgColor theme="0" tint="-0.14999847407452621"/>
        <bgColor rgb="FFFFCCCC"/>
      </patternFill>
    </fill>
    <fill>
      <patternFill patternType="solid">
        <fgColor rgb="FFFFCCCC"/>
        <bgColor indexed="64"/>
      </patternFill>
    </fill>
    <fill>
      <patternFill patternType="solid">
        <fgColor rgb="FFAFEEEE"/>
        <bgColor rgb="FFDAE3F3"/>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9389629810485"/>
        <bgColor rgb="FFDEE6EF"/>
      </patternFill>
    </fill>
    <fill>
      <patternFill patternType="solid">
        <fgColor rgb="FFDCE6F2"/>
        <bgColor rgb="FFDEE6EF"/>
      </patternFill>
    </fill>
    <fill>
      <patternFill patternType="solid">
        <fgColor rgb="FFFDE65F"/>
        <bgColor indexed="64"/>
      </patternFill>
    </fill>
    <fill>
      <patternFill patternType="solid">
        <fgColor rgb="FF87CEEB"/>
        <bgColor rgb="FF95B3D7"/>
      </patternFill>
    </fill>
    <fill>
      <patternFill patternType="solid">
        <fgColor theme="7" tint="0.59999389629810485"/>
        <bgColor rgb="FFF2F2F2"/>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808080"/>
        <bgColor rgb="FF7F7F7F"/>
      </patternFill>
    </fill>
    <fill>
      <patternFill patternType="solid">
        <fgColor rgb="FFFFFF99"/>
        <bgColor rgb="FFDDDDDD"/>
      </patternFill>
    </fill>
    <fill>
      <patternFill patternType="solid">
        <fgColor theme="4"/>
        <bgColor indexed="64"/>
      </patternFill>
    </fill>
    <fill>
      <patternFill patternType="solid">
        <fgColor rgb="FFE2EFD9"/>
        <bgColor rgb="FFE2EFDA"/>
      </patternFill>
    </fill>
    <fill>
      <patternFill patternType="solid">
        <fgColor rgb="FFA9D18E"/>
        <bgColor rgb="FFAFD095"/>
      </patternFill>
    </fill>
    <fill>
      <patternFill patternType="solid">
        <fgColor rgb="FFFF9900"/>
        <bgColor indexed="64"/>
      </patternFill>
    </fill>
    <fill>
      <patternFill patternType="solid">
        <fgColor rgb="FFFFFF99"/>
        <bgColor indexed="64"/>
      </patternFill>
    </fill>
    <fill>
      <patternFill patternType="solid">
        <fgColor theme="0"/>
        <bgColor rgb="FFF2F2F2"/>
      </patternFill>
    </fill>
    <fill>
      <patternFill patternType="solid">
        <fgColor theme="0"/>
        <bgColor rgb="FFFFFFCC"/>
      </patternFill>
    </fill>
    <fill>
      <patternFill patternType="solid">
        <fgColor theme="3" tint="0.89999084444715716"/>
        <bgColor rgb="FF333333"/>
      </patternFill>
    </fill>
    <fill>
      <patternFill patternType="solid">
        <fgColor rgb="FFEEEEEE"/>
        <bgColor rgb="FFF2F2F2"/>
      </patternFill>
    </fill>
    <fill>
      <patternFill patternType="solid">
        <fgColor theme="0"/>
        <bgColor rgb="FFFFFFA6"/>
      </patternFill>
    </fill>
    <fill>
      <patternFill patternType="solid">
        <fgColor rgb="FF83CAFF"/>
        <bgColor rgb="FFDAE3F3"/>
      </patternFill>
    </fill>
    <fill>
      <patternFill patternType="solid">
        <fgColor rgb="FFFFFF00"/>
        <bgColor indexed="64"/>
      </patternFill>
    </fill>
    <fill>
      <patternFill patternType="solid">
        <fgColor theme="7" tint="0.39997558519241921"/>
        <bgColor rgb="FFDDDDDD"/>
      </patternFill>
    </fill>
    <fill>
      <patternFill patternType="solid">
        <fgColor theme="2"/>
        <bgColor indexed="64"/>
      </patternFill>
    </fill>
    <fill>
      <patternFill patternType="solid">
        <fgColor theme="6" tint="0.59999389629810485"/>
        <bgColor indexed="64"/>
      </patternFill>
    </fill>
    <fill>
      <patternFill patternType="solid">
        <fgColor rgb="FFF8CBAD"/>
        <bgColor rgb="FFF2DCDB"/>
      </patternFill>
    </fill>
    <fill>
      <patternFill patternType="solid">
        <fgColor rgb="FFFFFFCC"/>
        <bgColor rgb="FFFFFFA6"/>
      </patternFill>
    </fill>
    <fill>
      <patternFill patternType="solid">
        <fgColor theme="7" tint="0.39997558519241921"/>
        <bgColor indexed="64"/>
      </patternFill>
    </fill>
    <fill>
      <patternFill patternType="solid">
        <fgColor rgb="FFDDE8CB"/>
        <bgColor rgb="FFE2EFDA"/>
      </patternFill>
    </fill>
    <fill>
      <patternFill patternType="solid">
        <fgColor rgb="FFC0C0C0"/>
        <bgColor rgb="FFBFBFBF"/>
      </patternFill>
    </fill>
    <fill>
      <patternFill patternType="solid">
        <fgColor theme="1" tint="0.499984740745262"/>
        <bgColor indexed="64"/>
      </patternFill>
    </fill>
    <fill>
      <patternFill patternType="solid">
        <fgColor rgb="FFFFFF00"/>
        <bgColor rgb="FFF2F2F2"/>
      </patternFill>
    </fill>
    <fill>
      <patternFill patternType="solid">
        <fgColor rgb="FF95B3D7"/>
        <bgColor rgb="FFB4C7DC"/>
      </patternFill>
    </fill>
    <fill>
      <patternFill patternType="solid">
        <fgColor rgb="FF1F497D"/>
        <bgColor rgb="FF333333"/>
      </patternFill>
    </fill>
    <fill>
      <patternFill patternType="solid">
        <fgColor theme="3" tint="0.89999084444715716"/>
        <bgColor rgb="FFDDDDDD"/>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right/>
      <top/>
      <bottom style="thick">
        <color rgb="FF1F497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01">
    <xf numFmtId="0" fontId="0" fillId="0" borderId="0"/>
    <xf numFmtId="172" fontId="1" fillId="0" borderId="0" applyBorder="0" applyProtection="0"/>
    <xf numFmtId="167" fontId="2" fillId="0" borderId="0" applyBorder="0" applyProtection="0"/>
    <xf numFmtId="44" fontId="2" fillId="0" borderId="0" applyFont="0" applyFill="0" applyBorder="0" applyAlignment="0" applyProtection="0"/>
    <xf numFmtId="164" fontId="1" fillId="0" borderId="0" applyBorder="0" applyProtection="0"/>
    <xf numFmtId="164" fontId="1" fillId="0" borderId="0" applyBorder="0" applyProtection="0"/>
    <xf numFmtId="165" fontId="1" fillId="0" borderId="0" applyBorder="0" applyProtection="0"/>
    <xf numFmtId="165" fontId="2" fillId="0" borderId="0" applyBorder="0" applyProtection="0"/>
    <xf numFmtId="165" fontId="2" fillId="0" borderId="0" applyBorder="0" applyProtection="0"/>
    <xf numFmtId="165" fontId="1" fillId="0" borderId="0" applyBorder="0" applyProtection="0"/>
    <xf numFmtId="165" fontId="2" fillId="0" borderId="0" applyBorder="0" applyProtection="0"/>
    <xf numFmtId="164" fontId="1" fillId="0" borderId="0" applyBorder="0" applyProtection="0"/>
    <xf numFmtId="166" fontId="2" fillId="0" borderId="0" applyBorder="0" applyProtection="0"/>
    <xf numFmtId="166" fontId="2" fillId="0" borderId="0" applyBorder="0" applyProtection="0"/>
    <xf numFmtId="167" fontId="2" fillId="0" borderId="0" applyBorder="0" applyProtection="0"/>
    <xf numFmtId="167" fontId="82" fillId="0" borderId="0" applyBorder="0" applyProtection="0"/>
    <xf numFmtId="0" fontId="2" fillId="0" borderId="0"/>
    <xf numFmtId="0" fontId="49" fillId="0" borderId="0"/>
    <xf numFmtId="0" fontId="81" fillId="0" borderId="0"/>
    <xf numFmtId="0" fontId="2" fillId="0" borderId="0"/>
    <xf numFmtId="0" fontId="47" fillId="0" borderId="0"/>
    <xf numFmtId="0" fontId="44" fillId="0" borderId="0"/>
    <xf numFmtId="0" fontId="83" fillId="0" borderId="0"/>
    <xf numFmtId="0" fontId="82" fillId="0" borderId="0"/>
    <xf numFmtId="0" fontId="44" fillId="0" borderId="0"/>
    <xf numFmtId="0" fontId="2" fillId="0" borderId="0"/>
    <xf numFmtId="0" fontId="2" fillId="0" borderId="0"/>
    <xf numFmtId="0" fontId="2" fillId="0" borderId="0"/>
    <xf numFmtId="0" fontId="82" fillId="0" borderId="0"/>
    <xf numFmtId="0" fontId="82" fillId="0" borderId="0"/>
    <xf numFmtId="0" fontId="84" fillId="0" borderId="0"/>
    <xf numFmtId="0" fontId="82" fillId="0" borderId="0"/>
    <xf numFmtId="0" fontId="84" fillId="0" borderId="0"/>
    <xf numFmtId="0" fontId="84" fillId="0" borderId="0"/>
    <xf numFmtId="0" fontId="1" fillId="0" borderId="0"/>
    <xf numFmtId="0" fontId="1" fillId="0" borderId="0"/>
    <xf numFmtId="0" fontId="1" fillId="0" borderId="0"/>
    <xf numFmtId="0" fontId="2" fillId="0" borderId="0"/>
    <xf numFmtId="0" fontId="1" fillId="0" borderId="0"/>
    <xf numFmtId="0" fontId="1" fillId="0" borderId="0"/>
    <xf numFmtId="0" fontId="82" fillId="0" borderId="0"/>
    <xf numFmtId="0" fontId="84" fillId="0" borderId="0"/>
    <xf numFmtId="0" fontId="82" fillId="0" borderId="0"/>
    <xf numFmtId="0" fontId="84" fillId="0" borderId="0"/>
    <xf numFmtId="0" fontId="2" fillId="0" borderId="0"/>
    <xf numFmtId="0" fontId="1" fillId="0" borderId="0"/>
    <xf numFmtId="0" fontId="1" fillId="0" borderId="0"/>
    <xf numFmtId="0" fontId="1" fillId="0" borderId="0"/>
    <xf numFmtId="0" fontId="1" fillId="0" borderId="0"/>
    <xf numFmtId="9" fontId="1" fillId="0" borderId="0" applyBorder="0" applyProtection="0"/>
    <xf numFmtId="9" fontId="82" fillId="0" borderId="0" applyBorder="0" applyProtection="0"/>
    <xf numFmtId="9" fontId="85" fillId="0" borderId="0" applyBorder="0" applyProtection="0"/>
    <xf numFmtId="9" fontId="44" fillId="0" borderId="0" applyBorder="0" applyProtection="0"/>
    <xf numFmtId="9" fontId="47" fillId="0" borderId="0" applyBorder="0" applyProtection="0"/>
    <xf numFmtId="9" fontId="2" fillId="0" borderId="0" applyBorder="0" applyProtection="0"/>
    <xf numFmtId="9" fontId="2" fillId="0" borderId="0" applyBorder="0" applyProtection="0"/>
    <xf numFmtId="9" fontId="61" fillId="0" borderId="0" applyBorder="0" applyProtection="0"/>
    <xf numFmtId="9" fontId="2" fillId="0" borderId="0" applyBorder="0" applyProtection="0"/>
    <xf numFmtId="9" fontId="2" fillId="0" borderId="0" applyBorder="0" applyProtection="0"/>
    <xf numFmtId="9" fontId="1" fillId="0" borderId="0" applyBorder="0" applyProtection="0"/>
    <xf numFmtId="9" fontId="1" fillId="0" borderId="0" applyBorder="0" applyProtection="0"/>
    <xf numFmtId="9" fontId="2" fillId="0" borderId="0" applyBorder="0" applyProtection="0"/>
    <xf numFmtId="9" fontId="1" fillId="0" borderId="0" applyBorder="0" applyProtection="0"/>
    <xf numFmtId="9" fontId="1" fillId="0" borderId="0" applyBorder="0" applyProtection="0"/>
    <xf numFmtId="9" fontId="1" fillId="0" borderId="0" applyBorder="0" applyProtection="0"/>
    <xf numFmtId="9" fontId="2" fillId="0" borderId="0" applyBorder="0" applyProtection="0"/>
    <xf numFmtId="9" fontId="2" fillId="0" borderId="0" applyBorder="0" applyProtection="0"/>
    <xf numFmtId="168" fontId="2" fillId="0" borderId="0" applyBorder="0" applyProtection="0"/>
    <xf numFmtId="168" fontId="2" fillId="0" borderId="0" applyBorder="0" applyProtection="0"/>
    <xf numFmtId="168" fontId="2" fillId="0" borderId="0" applyBorder="0" applyProtection="0"/>
    <xf numFmtId="168" fontId="1" fillId="0" borderId="0" applyBorder="0" applyProtection="0"/>
    <xf numFmtId="168" fontId="2" fillId="0" borderId="0" applyBorder="0" applyProtection="0"/>
    <xf numFmtId="168" fontId="2" fillId="0" borderId="0" applyBorder="0" applyProtection="0"/>
    <xf numFmtId="169" fontId="1" fillId="0" borderId="0" applyBorder="0" applyProtection="0"/>
    <xf numFmtId="168" fontId="2" fillId="0" borderId="0" applyBorder="0" applyProtection="0"/>
    <xf numFmtId="169" fontId="2" fillId="0" borderId="0" applyBorder="0" applyProtection="0"/>
    <xf numFmtId="169" fontId="1" fillId="0" borderId="0" applyBorder="0" applyProtection="0"/>
    <xf numFmtId="169" fontId="1" fillId="0" borderId="0" applyBorder="0" applyProtection="0"/>
    <xf numFmtId="169" fontId="2" fillId="0" borderId="0" applyBorder="0" applyProtection="0"/>
    <xf numFmtId="168" fontId="1" fillId="0" borderId="0" applyBorder="0" applyProtection="0"/>
    <xf numFmtId="169" fontId="1" fillId="0" borderId="0" applyBorder="0" applyProtection="0"/>
    <xf numFmtId="168" fontId="1" fillId="0" borderId="0" applyBorder="0" applyProtection="0"/>
    <xf numFmtId="168" fontId="1" fillId="0" borderId="0" applyBorder="0" applyProtection="0"/>
    <xf numFmtId="168" fontId="2" fillId="0" borderId="0" applyBorder="0" applyProtection="0"/>
    <xf numFmtId="168" fontId="2" fillId="0" borderId="0" applyBorder="0" applyProtection="0"/>
    <xf numFmtId="168" fontId="2" fillId="0" borderId="0" applyBorder="0" applyProtection="0"/>
    <xf numFmtId="169" fontId="82" fillId="0" borderId="0" applyBorder="0" applyProtection="0"/>
    <xf numFmtId="169" fontId="84" fillId="0" borderId="0" applyBorder="0" applyProtection="0"/>
    <xf numFmtId="172" fontId="1" fillId="0" borderId="0" applyBorder="0" applyProtection="0"/>
    <xf numFmtId="168" fontId="2" fillId="0" borderId="0" applyBorder="0" applyProtection="0"/>
    <xf numFmtId="0" fontId="86" fillId="0" borderId="77" applyProtection="0"/>
    <xf numFmtId="0" fontId="87" fillId="0" borderId="77" applyProtection="0"/>
    <xf numFmtId="0" fontId="1" fillId="0" borderId="0" applyBorder="0" applyProtection="0"/>
    <xf numFmtId="169" fontId="82" fillId="0" borderId="0" applyBorder="0" applyProtection="0"/>
    <xf numFmtId="168" fontId="2" fillId="0" borderId="0" applyBorder="0" applyProtection="0"/>
    <xf numFmtId="169" fontId="84" fillId="0" borderId="0" applyBorder="0" applyProtection="0"/>
    <xf numFmtId="169" fontId="89" fillId="0" borderId="0" applyBorder="0" applyProtection="0"/>
    <xf numFmtId="168" fontId="2" fillId="0" borderId="0" applyBorder="0" applyProtection="0"/>
    <xf numFmtId="168" fontId="1" fillId="0" borderId="0" applyBorder="0" applyProtection="0"/>
    <xf numFmtId="168" fontId="49" fillId="0" borderId="0" applyBorder="0" applyProtection="0"/>
    <xf numFmtId="168" fontId="82" fillId="0" borderId="0" applyBorder="0" applyProtection="0"/>
  </cellStyleXfs>
  <cellXfs count="1724">
    <xf numFmtId="0" fontId="0" fillId="0" borderId="0" xfId="0"/>
    <xf numFmtId="0" fontId="10" fillId="2" borderId="1" xfId="89" applyNumberFormat="1" applyFont="1" applyFill="1" applyBorder="1" applyAlignment="1" applyProtection="1">
      <alignment horizontal="center" vertical="center" wrapText="1"/>
    </xf>
    <xf numFmtId="167" fontId="10" fillId="2" borderId="2" xfId="14" applyFont="1" applyFill="1" applyBorder="1" applyAlignment="1" applyProtection="1">
      <alignment horizontal="center" vertical="center" wrapText="1"/>
    </xf>
    <xf numFmtId="0" fontId="9" fillId="3" borderId="1" xfId="25" applyFont="1" applyFill="1" applyBorder="1" applyAlignment="1">
      <alignment horizontal="center" vertical="center" wrapText="1"/>
    </xf>
    <xf numFmtId="0" fontId="3" fillId="0" borderId="0" xfId="25" applyFont="1"/>
    <xf numFmtId="0" fontId="3" fillId="0" borderId="0" xfId="25" applyFont="1" applyAlignment="1">
      <alignment horizontal="center"/>
    </xf>
    <xf numFmtId="0" fontId="3" fillId="0" borderId="0" xfId="25" applyFont="1" applyAlignment="1">
      <alignment horizontal="center" vertical="center"/>
    </xf>
    <xf numFmtId="0" fontId="4" fillId="0" borderId="0" xfId="0" applyFont="1" applyAlignment="1">
      <alignment horizontal="left"/>
    </xf>
    <xf numFmtId="0" fontId="7" fillId="0" borderId="0" xfId="25" applyFont="1" applyAlignment="1">
      <alignment vertical="center"/>
    </xf>
    <xf numFmtId="0" fontId="3" fillId="0" borderId="1" xfId="25" applyFont="1" applyBorder="1" applyAlignment="1">
      <alignment horizontal="center" vertical="center" wrapText="1"/>
    </xf>
    <xf numFmtId="0" fontId="10" fillId="2" borderId="3" xfId="89" applyNumberFormat="1" applyFont="1" applyFill="1" applyBorder="1" applyAlignment="1" applyProtection="1">
      <alignment horizontal="center" vertical="center" wrapText="1"/>
    </xf>
    <xf numFmtId="0" fontId="10" fillId="2" borderId="4" xfId="89" applyNumberFormat="1" applyFont="1" applyFill="1" applyBorder="1" applyAlignment="1" applyProtection="1">
      <alignment horizontal="center" vertical="center" wrapText="1"/>
    </xf>
    <xf numFmtId="0" fontId="10" fillId="2" borderId="5" xfId="89" applyNumberFormat="1" applyFont="1" applyFill="1" applyBorder="1" applyAlignment="1" applyProtection="1">
      <alignment horizontal="center" vertical="center" wrapText="1"/>
    </xf>
    <xf numFmtId="0" fontId="10" fillId="2" borderId="6" xfId="89" applyNumberFormat="1" applyFont="1" applyFill="1" applyBorder="1" applyAlignment="1" applyProtection="1">
      <alignment horizontal="center" vertical="center" wrapText="1"/>
    </xf>
    <xf numFmtId="1" fontId="5" fillId="0" borderId="3" xfId="25" applyNumberFormat="1" applyFont="1" applyBorder="1" applyAlignment="1">
      <alignment horizontal="center" vertical="center"/>
    </xf>
    <xf numFmtId="0" fontId="5" fillId="0" borderId="1" xfId="25" applyFont="1" applyBorder="1" applyAlignment="1">
      <alignment vertical="center" wrapText="1"/>
    </xf>
    <xf numFmtId="1" fontId="5" fillId="0" borderId="1" xfId="25" applyNumberFormat="1" applyFont="1" applyBorder="1" applyAlignment="1">
      <alignment horizontal="center" vertical="center"/>
    </xf>
    <xf numFmtId="0" fontId="90" fillId="4" borderId="1" xfId="89" applyNumberFormat="1" applyFont="1" applyFill="1" applyBorder="1" applyAlignment="1" applyProtection="1">
      <alignment horizontal="center" vertical="center"/>
    </xf>
    <xf numFmtId="2" fontId="90" fillId="4" borderId="1" xfId="89" applyNumberFormat="1" applyFont="1" applyFill="1" applyBorder="1" applyAlignment="1" applyProtection="1">
      <alignment horizontal="center" vertical="center"/>
    </xf>
    <xf numFmtId="2" fontId="5" fillId="0" borderId="1" xfId="89" applyNumberFormat="1" applyFont="1" applyBorder="1" applyAlignment="1" applyProtection="1">
      <alignment horizontal="center" vertical="center"/>
    </xf>
    <xf numFmtId="169" fontId="91" fillId="5" borderId="1" xfId="25" applyNumberFormat="1" applyFont="1" applyFill="1" applyBorder="1" applyAlignment="1">
      <alignment horizontal="center" vertical="center"/>
    </xf>
    <xf numFmtId="167" fontId="5" fillId="0" borderId="1" xfId="14" applyFont="1" applyBorder="1" applyAlignment="1" applyProtection="1">
      <alignment horizontal="center" vertical="center"/>
    </xf>
    <xf numFmtId="167" fontId="5" fillId="0" borderId="7" xfId="14" applyFont="1" applyBorder="1" applyAlignment="1" applyProtection="1">
      <alignment horizontal="center" vertical="center"/>
    </xf>
    <xf numFmtId="0" fontId="5" fillId="0" borderId="3" xfId="25" applyFont="1" applyBorder="1" applyAlignment="1">
      <alignment horizontal="center" vertical="center"/>
    </xf>
    <xf numFmtId="167" fontId="10" fillId="2" borderId="8" xfId="14" applyFont="1" applyFill="1" applyBorder="1" applyAlignment="1" applyProtection="1">
      <alignment horizontal="center" vertical="center" wrapText="1"/>
    </xf>
    <xf numFmtId="167" fontId="10" fillId="2" borderId="9" xfId="14" applyFont="1" applyFill="1" applyBorder="1" applyAlignment="1" applyProtection="1">
      <alignment horizontal="center" vertical="center" wrapText="1"/>
    </xf>
    <xf numFmtId="167" fontId="7" fillId="0" borderId="0" xfId="25" applyNumberFormat="1" applyFont="1" applyAlignment="1">
      <alignment vertical="center"/>
    </xf>
    <xf numFmtId="0" fontId="10" fillId="2" borderId="2" xfId="89" applyNumberFormat="1" applyFont="1" applyFill="1" applyBorder="1" applyAlignment="1" applyProtection="1">
      <alignment horizontal="center" vertical="center" wrapText="1"/>
    </xf>
    <xf numFmtId="167" fontId="10" fillId="2" borderId="10" xfId="14" applyFont="1" applyFill="1" applyBorder="1" applyAlignment="1" applyProtection="1">
      <alignment vertical="center" wrapText="1"/>
    </xf>
    <xf numFmtId="167" fontId="10" fillId="2" borderId="8" xfId="14" applyFont="1" applyFill="1" applyBorder="1" applyAlignment="1" applyProtection="1">
      <alignment vertical="center" wrapText="1"/>
    </xf>
    <xf numFmtId="0" fontId="5" fillId="0" borderId="0" xfId="25" applyFont="1" applyAlignment="1">
      <alignment vertical="center"/>
    </xf>
    <xf numFmtId="0" fontId="5" fillId="0" borderId="0" xfId="25" applyFont="1" applyAlignment="1">
      <alignment horizontal="center" vertical="center"/>
    </xf>
    <xf numFmtId="0" fontId="5" fillId="3" borderId="1" xfId="25" applyFont="1" applyFill="1" applyBorder="1" applyAlignment="1">
      <alignment horizontal="center" vertical="center"/>
    </xf>
    <xf numFmtId="2" fontId="5" fillId="3" borderId="1" xfId="25" applyNumberFormat="1" applyFont="1" applyFill="1" applyBorder="1" applyAlignment="1">
      <alignment horizontal="center" vertical="center"/>
    </xf>
    <xf numFmtId="0" fontId="3" fillId="0" borderId="1" xfId="25" applyFont="1" applyBorder="1"/>
    <xf numFmtId="3" fontId="3" fillId="0" borderId="1" xfId="25" applyNumberFormat="1" applyFont="1" applyBorder="1" applyAlignment="1">
      <alignment horizontal="center" vertical="center"/>
    </xf>
    <xf numFmtId="0" fontId="3" fillId="0" borderId="1" xfId="25" applyFont="1" applyBorder="1" applyAlignment="1">
      <alignment horizontal="center" vertical="center"/>
    </xf>
    <xf numFmtId="0" fontId="3" fillId="0" borderId="1" xfId="25" applyFont="1" applyBorder="1" applyAlignment="1">
      <alignment wrapText="1"/>
    </xf>
    <xf numFmtId="0" fontId="5" fillId="0" borderId="1" xfId="25" applyFont="1" applyBorder="1" applyAlignment="1">
      <alignment wrapText="1"/>
    </xf>
    <xf numFmtId="0" fontId="3" fillId="0" borderId="1" xfId="25" applyFont="1" applyBorder="1" applyAlignment="1">
      <alignment horizontal="left"/>
    </xf>
    <xf numFmtId="0" fontId="1" fillId="0" borderId="0" xfId="46"/>
    <xf numFmtId="0" fontId="13" fillId="0" borderId="0" xfId="46" applyFont="1"/>
    <xf numFmtId="0" fontId="3" fillId="6" borderId="0" xfId="46" applyFont="1" applyFill="1"/>
    <xf numFmtId="0" fontId="15" fillId="6" borderId="0" xfId="46" applyFont="1" applyFill="1"/>
    <xf numFmtId="0" fontId="3" fillId="3" borderId="1" xfId="46" applyFont="1" applyFill="1" applyBorder="1"/>
    <xf numFmtId="0" fontId="3" fillId="6" borderId="0" xfId="46" applyFont="1" applyFill="1" applyAlignment="1">
      <alignment vertical="center"/>
    </xf>
    <xf numFmtId="0" fontId="1" fillId="0" borderId="0" xfId="46" applyAlignment="1">
      <alignment vertical="center"/>
    </xf>
    <xf numFmtId="0" fontId="9" fillId="6" borderId="0" xfId="46" applyFont="1" applyFill="1" applyAlignment="1">
      <alignment vertical="center"/>
    </xf>
    <xf numFmtId="0" fontId="9" fillId="3" borderId="0" xfId="46" applyFont="1" applyFill="1" applyAlignment="1">
      <alignment vertical="center"/>
    </xf>
    <xf numFmtId="0" fontId="16" fillId="0" borderId="0" xfId="46" applyFont="1" applyAlignment="1">
      <alignment vertical="center"/>
    </xf>
    <xf numFmtId="0" fontId="9" fillId="6" borderId="0" xfId="46" applyFont="1" applyFill="1"/>
    <xf numFmtId="0" fontId="3" fillId="3" borderId="0" xfId="46" applyFont="1" applyFill="1"/>
    <xf numFmtId="0" fontId="16" fillId="0" borderId="0" xfId="46" applyFont="1"/>
    <xf numFmtId="0" fontId="92" fillId="6" borderId="0" xfId="46" applyFont="1" applyFill="1" applyAlignment="1">
      <alignment vertical="center"/>
    </xf>
    <xf numFmtId="0" fontId="93" fillId="0" borderId="0" xfId="46" applyFont="1" applyAlignment="1">
      <alignment vertical="center"/>
    </xf>
    <xf numFmtId="0" fontId="9" fillId="7" borderId="0" xfId="46" applyFont="1" applyFill="1"/>
    <xf numFmtId="0" fontId="5" fillId="6" borderId="0" xfId="46" applyFont="1" applyFill="1"/>
    <xf numFmtId="0" fontId="5" fillId="0" borderId="0" xfId="46" applyFont="1"/>
    <xf numFmtId="0" fontId="18" fillId="0" borderId="0" xfId="0" applyFont="1"/>
    <xf numFmtId="0" fontId="3" fillId="0" borderId="0" xfId="0" applyFont="1"/>
    <xf numFmtId="0" fontId="5" fillId="0" borderId="0" xfId="0" applyFont="1"/>
    <xf numFmtId="0" fontId="7" fillId="0" borderId="0" xfId="0" applyFont="1" applyAlignment="1">
      <alignment vertical="center"/>
    </xf>
    <xf numFmtId="0" fontId="7" fillId="7" borderId="11" xfId="0" applyFont="1" applyFill="1" applyBorder="1" applyAlignment="1">
      <alignment vertical="center"/>
    </xf>
    <xf numFmtId="0" fontId="12" fillId="7" borderId="11" xfId="0" applyFont="1" applyFill="1" applyBorder="1" applyAlignment="1">
      <alignment vertical="center"/>
    </xf>
    <xf numFmtId="0" fontId="12" fillId="7" borderId="12" xfId="0" applyFont="1" applyFill="1" applyBorder="1" applyAlignment="1">
      <alignment vertical="center"/>
    </xf>
    <xf numFmtId="0" fontId="5" fillId="7" borderId="13" xfId="0" applyFont="1" applyFill="1" applyBorder="1" applyAlignment="1">
      <alignment vertical="center" wrapText="1"/>
    </xf>
    <xf numFmtId="0" fontId="7"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5" fillId="7" borderId="14" xfId="25" applyFont="1" applyFill="1" applyBorder="1" applyAlignment="1">
      <alignment horizontal="center" vertical="center" wrapText="1"/>
    </xf>
    <xf numFmtId="0" fontId="5" fillId="7" borderId="16" xfId="25" applyFont="1" applyFill="1" applyBorder="1" applyAlignment="1">
      <alignment horizontal="center" vertical="center" wrapText="1"/>
    </xf>
    <xf numFmtId="0" fontId="4" fillId="7" borderId="15" xfId="25"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17" xfId="0" applyFont="1" applyBorder="1" applyAlignment="1">
      <alignment horizontal="center" vertical="center"/>
    </xf>
    <xf numFmtId="4" fontId="3" fillId="0" borderId="18" xfId="0" applyNumberFormat="1" applyFont="1" applyBorder="1" applyAlignment="1">
      <alignment horizontal="center" vertical="center" wrapText="1"/>
    </xf>
    <xf numFmtId="4" fontId="5" fillId="0" borderId="1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1" fontId="23" fillId="0" borderId="18" xfId="0" applyNumberFormat="1" applyFont="1" applyBorder="1" applyAlignment="1">
      <alignment horizontal="center" vertical="center" wrapText="1"/>
    </xf>
    <xf numFmtId="4" fontId="10" fillId="0" borderId="20" xfId="0" applyNumberFormat="1" applyFont="1" applyBorder="1" applyAlignment="1">
      <alignment horizontal="center" vertical="center" wrapText="1"/>
    </xf>
    <xf numFmtId="4" fontId="5" fillId="0" borderId="21" xfId="0" applyNumberFormat="1" applyFont="1" applyBorder="1" applyAlignment="1">
      <alignment horizontal="center" vertical="center" wrapText="1"/>
    </xf>
    <xf numFmtId="3" fontId="5" fillId="0" borderId="18"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5" fillId="0" borderId="17" xfId="0" applyNumberFormat="1" applyFont="1" applyBorder="1" applyAlignment="1">
      <alignment horizontal="right" vertical="center" wrapText="1"/>
    </xf>
    <xf numFmtId="0" fontId="5" fillId="0" borderId="18" xfId="0" applyFont="1" applyBorder="1" applyAlignment="1">
      <alignment horizontal="center" vertical="center" wrapText="1"/>
    </xf>
    <xf numFmtId="4" fontId="24" fillId="0" borderId="19" xfId="0" applyNumberFormat="1" applyFont="1" applyBorder="1" applyAlignment="1">
      <alignment horizontal="center" vertical="center" wrapText="1"/>
    </xf>
    <xf numFmtId="4" fontId="24" fillId="0" borderId="4" xfId="0" applyNumberFormat="1" applyFont="1" applyBorder="1" applyAlignment="1">
      <alignment horizontal="center" vertical="center" wrapText="1"/>
    </xf>
    <xf numFmtId="4" fontId="24" fillId="0" borderId="6"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4" fontId="10" fillId="0" borderId="22"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20" xfId="0" applyFont="1" applyBorder="1" applyAlignment="1">
      <alignment horizontal="center" vertical="center" wrapText="1"/>
    </xf>
    <xf numFmtId="4" fontId="24" fillId="0" borderId="3"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4" fontId="9" fillId="6" borderId="23" xfId="0" applyNumberFormat="1" applyFont="1" applyFill="1" applyBorder="1" applyAlignment="1">
      <alignment horizontal="center" vertical="center"/>
    </xf>
    <xf numFmtId="4" fontId="3" fillId="0" borderId="1"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3" xfId="0" applyNumberFormat="1" applyFont="1" applyBorder="1" applyAlignment="1">
      <alignment horizontal="right" vertical="center" wrapText="1"/>
    </xf>
    <xf numFmtId="1" fontId="3" fillId="0" borderId="20" xfId="0" applyNumberFormat="1" applyFont="1" applyBorder="1" applyAlignment="1">
      <alignment horizontal="center" vertical="center" wrapText="1"/>
    </xf>
    <xf numFmtId="1" fontId="5" fillId="0" borderId="17" xfId="0" applyNumberFormat="1" applyFont="1" applyBorder="1" applyAlignment="1">
      <alignment horizontal="center" vertical="center"/>
    </xf>
    <xf numFmtId="4" fontId="3" fillId="6" borderId="19" xfId="0" applyNumberFormat="1" applyFont="1" applyFill="1" applyBorder="1" applyAlignment="1">
      <alignment horizontal="center" vertical="center"/>
    </xf>
    <xf numFmtId="4" fontId="3" fillId="6" borderId="20" xfId="0" applyNumberFormat="1" applyFont="1" applyFill="1" applyBorder="1" applyAlignment="1">
      <alignment horizontal="center" vertical="center"/>
    </xf>
    <xf numFmtId="4" fontId="3" fillId="6" borderId="24" xfId="0" applyNumberFormat="1" applyFont="1" applyFill="1" applyBorder="1" applyAlignment="1">
      <alignment horizontal="center" vertical="center"/>
    </xf>
    <xf numFmtId="4" fontId="3" fillId="6" borderId="17" xfId="0" applyNumberFormat="1" applyFont="1" applyFill="1" applyBorder="1" applyAlignment="1">
      <alignment horizontal="center" vertical="center"/>
    </xf>
    <xf numFmtId="4" fontId="3" fillId="6" borderId="17" xfId="0" applyNumberFormat="1" applyFont="1" applyFill="1" applyBorder="1" applyAlignment="1">
      <alignment horizontal="right" vertical="center"/>
    </xf>
    <xf numFmtId="4" fontId="3" fillId="6" borderId="7" xfId="0" applyNumberFormat="1" applyFont="1" applyFill="1" applyBorder="1" applyAlignment="1">
      <alignment horizontal="center" vertical="center"/>
    </xf>
    <xf numFmtId="4" fontId="3" fillId="6" borderId="3" xfId="0" applyNumberFormat="1" applyFont="1" applyFill="1" applyBorder="1" applyAlignment="1">
      <alignment horizontal="center" vertical="center"/>
    </xf>
    <xf numFmtId="4" fontId="3" fillId="6" borderId="3" xfId="0" applyNumberFormat="1" applyFont="1" applyFill="1" applyBorder="1" applyAlignment="1">
      <alignment horizontal="right" vertical="center"/>
    </xf>
    <xf numFmtId="4" fontId="94" fillId="0" borderId="1" xfId="0" applyNumberFormat="1" applyFont="1" applyBorder="1" applyAlignment="1">
      <alignment horizontal="center" vertical="center" wrapText="1"/>
    </xf>
    <xf numFmtId="4" fontId="3" fillId="6" borderId="1" xfId="0" applyNumberFormat="1" applyFont="1" applyFill="1" applyBorder="1" applyAlignment="1">
      <alignment horizontal="center" vertical="center"/>
    </xf>
    <xf numFmtId="4" fontId="3" fillId="6" borderId="16" xfId="0" applyNumberFormat="1" applyFont="1" applyFill="1" applyBorder="1" applyAlignment="1">
      <alignment horizontal="center" vertical="center"/>
    </xf>
    <xf numFmtId="4" fontId="3" fillId="6" borderId="15" xfId="0" applyNumberFormat="1" applyFont="1" applyFill="1" applyBorder="1" applyAlignment="1">
      <alignment horizontal="center" vertical="center"/>
    </xf>
    <xf numFmtId="4" fontId="3" fillId="6" borderId="14" xfId="0" applyNumberFormat="1" applyFont="1" applyFill="1" applyBorder="1" applyAlignment="1">
      <alignment horizontal="center" vertical="center"/>
    </xf>
    <xf numFmtId="4" fontId="3" fillId="6" borderId="14" xfId="0" applyNumberFormat="1" applyFont="1" applyFill="1" applyBorder="1" applyAlignment="1">
      <alignment horizontal="right" vertical="center"/>
    </xf>
    <xf numFmtId="0" fontId="25" fillId="6" borderId="25" xfId="0" applyFont="1" applyFill="1" applyBorder="1" applyAlignment="1">
      <alignment horizontal="center" vertical="center"/>
    </xf>
    <xf numFmtId="4" fontId="25" fillId="7" borderId="26" xfId="0" applyNumberFormat="1" applyFont="1" applyFill="1" applyBorder="1" applyAlignment="1">
      <alignment horizontal="center" vertical="center"/>
    </xf>
    <xf numFmtId="4" fontId="25" fillId="6" borderId="27" xfId="0" applyNumberFormat="1" applyFont="1" applyFill="1" applyBorder="1" applyAlignment="1">
      <alignment horizontal="center" vertical="center"/>
    </xf>
    <xf numFmtId="4" fontId="7" fillId="7" borderId="25" xfId="0" applyNumberFormat="1" applyFont="1" applyFill="1" applyBorder="1" applyAlignment="1">
      <alignment horizontal="center" vertical="center"/>
    </xf>
    <xf numFmtId="3" fontId="7" fillId="6" borderId="26" xfId="0" applyNumberFormat="1" applyFont="1" applyFill="1" applyBorder="1" applyAlignment="1">
      <alignment horizontal="center" vertical="center"/>
    </xf>
    <xf numFmtId="4" fontId="25" fillId="6" borderId="28" xfId="0" applyNumberFormat="1" applyFont="1" applyFill="1" applyBorder="1" applyAlignment="1">
      <alignment horizontal="center" vertical="center"/>
    </xf>
    <xf numFmtId="4" fontId="25" fillId="7" borderId="29" xfId="0" applyNumberFormat="1" applyFont="1" applyFill="1" applyBorder="1" applyAlignment="1">
      <alignment horizontal="center" vertical="center"/>
    </xf>
    <xf numFmtId="4" fontId="25" fillId="8" borderId="30" xfId="0" applyNumberFormat="1" applyFont="1" applyFill="1" applyBorder="1" applyAlignment="1">
      <alignment horizontal="center" vertical="center"/>
    </xf>
    <xf numFmtId="0" fontId="5" fillId="0" borderId="0" xfId="0" applyFont="1" applyAlignment="1">
      <alignment vertical="center"/>
    </xf>
    <xf numFmtId="0" fontId="4" fillId="0" borderId="22" xfId="0" applyFont="1" applyBorder="1" applyAlignment="1">
      <alignment horizontal="left"/>
    </xf>
    <xf numFmtId="0" fontId="3" fillId="0" borderId="0" xfId="0" applyFont="1" applyAlignment="1">
      <alignment vertical="center"/>
    </xf>
    <xf numFmtId="0" fontId="3" fillId="7" borderId="31" xfId="0" applyFont="1" applyFill="1" applyBorder="1" applyAlignment="1">
      <alignment horizontal="center" vertical="center" textRotation="90" wrapText="1"/>
    </xf>
    <xf numFmtId="0" fontId="3" fillId="7"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26" fillId="7" borderId="33" xfId="0" applyFont="1" applyFill="1" applyBorder="1" applyAlignment="1">
      <alignment horizontal="center" vertical="center" wrapText="1"/>
    </xf>
    <xf numFmtId="0" fontId="3" fillId="7" borderId="30" xfId="0" applyFont="1" applyFill="1" applyBorder="1" applyAlignment="1">
      <alignment horizontal="center" vertical="center" wrapText="1"/>
    </xf>
    <xf numFmtId="170" fontId="3" fillId="0" borderId="0" xfId="0" applyNumberFormat="1" applyFont="1" applyAlignment="1">
      <alignment vertical="center"/>
    </xf>
    <xf numFmtId="4" fontId="3" fillId="0" borderId="7" xfId="0" applyNumberFormat="1" applyFont="1" applyBorder="1" applyAlignment="1">
      <alignment horizontal="right"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4" fontId="3" fillId="0" borderId="1" xfId="0" applyNumberFormat="1" applyFont="1" applyBorder="1" applyAlignment="1">
      <alignment vertical="center"/>
    </xf>
    <xf numFmtId="1" fontId="82" fillId="0" borderId="1" xfId="0" applyNumberFormat="1" applyFont="1" applyBorder="1" applyAlignment="1">
      <alignment horizontal="center" vertical="center"/>
    </xf>
    <xf numFmtId="1" fontId="3" fillId="6" borderId="1" xfId="0" applyNumberFormat="1" applyFont="1" applyFill="1" applyBorder="1" applyAlignment="1">
      <alignment horizontal="center" vertical="center"/>
    </xf>
    <xf numFmtId="0" fontId="95" fillId="0" borderId="0" xfId="0" applyFont="1"/>
    <xf numFmtId="170" fontId="3" fillId="0" borderId="0" xfId="0" applyNumberFormat="1" applyFont="1" applyAlignment="1">
      <alignment horizontal="left" vertical="center" wrapText="1"/>
    </xf>
    <xf numFmtId="0" fontId="9" fillId="0" borderId="0" xfId="25" applyFont="1" applyAlignment="1">
      <alignment vertical="center"/>
    </xf>
    <xf numFmtId="10" fontId="3" fillId="0" borderId="1" xfId="0" applyNumberFormat="1" applyFont="1" applyBorder="1" applyAlignment="1">
      <alignment vertical="center"/>
    </xf>
    <xf numFmtId="10" fontId="9" fillId="0" borderId="1" xfId="54" applyNumberFormat="1" applyFont="1" applyBorder="1" applyAlignment="1" applyProtection="1">
      <alignment horizontal="center" vertical="center"/>
    </xf>
    <xf numFmtId="0" fontId="3" fillId="0" borderId="0" xfId="25" applyFont="1" applyAlignment="1">
      <alignment vertical="center"/>
    </xf>
    <xf numFmtId="4" fontId="3" fillId="3" borderId="1" xfId="0" applyNumberFormat="1" applyFont="1" applyFill="1" applyBorder="1" applyAlignment="1" applyProtection="1">
      <alignment horizontal="center" vertical="center"/>
      <protection locked="0"/>
    </xf>
    <xf numFmtId="0" fontId="18" fillId="0" borderId="0" xfId="25"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10" fontId="3" fillId="0" borderId="0" xfId="0" applyNumberFormat="1" applyFont="1" applyAlignment="1">
      <alignment vertical="center"/>
    </xf>
    <xf numFmtId="0" fontId="18" fillId="0" borderId="0" xfId="25" applyFont="1" applyAlignment="1" applyProtection="1">
      <alignment horizontal="left"/>
      <protection locked="0"/>
    </xf>
    <xf numFmtId="0" fontId="29" fillId="0" borderId="34" xfId="0" applyFont="1" applyBorder="1" applyAlignment="1">
      <alignment vertical="center"/>
    </xf>
    <xf numFmtId="0" fontId="4" fillId="0" borderId="35" xfId="0" applyFont="1" applyBorder="1" applyAlignment="1">
      <alignment horizontal="left" vertical="center"/>
    </xf>
    <xf numFmtId="0" fontId="29" fillId="0" borderId="36" xfId="0" applyFont="1" applyBorder="1" applyAlignment="1">
      <alignment horizontal="center" vertical="center"/>
    </xf>
    <xf numFmtId="0" fontId="29" fillId="0" borderId="37" xfId="0" applyFont="1" applyBorder="1" applyAlignment="1">
      <alignment vertical="center"/>
    </xf>
    <xf numFmtId="0" fontId="29" fillId="0" borderId="38" xfId="0" applyFont="1" applyBorder="1" applyAlignment="1">
      <alignment horizontal="center" vertical="center"/>
    </xf>
    <xf numFmtId="0" fontId="96" fillId="0" borderId="3" xfId="0" applyFont="1" applyBorder="1" applyAlignment="1">
      <alignment horizontal="center"/>
    </xf>
    <xf numFmtId="0" fontId="96" fillId="0" borderId="1" xfId="0" applyFont="1" applyBorder="1" applyAlignment="1">
      <alignment horizontal="center"/>
    </xf>
    <xf numFmtId="0" fontId="96" fillId="0" borderId="7" xfId="0" applyFont="1" applyBorder="1" applyAlignment="1">
      <alignment horizontal="center"/>
    </xf>
    <xf numFmtId="0" fontId="96" fillId="7" borderId="3"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39" xfId="0" applyFont="1" applyFill="1" applyBorder="1" applyAlignment="1">
      <alignment vertical="center"/>
    </xf>
    <xf numFmtId="10" fontId="96" fillId="6" borderId="7" xfId="0" applyNumberFormat="1" applyFont="1" applyFill="1" applyBorder="1" applyAlignment="1">
      <alignment horizontal="center" vertical="center"/>
    </xf>
    <xf numFmtId="0" fontId="96" fillId="7" borderId="1" xfId="0" applyFont="1" applyFill="1" applyBorder="1" applyAlignment="1">
      <alignment vertical="center"/>
    </xf>
    <xf numFmtId="0" fontId="96" fillId="7" borderId="15" xfId="0" applyFont="1" applyFill="1" applyBorder="1" applyAlignment="1">
      <alignment horizontal="center" vertical="center"/>
    </xf>
    <xf numFmtId="0" fontId="5" fillId="0" borderId="3" xfId="0" applyFont="1" applyBorder="1" applyAlignment="1">
      <alignment horizontal="center" vertical="center"/>
    </xf>
    <xf numFmtId="10" fontId="5" fillId="0" borderId="7" xfId="0" applyNumberFormat="1" applyFont="1" applyBorder="1" applyAlignment="1">
      <alignment horizontal="center" vertical="center"/>
    </xf>
    <xf numFmtId="10" fontId="10" fillId="0" borderId="20" xfId="0" applyNumberFormat="1" applyFont="1" applyBorder="1" applyAlignment="1">
      <alignment horizontal="center" vertical="center"/>
    </xf>
    <xf numFmtId="10" fontId="10" fillId="0" borderId="7" xfId="0" applyNumberFormat="1" applyFont="1" applyBorder="1" applyAlignment="1">
      <alignment horizontal="center" vertical="center"/>
    </xf>
    <xf numFmtId="0" fontId="5" fillId="0" borderId="39" xfId="0" applyFont="1" applyBorder="1" applyAlignment="1">
      <alignment vertical="center"/>
    </xf>
    <xf numFmtId="10" fontId="5" fillId="3" borderId="7" xfId="0" applyNumberFormat="1" applyFont="1" applyFill="1" applyBorder="1" applyAlignment="1" applyProtection="1">
      <alignment horizontal="center" vertical="center"/>
      <protection locked="0"/>
    </xf>
    <xf numFmtId="10" fontId="97" fillId="0" borderId="20" xfId="0" applyNumberFormat="1" applyFont="1" applyBorder="1" applyAlignment="1">
      <alignment horizontal="center" vertical="center"/>
    </xf>
    <xf numFmtId="10" fontId="96" fillId="0" borderId="7" xfId="0" applyNumberFormat="1" applyFont="1" applyBorder="1" applyAlignment="1">
      <alignment horizontal="center" vertical="center"/>
    </xf>
    <xf numFmtId="10" fontId="5" fillId="9" borderId="7" xfId="0" applyNumberFormat="1" applyFont="1" applyFill="1" applyBorder="1" applyAlignment="1">
      <alignment horizontal="center" vertical="center"/>
    </xf>
    <xf numFmtId="10" fontId="5" fillId="0" borderId="0" xfId="0" applyNumberFormat="1" applyFont="1"/>
    <xf numFmtId="0" fontId="90" fillId="0" borderId="0" xfId="0" applyFont="1" applyAlignment="1">
      <alignment vertical="center"/>
    </xf>
    <xf numFmtId="0" fontId="10" fillId="10" borderId="1" xfId="19" applyFont="1" applyFill="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5" fillId="10" borderId="1" xfId="19" applyFont="1" applyFill="1" applyBorder="1" applyAlignment="1">
      <alignment horizontal="center" vertical="center" wrapText="1"/>
    </xf>
    <xf numFmtId="0" fontId="98" fillId="10" borderId="1" xfId="19" applyFont="1" applyFill="1" applyBorder="1" applyAlignment="1">
      <alignment horizontal="center" vertical="center" wrapText="1"/>
    </xf>
    <xf numFmtId="10" fontId="5" fillId="10" borderId="1" xfId="19" applyNumberFormat="1" applyFont="1" applyFill="1" applyBorder="1" applyAlignment="1">
      <alignment horizontal="center" vertical="center" wrapText="1"/>
    </xf>
    <xf numFmtId="10" fontId="99" fillId="10" borderId="1" xfId="19" applyNumberFormat="1" applyFont="1" applyFill="1" applyBorder="1" applyAlignment="1">
      <alignment horizontal="center" vertical="center" wrapText="1"/>
    </xf>
    <xf numFmtId="10" fontId="97" fillId="0" borderId="7" xfId="0" applyNumberFormat="1" applyFont="1" applyBorder="1" applyAlignment="1">
      <alignment horizontal="center" vertical="center"/>
    </xf>
    <xf numFmtId="0" fontId="4" fillId="0" borderId="1" xfId="19" applyFont="1" applyBorder="1" applyAlignment="1">
      <alignment horizontal="center" vertical="center" wrapText="1"/>
    </xf>
    <xf numFmtId="10" fontId="4" fillId="0" borderId="1" xfId="19" applyNumberFormat="1" applyFont="1" applyBorder="1" applyAlignment="1">
      <alignment horizontal="center" vertical="center" wrapText="1"/>
    </xf>
    <xf numFmtId="0" fontId="24" fillId="10" borderId="1" xfId="19" applyFont="1" applyFill="1" applyBorder="1" applyAlignment="1">
      <alignment horizontal="center" vertical="center" wrapText="1"/>
    </xf>
    <xf numFmtId="10" fontId="24" fillId="10" borderId="1" xfId="19" applyNumberFormat="1" applyFont="1" applyFill="1" applyBorder="1" applyAlignment="1">
      <alignment horizontal="center" vertical="center" wrapText="1"/>
    </xf>
    <xf numFmtId="10" fontId="96" fillId="7" borderId="9" xfId="0" applyNumberFormat="1" applyFont="1" applyFill="1" applyBorder="1" applyAlignment="1">
      <alignment horizontal="center" vertical="center"/>
    </xf>
    <xf numFmtId="0" fontId="100" fillId="11" borderId="37" xfId="0" applyFont="1" applyFill="1" applyBorder="1"/>
    <xf numFmtId="0" fontId="100" fillId="11" borderId="0" xfId="0" applyFont="1" applyFill="1"/>
    <xf numFmtId="0" fontId="100" fillId="11" borderId="38" xfId="0" applyFont="1" applyFill="1" applyBorder="1"/>
    <xf numFmtId="0" fontId="24" fillId="0" borderId="1" xfId="19" applyFont="1" applyBorder="1" applyAlignment="1">
      <alignment horizontal="center" vertical="center" wrapText="1"/>
    </xf>
    <xf numFmtId="10" fontId="24" fillId="0" borderId="1" xfId="19" applyNumberFormat="1" applyFont="1" applyBorder="1" applyAlignment="1">
      <alignment horizontal="center" vertical="center" wrapText="1"/>
    </xf>
    <xf numFmtId="10" fontId="101" fillId="0" borderId="1" xfId="19" applyNumberFormat="1" applyFont="1" applyBorder="1" applyAlignment="1">
      <alignment horizontal="center" vertical="center" wrapText="1"/>
    </xf>
    <xf numFmtId="10" fontId="101" fillId="10" borderId="1" xfId="19" applyNumberFormat="1" applyFont="1" applyFill="1" applyBorder="1" applyAlignment="1">
      <alignment horizontal="center" vertical="center" wrapText="1"/>
    </xf>
    <xf numFmtId="0" fontId="14" fillId="0" borderId="0" xfId="0" applyFont="1"/>
    <xf numFmtId="0" fontId="14" fillId="0" borderId="0" xfId="0" applyFont="1" applyAlignment="1">
      <alignment horizontal="center"/>
    </xf>
    <xf numFmtId="4" fontId="14" fillId="0" borderId="0" xfId="0" applyNumberFormat="1" applyFont="1" applyAlignment="1">
      <alignment horizontal="center"/>
    </xf>
    <xf numFmtId="0" fontId="16" fillId="12" borderId="40" xfId="48" applyFont="1" applyFill="1" applyBorder="1" applyAlignment="1">
      <alignment horizontal="center" vertical="center" wrapText="1"/>
    </xf>
    <xf numFmtId="0" fontId="14" fillId="0" borderId="0" xfId="34" applyFont="1"/>
    <xf numFmtId="0" fontId="3" fillId="6" borderId="1" xfId="0" applyFont="1" applyFill="1" applyBorder="1" applyAlignment="1">
      <alignment horizontal="left" vertical="center" wrapText="1"/>
    </xf>
    <xf numFmtId="0" fontId="3" fillId="6" borderId="1" xfId="0" applyFont="1" applyFill="1" applyBorder="1" applyAlignment="1">
      <alignment horizontal="center" vertical="center"/>
    </xf>
    <xf numFmtId="4" fontId="3" fillId="3" borderId="1" xfId="92" applyNumberFormat="1" applyFont="1" applyFill="1" applyBorder="1" applyAlignment="1" applyProtection="1">
      <alignment vertical="center"/>
      <protection locked="0"/>
    </xf>
    <xf numFmtId="4" fontId="3" fillId="0" borderId="7" xfId="92" applyNumberFormat="1" applyFont="1" applyBorder="1" applyAlignment="1" applyProtection="1">
      <alignment vertical="center"/>
    </xf>
    <xf numFmtId="4" fontId="5" fillId="3" borderId="1" xfId="92" applyNumberFormat="1" applyFont="1" applyFill="1" applyBorder="1" applyAlignment="1" applyProtection="1">
      <alignment vertical="center"/>
      <protection locked="0"/>
    </xf>
    <xf numFmtId="167" fontId="2" fillId="0" borderId="1" xfId="14" applyBorder="1" applyAlignment="1" applyProtection="1">
      <alignment vertical="center"/>
    </xf>
    <xf numFmtId="167" fontId="2" fillId="0" borderId="0" xfId="2" applyBorder="1" applyProtection="1">
      <protection locked="0"/>
    </xf>
    <xf numFmtId="0" fontId="3" fillId="6" borderId="1" xfId="0" applyFont="1" applyFill="1" applyBorder="1" applyAlignment="1">
      <alignment horizontal="left" vertical="center"/>
    </xf>
    <xf numFmtId="0" fontId="9" fillId="6" borderId="41" xfId="0" applyFont="1" applyFill="1" applyBorder="1" applyAlignment="1">
      <alignment horizontal="center" vertical="center"/>
    </xf>
    <xf numFmtId="4" fontId="9" fillId="6" borderId="42"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02" fillId="7" borderId="1" xfId="0" applyFont="1" applyFill="1" applyBorder="1" applyAlignment="1">
      <alignment horizontal="center" vertical="center" wrapText="1"/>
    </xf>
    <xf numFmtId="0" fontId="103" fillId="0" borderId="1" xfId="0" applyFont="1" applyBorder="1" applyAlignment="1">
      <alignment vertical="center" wrapText="1"/>
    </xf>
    <xf numFmtId="49" fontId="104" fillId="0" borderId="1" xfId="0" applyNumberFormat="1" applyFont="1" applyBorder="1" applyAlignment="1">
      <alignment horizontal="center" vertical="center" wrapText="1"/>
    </xf>
    <xf numFmtId="0" fontId="103" fillId="0" borderId="1" xfId="0" applyFont="1" applyBorder="1" applyAlignment="1">
      <alignment horizontal="center" vertical="center"/>
    </xf>
    <xf numFmtId="0" fontId="103" fillId="0" borderId="1" xfId="0" applyFont="1" applyBorder="1" applyAlignment="1">
      <alignment horizontal="center" vertical="center" wrapText="1"/>
    </xf>
    <xf numFmtId="169" fontId="103" fillId="0" borderId="1" xfId="0" applyNumberFormat="1" applyFont="1" applyBorder="1" applyAlignment="1">
      <alignment vertical="center" wrapText="1"/>
    </xf>
    <xf numFmtId="9" fontId="103" fillId="0" borderId="1" xfId="0" applyNumberFormat="1" applyFont="1" applyBorder="1" applyAlignment="1">
      <alignment horizontal="center" vertical="center" wrapText="1"/>
    </xf>
    <xf numFmtId="0" fontId="102" fillId="13" borderId="1" xfId="0" applyFont="1" applyFill="1" applyBorder="1" applyAlignment="1">
      <alignment horizontal="center" vertical="center" wrapText="1"/>
    </xf>
    <xf numFmtId="171" fontId="102" fillId="13" borderId="1" xfId="0" applyNumberFormat="1" applyFont="1" applyFill="1" applyBorder="1" applyAlignment="1">
      <alignment vertical="center" wrapText="1"/>
    </xf>
    <xf numFmtId="0" fontId="102" fillId="13" borderId="1" xfId="0" applyFont="1" applyFill="1" applyBorder="1" applyAlignment="1">
      <alignment vertical="center" wrapText="1"/>
    </xf>
    <xf numFmtId="4" fontId="0" fillId="0" borderId="0" xfId="0" applyNumberFormat="1"/>
    <xf numFmtId="3" fontId="5" fillId="0" borderId="1" xfId="0" applyNumberFormat="1" applyFont="1" applyBorder="1" applyAlignment="1" applyProtection="1">
      <alignment vertical="center"/>
      <protection locked="0"/>
    </xf>
    <xf numFmtId="4" fontId="5" fillId="0" borderId="1" xfId="0" applyNumberFormat="1" applyFont="1" applyBorder="1" applyAlignment="1">
      <alignment vertical="center"/>
    </xf>
    <xf numFmtId="4" fontId="5" fillId="0" borderId="1" xfId="49" applyNumberFormat="1" applyFont="1" applyBorder="1" applyAlignment="1" applyProtection="1">
      <alignment vertical="center"/>
      <protection locked="0"/>
    </xf>
    <xf numFmtId="4" fontId="10" fillId="7" borderId="1" xfId="0" applyNumberFormat="1" applyFont="1" applyFill="1" applyBorder="1" applyAlignment="1">
      <alignment vertical="center"/>
    </xf>
    <xf numFmtId="4" fontId="10" fillId="7" borderId="7" xfId="0" applyNumberFormat="1" applyFont="1" applyFill="1" applyBorder="1" applyAlignment="1">
      <alignment vertical="center"/>
    </xf>
    <xf numFmtId="0" fontId="10" fillId="0" borderId="1" xfId="0" applyFont="1" applyBorder="1" applyAlignment="1">
      <alignment horizontal="center" vertical="center"/>
    </xf>
    <xf numFmtId="0" fontId="5" fillId="0" borderId="1" xfId="0" applyFont="1" applyBorder="1" applyAlignment="1">
      <alignment vertical="center"/>
    </xf>
    <xf numFmtId="10" fontId="5" fillId="0" borderId="1" xfId="0" applyNumberFormat="1" applyFont="1" applyBorder="1" applyAlignment="1">
      <alignment vertical="center"/>
    </xf>
    <xf numFmtId="10" fontId="10" fillId="7" borderId="1" xfId="0" applyNumberFormat="1" applyFont="1" applyFill="1" applyBorder="1" applyAlignment="1">
      <alignment vertical="center"/>
    </xf>
    <xf numFmtId="1" fontId="5" fillId="0" borderId="1" xfId="0" applyNumberFormat="1" applyFont="1" applyBorder="1" applyAlignment="1" applyProtection="1">
      <alignment vertical="center"/>
      <protection locked="0"/>
    </xf>
    <xf numFmtId="9" fontId="5" fillId="0" borderId="1" xfId="49" applyFont="1" applyBorder="1" applyAlignment="1" applyProtection="1">
      <alignment vertical="center"/>
      <protection locked="0"/>
    </xf>
    <xf numFmtId="10" fontId="5" fillId="0" borderId="1" xfId="0" applyNumberFormat="1" applyFont="1" applyBorder="1" applyAlignment="1" applyProtection="1">
      <alignment vertical="center"/>
      <protection locked="0"/>
    </xf>
    <xf numFmtId="1" fontId="2" fillId="0" borderId="1" xfId="0" applyNumberFormat="1" applyFont="1" applyBorder="1" applyAlignment="1" applyProtection="1">
      <alignment vertical="center"/>
      <protection locked="0"/>
    </xf>
    <xf numFmtId="4" fontId="2" fillId="0" borderId="1" xfId="0" applyNumberFormat="1" applyFont="1" applyBorder="1" applyAlignment="1">
      <alignment vertical="center"/>
    </xf>
    <xf numFmtId="9" fontId="2" fillId="0" borderId="1" xfId="49" applyFont="1" applyBorder="1" applyAlignment="1" applyProtection="1">
      <alignment vertical="center"/>
      <protection locked="0"/>
    </xf>
    <xf numFmtId="4" fontId="38" fillId="7" borderId="1" xfId="0" applyNumberFormat="1" applyFont="1" applyFill="1" applyBorder="1" applyAlignment="1">
      <alignment vertical="center"/>
    </xf>
    <xf numFmtId="0" fontId="38" fillId="0" borderId="1" xfId="0" applyFont="1" applyBorder="1" applyAlignment="1">
      <alignment horizontal="center" vertical="center"/>
    </xf>
    <xf numFmtId="0" fontId="2" fillId="0" borderId="1" xfId="0" applyFont="1" applyBorder="1" applyAlignment="1">
      <alignment vertical="center"/>
    </xf>
    <xf numFmtId="10" fontId="2" fillId="0" borderId="1" xfId="0" applyNumberFormat="1" applyFont="1" applyBorder="1" applyAlignment="1">
      <alignment vertical="center"/>
    </xf>
    <xf numFmtId="10" fontId="38" fillId="7" borderId="1" xfId="0" applyNumberFormat="1" applyFont="1" applyFill="1" applyBorder="1" applyAlignment="1">
      <alignment vertical="center"/>
    </xf>
    <xf numFmtId="0" fontId="24" fillId="0" borderId="0" xfId="46" applyFont="1" applyAlignment="1">
      <alignment vertical="center"/>
    </xf>
    <xf numFmtId="0" fontId="10" fillId="0" borderId="0" xfId="46" applyFont="1"/>
    <xf numFmtId="4" fontId="5" fillId="6" borderId="18" xfId="1" applyNumberFormat="1" applyFont="1" applyFill="1" applyBorder="1" applyAlignment="1" applyProtection="1">
      <alignment vertical="center"/>
    </xf>
    <xf numFmtId="4" fontId="5" fillId="6" borderId="1" xfId="1" applyNumberFormat="1" applyFont="1" applyFill="1" applyBorder="1" applyAlignment="1" applyProtection="1">
      <alignment vertical="center"/>
    </xf>
    <xf numFmtId="4" fontId="10" fillId="6" borderId="1" xfId="1" applyNumberFormat="1" applyFont="1" applyFill="1" applyBorder="1" applyAlignment="1" applyProtection="1">
      <alignment horizontal="right" vertical="center"/>
    </xf>
    <xf numFmtId="0" fontId="2" fillId="0" borderId="0" xfId="19"/>
    <xf numFmtId="0" fontId="39" fillId="0" borderId="39" xfId="19" applyFont="1" applyBorder="1" applyAlignment="1">
      <alignment horizontal="right" vertical="center"/>
    </xf>
    <xf numFmtId="0" fontId="38" fillId="14" borderId="1" xfId="19" applyFont="1" applyFill="1" applyBorder="1" applyAlignment="1">
      <alignment horizontal="center" vertical="center" wrapText="1"/>
    </xf>
    <xf numFmtId="0" fontId="42" fillId="14" borderId="1" xfId="19" applyFont="1" applyFill="1" applyBorder="1" applyAlignment="1">
      <alignment horizontal="center" vertical="center"/>
    </xf>
    <xf numFmtId="0" fontId="28" fillId="14" borderId="1" xfId="19" applyFont="1" applyFill="1" applyBorder="1" applyAlignment="1">
      <alignment horizontal="center" vertical="center"/>
    </xf>
    <xf numFmtId="0" fontId="43" fillId="0" borderId="1" xfId="19" applyFont="1" applyBorder="1" applyAlignment="1">
      <alignment horizontal="center" vertical="center"/>
    </xf>
    <xf numFmtId="10" fontId="42" fillId="0" borderId="1" xfId="19" applyNumberFormat="1" applyFont="1" applyBorder="1" applyAlignment="1">
      <alignment horizontal="center" vertical="center"/>
    </xf>
    <xf numFmtId="0" fontId="42" fillId="0" borderId="1" xfId="19" applyFont="1" applyBorder="1" applyAlignment="1">
      <alignment horizontal="center" vertical="center"/>
    </xf>
    <xf numFmtId="4" fontId="35" fillId="0" borderId="1" xfId="19" applyNumberFormat="1" applyFont="1" applyBorder="1" applyAlignment="1">
      <alignment horizontal="center"/>
    </xf>
    <xf numFmtId="0" fontId="43" fillId="0" borderId="18" xfId="19" applyFont="1" applyBorder="1" applyAlignment="1">
      <alignment horizontal="center" vertical="center"/>
    </xf>
    <xf numFmtId="10" fontId="42" fillId="0" borderId="18" xfId="19" applyNumberFormat="1" applyFont="1" applyBorder="1" applyAlignment="1">
      <alignment horizontal="center" vertical="center"/>
    </xf>
    <xf numFmtId="0" fontId="42" fillId="0" borderId="18" xfId="19" applyFont="1" applyBorder="1" applyAlignment="1">
      <alignment horizontal="center" vertical="center"/>
    </xf>
    <xf numFmtId="10" fontId="105" fillId="0" borderId="1" xfId="52" applyNumberFormat="1" applyFont="1" applyBorder="1" applyAlignment="1" applyProtection="1">
      <alignment horizontal="center" vertical="center"/>
    </xf>
    <xf numFmtId="0" fontId="12" fillId="0" borderId="0" xfId="0" applyFont="1" applyAlignment="1">
      <alignment horizontal="center" vertical="center" wrapText="1"/>
    </xf>
    <xf numFmtId="10"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39" xfId="25" applyFont="1" applyBorder="1" applyAlignment="1">
      <alignment horizontal="center" vertical="center"/>
    </xf>
    <xf numFmtId="9" fontId="3" fillId="7" borderId="26" xfId="0" applyNumberFormat="1" applyFont="1" applyFill="1" applyBorder="1" applyAlignment="1">
      <alignment horizontal="center" vertical="center" wrapText="1"/>
    </xf>
    <xf numFmtId="170" fontId="3" fillId="0" borderId="0" xfId="0" applyNumberFormat="1" applyFont="1" applyAlignment="1">
      <alignment vertical="center" wrapText="1"/>
    </xf>
    <xf numFmtId="0" fontId="3" fillId="7" borderId="25"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0" borderId="0" xfId="0" applyFont="1" applyAlignment="1">
      <alignment horizontal="center" vertical="center"/>
    </xf>
    <xf numFmtId="10" fontId="48" fillId="15" borderId="1" xfId="49" applyNumberFormat="1" applyFont="1" applyFill="1" applyBorder="1" applyAlignment="1" applyProtection="1">
      <alignment horizontal="center" vertical="center"/>
      <protection locked="0"/>
    </xf>
    <xf numFmtId="171" fontId="3" fillId="7" borderId="26" xfId="0" applyNumberFormat="1" applyFont="1" applyFill="1" applyBorder="1" applyAlignment="1">
      <alignment horizontal="center" vertical="center" wrapText="1"/>
    </xf>
    <xf numFmtId="0" fontId="26" fillId="7" borderId="26" xfId="0" applyFont="1" applyFill="1" applyBorder="1" applyAlignment="1">
      <alignment horizontal="center" vertical="center" wrapText="1"/>
    </xf>
    <xf numFmtId="9" fontId="27" fillId="7" borderId="26" xfId="0" applyNumberFormat="1" applyFont="1" applyFill="1" applyBorder="1" applyAlignment="1">
      <alignment horizontal="center" vertical="center" wrapText="1"/>
    </xf>
    <xf numFmtId="0" fontId="3" fillId="7" borderId="28" xfId="0"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3" fillId="0" borderId="6" xfId="0" applyFont="1" applyBorder="1" applyAlignment="1">
      <alignment horizontal="center" vertical="center" wrapText="1"/>
    </xf>
    <xf numFmtId="4" fontId="3" fillId="0" borderId="6" xfId="0" applyNumberFormat="1" applyFont="1" applyBorder="1" applyAlignment="1">
      <alignment horizontal="right" vertical="center" wrapText="1"/>
    </xf>
    <xf numFmtId="169" fontId="3" fillId="0" borderId="6" xfId="25" applyNumberFormat="1" applyFont="1" applyBorder="1" applyAlignment="1">
      <alignment horizontal="center" vertical="center"/>
    </xf>
    <xf numFmtId="0" fontId="82" fillId="0" borderId="3" xfId="0" applyFont="1" applyBorder="1" applyAlignment="1">
      <alignment horizontal="left" vertical="center" wrapText="1"/>
    </xf>
    <xf numFmtId="1" fontId="3" fillId="0" borderId="2" xfId="0" applyNumberFormat="1" applyFont="1" applyBorder="1" applyAlignment="1">
      <alignment horizontal="center" vertical="center"/>
    </xf>
    <xf numFmtId="4" fontId="3" fillId="0" borderId="2" xfId="0" applyNumberFormat="1" applyFont="1" applyBorder="1" applyAlignment="1">
      <alignment vertical="center"/>
    </xf>
    <xf numFmtId="169" fontId="3" fillId="0" borderId="2" xfId="25" applyNumberFormat="1" applyFont="1" applyBorder="1" applyAlignment="1">
      <alignment horizontal="center" vertical="center"/>
    </xf>
    <xf numFmtId="4" fontId="3" fillId="0" borderId="2" xfId="0" applyNumberFormat="1" applyFont="1" applyBorder="1" applyAlignment="1">
      <alignment horizontal="right" vertical="center" wrapText="1"/>
    </xf>
    <xf numFmtId="4" fontId="3" fillId="16" borderId="1" xfId="0" applyNumberFormat="1" applyFont="1" applyFill="1" applyBorder="1" applyAlignment="1">
      <alignment horizontal="right" vertical="center" wrapText="1"/>
    </xf>
    <xf numFmtId="4" fontId="3" fillId="16" borderId="5" xfId="0" applyNumberFormat="1" applyFont="1" applyFill="1" applyBorder="1" applyAlignment="1">
      <alignment horizontal="right" vertical="center" wrapText="1"/>
    </xf>
    <xf numFmtId="4" fontId="3" fillId="16" borderId="7" xfId="0" applyNumberFormat="1" applyFont="1" applyFill="1" applyBorder="1" applyAlignment="1">
      <alignment horizontal="right" vertical="center" wrapText="1"/>
    </xf>
    <xf numFmtId="4" fontId="3" fillId="16" borderId="9" xfId="0" applyNumberFormat="1" applyFont="1" applyFill="1" applyBorder="1" applyAlignment="1">
      <alignment horizontal="right" vertical="center" wrapText="1"/>
    </xf>
    <xf numFmtId="169" fontId="3" fillId="0" borderId="1" xfId="25" applyNumberFormat="1" applyFont="1" applyBorder="1" applyAlignment="1">
      <alignment horizontal="center" vertical="center"/>
    </xf>
    <xf numFmtId="4" fontId="3" fillId="3" borderId="1" xfId="20" applyNumberFormat="1" applyFont="1" applyFill="1" applyBorder="1" applyAlignment="1" applyProtection="1">
      <alignment horizontal="center" vertical="center"/>
      <protection locked="0"/>
    </xf>
    <xf numFmtId="4" fontId="3" fillId="3" borderId="1" xfId="0" applyNumberFormat="1" applyFont="1" applyFill="1" applyBorder="1" applyAlignment="1" applyProtection="1">
      <alignment horizontal="center" vertical="center" wrapText="1"/>
      <protection locked="0"/>
    </xf>
    <xf numFmtId="4" fontId="3" fillId="3" borderId="1" xfId="20"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2" fillId="0" borderId="37" xfId="0" applyFont="1" applyBorder="1" applyAlignment="1">
      <alignment vertical="center" wrapText="1"/>
    </xf>
    <xf numFmtId="0" fontId="12" fillId="0" borderId="0" xfId="0" applyFont="1" applyAlignment="1">
      <alignment vertical="center" wrapText="1"/>
    </xf>
    <xf numFmtId="4" fontId="5" fillId="17" borderId="1" xfId="0" applyNumberFormat="1" applyFont="1" applyFill="1" applyBorder="1" applyAlignment="1">
      <alignment vertical="center"/>
    </xf>
    <xf numFmtId="4" fontId="2" fillId="17" borderId="1" xfId="0" applyNumberFormat="1" applyFont="1" applyFill="1" applyBorder="1" applyAlignment="1">
      <alignment vertical="center"/>
    </xf>
    <xf numFmtId="0" fontId="3" fillId="0" borderId="1" xfId="0" applyFont="1" applyBorder="1" applyAlignment="1">
      <alignment horizontal="left" vertical="center" wrapText="1"/>
    </xf>
    <xf numFmtId="0" fontId="51" fillId="7" borderId="1" xfId="0" applyFont="1" applyFill="1" applyBorder="1" applyAlignment="1">
      <alignment horizontal="center" vertical="center" wrapText="1"/>
    </xf>
    <xf numFmtId="0" fontId="83" fillId="0" borderId="0" xfId="22" applyAlignment="1">
      <alignment vertical="center"/>
    </xf>
    <xf numFmtId="0" fontId="83" fillId="0" borderId="43" xfId="22" applyBorder="1" applyAlignment="1">
      <alignment vertical="center"/>
    </xf>
    <xf numFmtId="0" fontId="106" fillId="0" borderId="0" xfId="22" applyFont="1" applyAlignment="1">
      <alignment vertical="center"/>
    </xf>
    <xf numFmtId="0" fontId="106" fillId="18" borderId="1" xfId="22" applyFont="1" applyFill="1" applyBorder="1" applyAlignment="1">
      <alignment horizontal="center" vertical="center"/>
    </xf>
    <xf numFmtId="0" fontId="106" fillId="18" borderId="1" xfId="22" applyFont="1" applyFill="1" applyBorder="1" applyAlignment="1">
      <alignment horizontal="center" vertical="center" wrapText="1"/>
    </xf>
    <xf numFmtId="0" fontId="83" fillId="0" borderId="1" xfId="22" applyBorder="1" applyAlignment="1">
      <alignment horizontal="center" vertical="center"/>
    </xf>
    <xf numFmtId="171" fontId="83" fillId="15" borderId="1" xfId="22" applyNumberFormat="1" applyFill="1" applyBorder="1" applyAlignment="1">
      <alignment vertical="center"/>
    </xf>
    <xf numFmtId="171" fontId="83" fillId="0" borderId="1" xfId="22" applyNumberFormat="1" applyBorder="1" applyAlignment="1">
      <alignment vertical="center"/>
    </xf>
    <xf numFmtId="171" fontId="107" fillId="0" borderId="1" xfId="22" applyNumberFormat="1" applyFont="1" applyBorder="1" applyAlignment="1">
      <alignment horizontal="center" vertical="center"/>
    </xf>
    <xf numFmtId="0" fontId="83" fillId="0" borderId="0" xfId="22"/>
    <xf numFmtId="0" fontId="82" fillId="6" borderId="0" xfId="23" applyFill="1" applyAlignment="1">
      <alignment vertical="center"/>
    </xf>
    <xf numFmtId="0" fontId="82" fillId="0" borderId="0" xfId="23" applyAlignment="1">
      <alignment vertical="center"/>
    </xf>
    <xf numFmtId="0" fontId="82" fillId="6" borderId="44" xfId="23" applyFill="1" applyBorder="1" applyAlignment="1">
      <alignment vertical="center"/>
    </xf>
    <xf numFmtId="0" fontId="82" fillId="6" borderId="45" xfId="23" applyFill="1" applyBorder="1" applyAlignment="1">
      <alignment vertical="center"/>
    </xf>
    <xf numFmtId="0" fontId="82" fillId="0" borderId="45" xfId="23" applyBorder="1" applyAlignment="1">
      <alignment vertical="center"/>
    </xf>
    <xf numFmtId="0" fontId="82" fillId="0" borderId="46" xfId="23" applyBorder="1" applyAlignment="1">
      <alignment vertical="center"/>
    </xf>
    <xf numFmtId="0" fontId="82" fillId="6" borderId="47" xfId="23" applyFill="1" applyBorder="1" applyAlignment="1">
      <alignment vertical="center"/>
    </xf>
    <xf numFmtId="0" fontId="82" fillId="0" borderId="43" xfId="23" applyBorder="1" applyAlignment="1">
      <alignment vertical="center"/>
    </xf>
    <xf numFmtId="0" fontId="94" fillId="6" borderId="19" xfId="23" applyFont="1" applyFill="1" applyBorder="1" applyAlignment="1">
      <alignment horizontal="center" vertical="center"/>
    </xf>
    <xf numFmtId="0" fontId="82" fillId="19" borderId="39" xfId="23" applyFill="1" applyBorder="1" applyAlignment="1">
      <alignment horizontal="center" vertical="center"/>
    </xf>
    <xf numFmtId="0" fontId="82" fillId="19" borderId="1" xfId="23" applyFill="1" applyBorder="1" applyAlignment="1">
      <alignment horizontal="center" vertical="center"/>
    </xf>
    <xf numFmtId="0" fontId="82" fillId="19" borderId="1" xfId="23" applyFill="1" applyBorder="1" applyAlignment="1">
      <alignment horizontal="center" vertical="center" wrapText="1"/>
    </xf>
    <xf numFmtId="0" fontId="108" fillId="6" borderId="1" xfId="23" applyFont="1" applyFill="1" applyBorder="1" applyAlignment="1">
      <alignment horizontal="right" vertical="center"/>
    </xf>
    <xf numFmtId="9" fontId="108" fillId="6" borderId="1" xfId="23" applyNumberFormat="1" applyFont="1" applyFill="1" applyBorder="1" applyAlignment="1">
      <alignment horizontal="center" vertical="center"/>
    </xf>
    <xf numFmtId="171" fontId="109" fillId="6" borderId="1" xfId="23" applyNumberFormat="1" applyFont="1" applyFill="1" applyBorder="1" applyAlignment="1">
      <alignment horizontal="center" vertical="center"/>
    </xf>
    <xf numFmtId="0" fontId="53" fillId="6" borderId="35" xfId="23" applyFont="1" applyFill="1" applyBorder="1" applyAlignment="1">
      <alignment horizontal="left" vertical="center" wrapText="1"/>
    </xf>
    <xf numFmtId="0" fontId="22" fillId="6" borderId="35" xfId="23" applyFont="1" applyFill="1" applyBorder="1" applyAlignment="1">
      <alignment horizontal="left" vertical="center" wrapText="1"/>
    </xf>
    <xf numFmtId="176" fontId="10" fillId="20" borderId="4" xfId="23" applyNumberFormat="1" applyFont="1" applyFill="1" applyBorder="1" applyAlignment="1">
      <alignment horizontal="left" vertical="center" wrapText="1" indent="1"/>
    </xf>
    <xf numFmtId="0" fontId="10" fillId="20" borderId="6" xfId="23" applyFont="1" applyFill="1" applyBorder="1" applyAlignment="1">
      <alignment horizontal="left" vertical="center" wrapText="1"/>
    </xf>
    <xf numFmtId="0" fontId="10" fillId="20" borderId="6" xfId="23" applyFont="1" applyFill="1" applyBorder="1" applyAlignment="1">
      <alignment horizontal="center" vertical="center" wrapText="1"/>
    </xf>
    <xf numFmtId="168" fontId="10" fillId="20" borderId="6" xfId="100" applyFont="1" applyFill="1" applyBorder="1" applyAlignment="1" applyProtection="1">
      <alignment horizontal="center" vertical="center" wrapText="1"/>
    </xf>
    <xf numFmtId="168" fontId="10" fillId="20" borderId="48" xfId="100" applyFont="1" applyFill="1" applyBorder="1" applyAlignment="1" applyProtection="1">
      <alignment horizontal="center" vertical="center" wrapText="1"/>
    </xf>
    <xf numFmtId="168" fontId="10" fillId="20" borderId="5" xfId="100" applyFont="1" applyFill="1" applyBorder="1" applyAlignment="1" applyProtection="1">
      <alignment horizontal="center" vertical="center" wrapText="1"/>
    </xf>
    <xf numFmtId="176" fontId="96" fillId="0" borderId="1" xfId="23" applyNumberFormat="1" applyFont="1" applyBorder="1" applyAlignment="1">
      <alignment horizontal="left" vertical="center" wrapText="1" indent="1"/>
    </xf>
    <xf numFmtId="0" fontId="10" fillId="0" borderId="1" xfId="23" applyFont="1" applyBorder="1" applyAlignment="1">
      <alignment horizontal="left" vertical="center"/>
    </xf>
    <xf numFmtId="176" fontId="5" fillId="0" borderId="1" xfId="23" applyNumberFormat="1" applyFont="1" applyBorder="1" applyAlignment="1">
      <alignment horizontal="center" vertical="center" wrapText="1"/>
    </xf>
    <xf numFmtId="39" fontId="5" fillId="0" borderId="1" xfId="23" applyNumberFormat="1" applyFont="1" applyBorder="1" applyAlignment="1">
      <alignment horizontal="center" vertical="center" wrapText="1"/>
    </xf>
    <xf numFmtId="4" fontId="5" fillId="0" borderId="1" xfId="23" applyNumberFormat="1" applyFont="1" applyBorder="1" applyAlignment="1">
      <alignment vertical="center" wrapText="1"/>
    </xf>
    <xf numFmtId="4" fontId="5" fillId="0" borderId="1" xfId="23" applyNumberFormat="1" applyFont="1" applyBorder="1" applyAlignment="1">
      <alignment horizontal="right" vertical="center" wrapText="1"/>
    </xf>
    <xf numFmtId="176" fontId="5" fillId="0" borderId="1" xfId="23" applyNumberFormat="1" applyFont="1" applyBorder="1" applyAlignment="1">
      <alignment horizontal="left" vertical="center" wrapText="1" indent="1"/>
    </xf>
    <xf numFmtId="176" fontId="5" fillId="0" borderId="1" xfId="23" applyNumberFormat="1" applyFont="1" applyBorder="1" applyAlignment="1">
      <alignment horizontal="left" vertical="center"/>
    </xf>
    <xf numFmtId="176" fontId="5" fillId="0" borderId="1" xfId="23" applyNumberFormat="1" applyFont="1" applyBorder="1" applyAlignment="1">
      <alignment horizontal="left" vertical="center" indent="1"/>
    </xf>
    <xf numFmtId="177" fontId="10" fillId="0" borderId="1" xfId="23" applyNumberFormat="1" applyFont="1" applyBorder="1" applyAlignment="1">
      <alignment vertical="center" wrapText="1"/>
    </xf>
    <xf numFmtId="177" fontId="10" fillId="0" borderId="49" xfId="23" applyNumberFormat="1" applyFont="1" applyBorder="1" applyAlignment="1">
      <alignment horizontal="right" vertical="center" wrapText="1"/>
    </xf>
    <xf numFmtId="4" fontId="10" fillId="20" borderId="22" xfId="23" applyNumberFormat="1" applyFont="1" applyFill="1" applyBorder="1" applyAlignment="1">
      <alignment horizontal="center" vertical="center" wrapText="1"/>
    </xf>
    <xf numFmtId="4" fontId="10" fillId="20" borderId="21" xfId="15" applyNumberFormat="1" applyFont="1" applyFill="1" applyBorder="1" applyAlignment="1" applyProtection="1">
      <alignment horizontal="center" vertical="center" wrapText="1"/>
    </xf>
    <xf numFmtId="4" fontId="10" fillId="20" borderId="21" xfId="15" applyNumberFormat="1" applyFont="1" applyFill="1" applyBorder="1" applyAlignment="1" applyProtection="1">
      <alignment horizontal="right" vertical="center" wrapText="1"/>
    </xf>
    <xf numFmtId="176" fontId="110" fillId="21" borderId="11" xfId="23" applyNumberFormat="1" applyFont="1" applyFill="1" applyBorder="1" applyAlignment="1">
      <alignment horizontal="center" vertical="center" wrapText="1"/>
    </xf>
    <xf numFmtId="0" fontId="23" fillId="0" borderId="0" xfId="23" applyFont="1" applyAlignment="1">
      <alignment horizontal="left" vertical="center" wrapText="1"/>
    </xf>
    <xf numFmtId="0" fontId="23" fillId="0" borderId="0" xfId="23" applyFont="1" applyAlignment="1">
      <alignment horizontal="center" vertical="center" wrapText="1"/>
    </xf>
    <xf numFmtId="0" fontId="23" fillId="0" borderId="0" xfId="23" applyFont="1" applyAlignment="1">
      <alignment vertical="center" wrapText="1"/>
    </xf>
    <xf numFmtId="0" fontId="23" fillId="0" borderId="0" xfId="23" applyFont="1" applyAlignment="1">
      <alignment horizontal="right" vertical="center" wrapText="1"/>
    </xf>
    <xf numFmtId="0" fontId="111" fillId="0" borderId="0" xfId="23" applyFont="1" applyAlignment="1">
      <alignment horizontal="right" vertical="center" wrapText="1"/>
    </xf>
    <xf numFmtId="169" fontId="111" fillId="0" borderId="0" xfId="23" applyNumberFormat="1" applyFont="1" applyAlignment="1">
      <alignment horizontal="center" vertical="center" wrapText="1"/>
    </xf>
    <xf numFmtId="4" fontId="5" fillId="15" borderId="1" xfId="23" applyNumberFormat="1" applyFont="1" applyFill="1" applyBorder="1" applyAlignment="1">
      <alignment horizontal="center" vertical="center" wrapText="1"/>
    </xf>
    <xf numFmtId="4" fontId="111" fillId="0" borderId="0" xfId="23" applyNumberFormat="1" applyFont="1" applyAlignment="1">
      <alignment horizontal="right" vertical="center" wrapText="1"/>
    </xf>
    <xf numFmtId="0" fontId="82" fillId="0" borderId="0" xfId="23"/>
    <xf numFmtId="0" fontId="55" fillId="6" borderId="43" xfId="23" applyFont="1" applyFill="1" applyBorder="1" applyAlignment="1" applyProtection="1">
      <alignment vertical="center"/>
      <protection locked="0"/>
    </xf>
    <xf numFmtId="0" fontId="56" fillId="6" borderId="47" xfId="23" applyFont="1" applyFill="1" applyBorder="1" applyAlignment="1">
      <alignment horizontal="center" vertical="center"/>
    </xf>
    <xf numFmtId="0" fontId="56" fillId="6" borderId="40" xfId="23" applyFont="1" applyFill="1" applyBorder="1" applyAlignment="1">
      <alignment horizontal="center" vertical="center"/>
    </xf>
    <xf numFmtId="0" fontId="56" fillId="6" borderId="40" xfId="23" applyFont="1" applyFill="1" applyBorder="1" applyAlignment="1">
      <alignment horizontal="left" vertical="center"/>
    </xf>
    <xf numFmtId="0" fontId="56" fillId="6" borderId="40" xfId="23" applyFont="1" applyFill="1" applyBorder="1" applyAlignment="1">
      <alignment vertical="center"/>
    </xf>
    <xf numFmtId="10" fontId="56" fillId="6" borderId="40" xfId="51" applyNumberFormat="1" applyFont="1" applyFill="1" applyBorder="1" applyAlignment="1" applyProtection="1">
      <alignment vertical="center"/>
    </xf>
    <xf numFmtId="0" fontId="56" fillId="6" borderId="22" xfId="23" applyFont="1" applyFill="1" applyBorder="1" applyAlignment="1">
      <alignment horizontal="center" vertical="center"/>
    </xf>
    <xf numFmtId="0" fontId="59" fillId="6" borderId="22" xfId="23" applyFont="1" applyFill="1" applyBorder="1" applyAlignment="1">
      <alignment horizontal="center" vertical="center"/>
    </xf>
    <xf numFmtId="0" fontId="56" fillId="6" borderId="0" xfId="23" applyFont="1" applyFill="1" applyAlignment="1">
      <alignment horizontal="center" vertical="center"/>
    </xf>
    <xf numFmtId="175" fontId="56" fillId="0" borderId="0" xfId="51" applyNumberFormat="1" applyFont="1" applyBorder="1" applyAlignment="1" applyProtection="1">
      <alignment horizontal="center" vertical="center"/>
    </xf>
    <xf numFmtId="0" fontId="56" fillId="6" borderId="22" xfId="23" applyFont="1" applyFill="1" applyBorder="1" applyAlignment="1">
      <alignment vertical="center"/>
    </xf>
    <xf numFmtId="175" fontId="56" fillId="0" borderId="22" xfId="51" applyNumberFormat="1" applyFont="1" applyBorder="1" applyAlignment="1" applyProtection="1">
      <alignment horizontal="center" vertical="center"/>
    </xf>
    <xf numFmtId="0" fontId="56" fillId="19" borderId="44" xfId="23" applyFont="1" applyFill="1" applyBorder="1" applyAlignment="1">
      <alignment horizontal="center" vertical="center"/>
    </xf>
    <xf numFmtId="0" fontId="56" fillId="19" borderId="45" xfId="23" applyFont="1" applyFill="1" applyBorder="1" applyAlignment="1">
      <alignment horizontal="center" vertical="center"/>
    </xf>
    <xf numFmtId="0" fontId="56" fillId="19" borderId="45" xfId="23" applyFont="1" applyFill="1" applyBorder="1" applyAlignment="1">
      <alignment vertical="center"/>
    </xf>
    <xf numFmtId="175" fontId="56" fillId="19" borderId="45" xfId="51" applyNumberFormat="1" applyFont="1" applyFill="1" applyBorder="1" applyAlignment="1" applyProtection="1">
      <alignment horizontal="right" vertical="center"/>
    </xf>
    <xf numFmtId="0" fontId="56" fillId="19" borderId="47" xfId="23" applyFont="1" applyFill="1" applyBorder="1" applyAlignment="1">
      <alignment horizontal="center" vertical="center"/>
    </xf>
    <xf numFmtId="0" fontId="56" fillId="19" borderId="0" xfId="23" applyFont="1" applyFill="1" applyAlignment="1">
      <alignment horizontal="center"/>
    </xf>
    <xf numFmtId="0" fontId="56" fillId="19" borderId="0" xfId="37" applyFont="1" applyFill="1"/>
    <xf numFmtId="10" fontId="56" fillId="19" borderId="0" xfId="56" applyNumberFormat="1" applyFont="1" applyFill="1" applyBorder="1" applyProtection="1"/>
    <xf numFmtId="175" fontId="56" fillId="19" borderId="0" xfId="56" applyNumberFormat="1" applyFont="1" applyFill="1" applyBorder="1" applyAlignment="1" applyProtection="1">
      <alignment horizontal="center"/>
    </xf>
    <xf numFmtId="0" fontId="56" fillId="19" borderId="19" xfId="23" applyFont="1" applyFill="1" applyBorder="1" applyAlignment="1">
      <alignment horizontal="center" vertical="center"/>
    </xf>
    <xf numFmtId="0" fontId="56" fillId="19" borderId="22" xfId="23" applyFont="1" applyFill="1" applyBorder="1" applyAlignment="1">
      <alignment horizontal="center" vertical="center"/>
    </xf>
    <xf numFmtId="0" fontId="56" fillId="19" borderId="22" xfId="23" applyFont="1" applyFill="1" applyBorder="1" applyAlignment="1">
      <alignment vertical="center"/>
    </xf>
    <xf numFmtId="10" fontId="56" fillId="19" borderId="22" xfId="51" applyNumberFormat="1" applyFont="1" applyFill="1" applyBorder="1" applyAlignment="1" applyProtection="1">
      <alignment vertical="center"/>
    </xf>
    <xf numFmtId="181" fontId="56" fillId="19" borderId="22" xfId="51" applyNumberFormat="1" applyFont="1" applyFill="1" applyBorder="1" applyAlignment="1" applyProtection="1">
      <alignment horizontal="right" vertical="center"/>
    </xf>
    <xf numFmtId="4" fontId="25" fillId="7" borderId="43" xfId="0" applyNumberFormat="1" applyFont="1" applyFill="1" applyBorder="1" applyAlignment="1">
      <alignment horizontal="center" vertical="center"/>
    </xf>
    <xf numFmtId="3" fontId="7" fillId="6" borderId="50" xfId="0" applyNumberFormat="1" applyFont="1" applyFill="1" applyBorder="1" applyAlignment="1">
      <alignment horizontal="center" vertical="center"/>
    </xf>
    <xf numFmtId="4" fontId="25" fillId="8" borderId="51" xfId="0" applyNumberFormat="1" applyFont="1" applyFill="1" applyBorder="1" applyAlignment="1">
      <alignment horizontal="center" vertical="center"/>
    </xf>
    <xf numFmtId="4" fontId="24" fillId="0" borderId="7" xfId="0" applyNumberFormat="1" applyFont="1" applyBorder="1" applyAlignment="1">
      <alignment horizontal="center" vertical="center" wrapText="1"/>
    </xf>
    <xf numFmtId="4" fontId="24" fillId="0" borderId="8" xfId="0" applyNumberFormat="1" applyFont="1" applyBorder="1" applyAlignment="1">
      <alignment horizontal="center" vertical="center" wrapText="1"/>
    </xf>
    <xf numFmtId="4" fontId="24" fillId="0" borderId="2" xfId="0" applyNumberFormat="1" applyFont="1" applyBorder="1" applyAlignment="1">
      <alignment horizontal="center" vertical="center" wrapText="1"/>
    </xf>
    <xf numFmtId="4" fontId="24" fillId="0" borderId="9" xfId="0" applyNumberFormat="1" applyFont="1" applyBorder="1" applyAlignment="1">
      <alignment horizontal="center" vertical="center" wrapText="1"/>
    </xf>
    <xf numFmtId="0" fontId="112" fillId="0" borderId="1" xfId="22" applyFont="1" applyBorder="1"/>
    <xf numFmtId="10" fontId="112" fillId="0" borderId="1" xfId="22" applyNumberFormat="1" applyFont="1" applyBorder="1" applyAlignment="1">
      <alignment horizontal="center" vertical="center"/>
    </xf>
    <xf numFmtId="0" fontId="113" fillId="22" borderId="1" xfId="22" applyFont="1" applyFill="1" applyBorder="1"/>
    <xf numFmtId="10" fontId="113" fillId="22" borderId="1" xfId="22" applyNumberFormat="1" applyFont="1" applyFill="1" applyBorder="1" applyAlignment="1">
      <alignment horizontal="center" vertical="center"/>
    </xf>
    <xf numFmtId="0" fontId="112" fillId="0" borderId="1" xfId="22" applyFont="1" applyBorder="1" applyAlignment="1">
      <alignment horizontal="center"/>
    </xf>
    <xf numFmtId="171" fontId="112" fillId="0" borderId="39" xfId="22" applyNumberFormat="1" applyFont="1" applyBorder="1"/>
    <xf numFmtId="171" fontId="113" fillId="23" borderId="39" xfId="22" applyNumberFormat="1" applyFont="1" applyFill="1" applyBorder="1" applyAlignment="1">
      <alignment vertical="center"/>
    </xf>
    <xf numFmtId="174" fontId="112" fillId="0" borderId="39" xfId="22" applyNumberFormat="1" applyFont="1" applyBorder="1"/>
    <xf numFmtId="0" fontId="48" fillId="24" borderId="25" xfId="25" applyFont="1" applyFill="1" applyBorder="1" applyAlignment="1">
      <alignment horizontal="center" vertical="center"/>
    </xf>
    <xf numFmtId="0" fontId="48" fillId="24" borderId="28" xfId="25" applyFont="1" applyFill="1" applyBorder="1" applyAlignment="1">
      <alignment horizontal="center" vertical="center"/>
    </xf>
    <xf numFmtId="171" fontId="113" fillId="25" borderId="2" xfId="22" applyNumberFormat="1" applyFont="1" applyFill="1" applyBorder="1" applyAlignment="1">
      <alignment vertical="center"/>
    </xf>
    <xf numFmtId="171" fontId="113" fillId="25" borderId="10" xfId="22" applyNumberFormat="1" applyFont="1" applyFill="1" applyBorder="1" applyAlignment="1">
      <alignment vertical="center"/>
    </xf>
    <xf numFmtId="167" fontId="18" fillId="0" borderId="39" xfId="2" applyFont="1" applyBorder="1" applyProtection="1"/>
    <xf numFmtId="167" fontId="114" fillId="26" borderId="39" xfId="2" applyFont="1" applyFill="1" applyBorder="1" applyProtection="1"/>
    <xf numFmtId="0" fontId="5" fillId="0" borderId="3" xfId="0" applyFont="1" applyBorder="1" applyAlignment="1">
      <alignment vertical="center"/>
    </xf>
    <xf numFmtId="4" fontId="25" fillId="27" borderId="31" xfId="0" applyNumberFormat="1" applyFont="1" applyFill="1" applyBorder="1" applyAlignment="1">
      <alignment horizontal="center" vertical="center"/>
    </xf>
    <xf numFmtId="4" fontId="25" fillId="6" borderId="31" xfId="0" applyNumberFormat="1" applyFont="1" applyFill="1" applyBorder="1" applyAlignment="1">
      <alignment horizontal="center" vertical="center"/>
    </xf>
    <xf numFmtId="0" fontId="27" fillId="0" borderId="0" xfId="0" applyFont="1"/>
    <xf numFmtId="0" fontId="46"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27" fillId="0" borderId="1" xfId="0" applyFont="1" applyBorder="1" applyAlignment="1">
      <alignment horizontal="center"/>
    </xf>
    <xf numFmtId="0" fontId="27" fillId="0" borderId="0" xfId="25" applyFont="1" applyAlignment="1">
      <alignment vertical="center"/>
    </xf>
    <xf numFmtId="0" fontId="27" fillId="0" borderId="39" xfId="0" applyFont="1" applyBorder="1" applyAlignment="1">
      <alignment vertical="center" wrapText="1"/>
    </xf>
    <xf numFmtId="0" fontId="27" fillId="28" borderId="1" xfId="0" applyFont="1" applyFill="1" applyBorder="1" applyAlignment="1">
      <alignment horizontal="center" vertical="center" wrapText="1"/>
    </xf>
    <xf numFmtId="0" fontId="10" fillId="7" borderId="3" xfId="0" applyFont="1" applyFill="1" applyBorder="1" applyAlignment="1">
      <alignment vertical="center"/>
    </xf>
    <xf numFmtId="0" fontId="10" fillId="7" borderId="1" xfId="0" applyFont="1" applyFill="1" applyBorder="1" applyAlignment="1">
      <alignment vertical="center"/>
    </xf>
    <xf numFmtId="0" fontId="27" fillId="0" borderId="0" xfId="25" applyFont="1"/>
    <xf numFmtId="0" fontId="27" fillId="0" borderId="0" xfId="25" applyFont="1" applyAlignment="1">
      <alignment horizontal="center"/>
    </xf>
    <xf numFmtId="10" fontId="48" fillId="29" borderId="52" xfId="25" applyNumberFormat="1" applyFont="1" applyFill="1" applyBorder="1" applyAlignment="1">
      <alignment horizontal="center" vertical="center"/>
    </xf>
    <xf numFmtId="0" fontId="46" fillId="2" borderId="6" xfId="89" applyNumberFormat="1" applyFont="1" applyFill="1" applyBorder="1" applyAlignment="1" applyProtection="1">
      <alignment horizontal="center" vertical="center" wrapText="1"/>
    </xf>
    <xf numFmtId="0" fontId="10" fillId="30" borderId="4" xfId="89" applyNumberFormat="1" applyFont="1" applyFill="1" applyBorder="1" applyAlignment="1" applyProtection="1">
      <alignment horizontal="center" vertical="center" wrapText="1"/>
    </xf>
    <xf numFmtId="0" fontId="10" fillId="30" borderId="6" xfId="89" applyNumberFormat="1" applyFont="1" applyFill="1" applyBorder="1" applyAlignment="1" applyProtection="1">
      <alignment horizontal="center" vertical="center" wrapText="1"/>
    </xf>
    <xf numFmtId="0" fontId="10" fillId="30" borderId="5" xfId="89" applyNumberFormat="1" applyFont="1" applyFill="1" applyBorder="1" applyAlignment="1" applyProtection="1">
      <alignment horizontal="center" vertical="center" wrapText="1"/>
    </xf>
    <xf numFmtId="1" fontId="45" fillId="0" borderId="3" xfId="25" applyNumberFormat="1" applyFont="1" applyBorder="1" applyAlignment="1">
      <alignment horizontal="center" vertical="center"/>
    </xf>
    <xf numFmtId="0" fontId="45" fillId="0" borderId="1" xfId="25" applyFont="1" applyBorder="1" applyAlignment="1">
      <alignment vertical="center" wrapText="1"/>
    </xf>
    <xf numFmtId="0" fontId="115" fillId="4" borderId="1" xfId="89" applyNumberFormat="1" applyFont="1" applyFill="1" applyBorder="1" applyAlignment="1" applyProtection="1">
      <alignment horizontal="center" vertical="center"/>
      <protection locked="0"/>
    </xf>
    <xf numFmtId="2" fontId="45" fillId="0" borderId="1" xfId="25" applyNumberFormat="1" applyFont="1" applyBorder="1" applyAlignment="1">
      <alignment horizontal="center" vertical="center"/>
    </xf>
    <xf numFmtId="3" fontId="115" fillId="4" borderId="1" xfId="89" applyNumberFormat="1" applyFont="1" applyFill="1" applyBorder="1" applyAlignment="1" applyProtection="1">
      <alignment horizontal="center" vertical="center"/>
      <protection locked="0"/>
    </xf>
    <xf numFmtId="167" fontId="82" fillId="0" borderId="3" xfId="15" applyBorder="1"/>
    <xf numFmtId="167" fontId="82" fillId="0" borderId="1" xfId="15" applyBorder="1"/>
    <xf numFmtId="167" fontId="82" fillId="0" borderId="7" xfId="15" applyBorder="1"/>
    <xf numFmtId="167" fontId="46" fillId="2" borderId="2" xfId="14" applyFont="1" applyFill="1" applyBorder="1" applyAlignment="1" applyProtection="1">
      <alignment horizontal="center" vertical="center" wrapText="1"/>
    </xf>
    <xf numFmtId="167" fontId="10" fillId="31" borderId="8" xfId="14" applyFont="1" applyFill="1" applyBorder="1" applyAlignment="1" applyProtection="1">
      <alignment horizontal="center" vertical="center" wrapText="1"/>
    </xf>
    <xf numFmtId="167" fontId="10" fillId="31" borderId="53" xfId="14" applyFont="1" applyFill="1" applyBorder="1" applyAlignment="1" applyProtection="1">
      <alignment horizontal="center" vertical="center" wrapText="1"/>
    </xf>
    <xf numFmtId="0" fontId="46" fillId="0" borderId="1" xfId="0" applyFont="1" applyBorder="1" applyAlignment="1">
      <alignment horizontal="center" vertical="center"/>
    </xf>
    <xf numFmtId="4" fontId="45" fillId="0" borderId="1" xfId="0" applyNumberFormat="1" applyFont="1" applyBorder="1" applyAlignment="1">
      <alignment vertical="center"/>
    </xf>
    <xf numFmtId="4" fontId="46" fillId="7" borderId="1" xfId="0" applyNumberFormat="1" applyFont="1" applyFill="1" applyBorder="1" applyAlignment="1">
      <alignment vertical="center"/>
    </xf>
    <xf numFmtId="10" fontId="115" fillId="32" borderId="1" xfId="49" applyNumberFormat="1" applyFont="1" applyFill="1" applyBorder="1" applyAlignment="1">
      <alignment horizontal="center" vertical="center" wrapText="1"/>
    </xf>
    <xf numFmtId="0" fontId="45" fillId="0" borderId="1" xfId="0" applyFont="1" applyBorder="1"/>
    <xf numFmtId="4" fontId="53" fillId="7" borderId="1" xfId="0" applyNumberFormat="1" applyFont="1" applyFill="1" applyBorder="1" applyAlignment="1">
      <alignment vertical="center"/>
    </xf>
    <xf numFmtId="0" fontId="46" fillId="2" borderId="1" xfId="89" applyNumberFormat="1" applyFont="1" applyFill="1" applyBorder="1" applyAlignment="1" applyProtection="1">
      <alignment horizontal="center" vertical="center" wrapText="1"/>
    </xf>
    <xf numFmtId="167" fontId="27" fillId="0" borderId="1" xfId="2" applyFont="1" applyBorder="1"/>
    <xf numFmtId="167" fontId="48" fillId="2" borderId="54" xfId="14" applyFont="1" applyFill="1" applyBorder="1" applyAlignment="1" applyProtection="1">
      <alignment horizontal="center" vertical="center" wrapText="1"/>
    </xf>
    <xf numFmtId="171" fontId="48" fillId="33" borderId="13" xfId="0" applyNumberFormat="1" applyFont="1" applyFill="1" applyBorder="1"/>
    <xf numFmtId="0" fontId="21" fillId="7" borderId="11" xfId="0" applyFont="1" applyFill="1" applyBorder="1" applyAlignment="1">
      <alignment horizontal="center" vertical="center" wrapText="1"/>
    </xf>
    <xf numFmtId="0" fontId="115" fillId="4" borderId="1" xfId="89" applyNumberFormat="1" applyFont="1" applyFill="1" applyBorder="1" applyAlignment="1" applyProtection="1">
      <alignment horizontal="center" vertical="center"/>
    </xf>
    <xf numFmtId="3" fontId="115" fillId="4" borderId="1" xfId="89" applyNumberFormat="1" applyFont="1" applyFill="1" applyBorder="1" applyAlignment="1" applyProtection="1">
      <alignment horizontal="center" vertical="center"/>
    </xf>
    <xf numFmtId="2" fontId="45" fillId="0" borderId="39" xfId="25" applyNumberFormat="1" applyFont="1" applyBorder="1" applyAlignment="1">
      <alignment horizontal="center" vertical="center"/>
    </xf>
    <xf numFmtId="0" fontId="46" fillId="2" borderId="16" xfId="89" applyNumberFormat="1" applyFont="1" applyFill="1" applyBorder="1" applyAlignment="1" applyProtection="1">
      <alignment horizontal="center" vertical="center" wrapText="1"/>
    </xf>
    <xf numFmtId="0" fontId="46" fillId="2" borderId="44" xfId="89" applyNumberFormat="1" applyFont="1" applyFill="1" applyBorder="1" applyAlignment="1" applyProtection="1">
      <alignment horizontal="center" vertical="center" wrapText="1"/>
    </xf>
    <xf numFmtId="0" fontId="115" fillId="4" borderId="4" xfId="89" applyNumberFormat="1" applyFont="1" applyFill="1" applyBorder="1" applyAlignment="1" applyProtection="1">
      <alignment horizontal="center" vertical="center"/>
    </xf>
    <xf numFmtId="2" fontId="45" fillId="0" borderId="6" xfId="25" applyNumberFormat="1" applyFont="1" applyBorder="1" applyAlignment="1">
      <alignment horizontal="center" vertical="center"/>
    </xf>
    <xf numFmtId="0" fontId="115" fillId="4" borderId="6" xfId="89" applyNumberFormat="1" applyFont="1" applyFill="1" applyBorder="1" applyAlignment="1" applyProtection="1">
      <alignment horizontal="center" vertical="center"/>
    </xf>
    <xf numFmtId="3" fontId="115" fillId="4" borderId="6" xfId="89" applyNumberFormat="1" applyFont="1" applyFill="1" applyBorder="1" applyAlignment="1" applyProtection="1">
      <alignment horizontal="center" vertical="center"/>
    </xf>
    <xf numFmtId="2" fontId="45" fillId="0" borderId="48" xfId="25" applyNumberFormat="1" applyFont="1" applyBorder="1" applyAlignment="1">
      <alignment horizontal="center" vertical="center"/>
    </xf>
    <xf numFmtId="4" fontId="9" fillId="6" borderId="55" xfId="0" applyNumberFormat="1" applyFont="1" applyFill="1" applyBorder="1" applyAlignment="1">
      <alignment horizontal="center" vertical="center"/>
    </xf>
    <xf numFmtId="0" fontId="115" fillId="4" borderId="3" xfId="89" applyNumberFormat="1" applyFont="1" applyFill="1" applyBorder="1" applyAlignment="1" applyProtection="1">
      <alignment horizontal="center" vertical="center"/>
    </xf>
    <xf numFmtId="0" fontId="115" fillId="4" borderId="8" xfId="89" applyNumberFormat="1" applyFont="1" applyFill="1" applyBorder="1" applyAlignment="1" applyProtection="1">
      <alignment horizontal="center" vertical="center"/>
    </xf>
    <xf numFmtId="2" fontId="45" fillId="0" borderId="2" xfId="25" applyNumberFormat="1" applyFont="1" applyBorder="1" applyAlignment="1">
      <alignment horizontal="center" vertical="center"/>
    </xf>
    <xf numFmtId="0" fontId="115" fillId="4" borderId="2" xfId="89" applyNumberFormat="1" applyFont="1" applyFill="1" applyBorder="1" applyAlignment="1" applyProtection="1">
      <alignment horizontal="center" vertical="center"/>
    </xf>
    <xf numFmtId="3" fontId="115" fillId="4" borderId="2" xfId="89" applyNumberFormat="1" applyFont="1" applyFill="1" applyBorder="1" applyAlignment="1" applyProtection="1">
      <alignment horizontal="center" vertical="center"/>
    </xf>
    <xf numFmtId="2" fontId="45" fillId="0" borderId="10" xfId="25" applyNumberFormat="1" applyFont="1" applyBorder="1" applyAlignment="1">
      <alignment horizontal="center" vertical="center"/>
    </xf>
    <xf numFmtId="4" fontId="9" fillId="6" borderId="53" xfId="0" applyNumberFormat="1" applyFont="1" applyFill="1" applyBorder="1" applyAlignment="1">
      <alignment horizontal="center" vertical="center"/>
    </xf>
    <xf numFmtId="171" fontId="53" fillId="6" borderId="31" xfId="0" applyNumberFormat="1" applyFont="1" applyFill="1" applyBorder="1" applyAlignment="1">
      <alignment horizontal="right" vertical="center"/>
    </xf>
    <xf numFmtId="4" fontId="25" fillId="8" borderId="33" xfId="0" applyNumberFormat="1" applyFont="1" applyFill="1" applyBorder="1" applyAlignment="1">
      <alignment horizontal="center" vertical="center"/>
    </xf>
    <xf numFmtId="171" fontId="53" fillId="6" borderId="11" xfId="0" applyNumberFormat="1" applyFont="1" applyFill="1" applyBorder="1" applyAlignment="1">
      <alignment horizontal="right" vertical="center"/>
    </xf>
    <xf numFmtId="4" fontId="25" fillId="27" borderId="33" xfId="0" applyNumberFormat="1" applyFont="1" applyFill="1" applyBorder="1" applyAlignment="1">
      <alignment horizontal="center" vertical="center"/>
    </xf>
    <xf numFmtId="171" fontId="48" fillId="34" borderId="12" xfId="0" applyNumberFormat="1" applyFont="1" applyFill="1" applyBorder="1" applyAlignment="1">
      <alignment horizontal="center" vertical="center" wrapText="1"/>
    </xf>
    <xf numFmtId="4" fontId="25" fillId="0" borderId="33" xfId="0" applyNumberFormat="1" applyFont="1" applyBorder="1" applyAlignment="1">
      <alignment horizontal="center" vertical="center"/>
    </xf>
    <xf numFmtId="171" fontId="53" fillId="0" borderId="11" xfId="0" applyNumberFormat="1" applyFont="1" applyBorder="1" applyAlignment="1">
      <alignment horizontal="right" vertical="center"/>
    </xf>
    <xf numFmtId="171" fontId="116" fillId="34" borderId="12" xfId="0" applyNumberFormat="1" applyFont="1" applyFill="1" applyBorder="1" applyAlignment="1">
      <alignment horizontal="center" vertical="center"/>
    </xf>
    <xf numFmtId="4" fontId="25" fillId="0" borderId="54" xfId="0" applyNumberFormat="1" applyFont="1" applyBorder="1" applyAlignment="1">
      <alignment horizontal="center" vertical="center"/>
    </xf>
    <xf numFmtId="4" fontId="25" fillId="0" borderId="13" xfId="0" applyNumberFormat="1" applyFont="1" applyBorder="1" applyAlignment="1">
      <alignment horizontal="center" vertical="center"/>
    </xf>
    <xf numFmtId="0" fontId="117" fillId="35" borderId="3" xfId="0" applyFont="1" applyFill="1" applyBorder="1" applyAlignment="1">
      <alignment horizontal="center" vertical="center" wrapText="1"/>
    </xf>
    <xf numFmtId="0" fontId="117" fillId="35" borderId="1" xfId="0" applyFont="1" applyFill="1" applyBorder="1" applyAlignment="1">
      <alignment horizontal="center" vertical="center" wrapText="1"/>
    </xf>
    <xf numFmtId="0" fontId="118" fillId="0" borderId="0" xfId="0" applyFont="1" applyAlignment="1">
      <alignment horizontal="center" vertical="center"/>
    </xf>
    <xf numFmtId="10" fontId="119" fillId="0" borderId="3" xfId="49" applyNumberFormat="1" applyFont="1" applyBorder="1" applyAlignment="1">
      <alignment horizontal="center" vertical="center"/>
    </xf>
    <xf numFmtId="0" fontId="119" fillId="0" borderId="1" xfId="0" applyFont="1" applyBorder="1" applyAlignment="1">
      <alignment horizontal="center" vertical="center"/>
    </xf>
    <xf numFmtId="10" fontId="119" fillId="0" borderId="3" xfId="49" applyNumberFormat="1" applyFont="1" applyBorder="1" applyAlignment="1">
      <alignment horizontal="center" vertical="top"/>
    </xf>
    <xf numFmtId="10" fontId="119" fillId="0" borderId="8" xfId="49" applyNumberFormat="1" applyFont="1" applyBorder="1" applyAlignment="1">
      <alignment horizontal="center" vertical="top"/>
    </xf>
    <xf numFmtId="0" fontId="119" fillId="0" borderId="2" xfId="0" applyFont="1" applyBorder="1" applyAlignment="1">
      <alignment horizontal="center" vertical="center"/>
    </xf>
    <xf numFmtId="0" fontId="120" fillId="0" borderId="0" xfId="25" applyFont="1"/>
    <xf numFmtId="0" fontId="116" fillId="0" borderId="0" xfId="25" applyFont="1"/>
    <xf numFmtId="171" fontId="110" fillId="36" borderId="7" xfId="2" applyNumberFormat="1" applyFont="1" applyFill="1" applyBorder="1" applyAlignment="1">
      <alignment horizontal="center" vertical="center"/>
    </xf>
    <xf numFmtId="0" fontId="48" fillId="0" borderId="0" xfId="25" applyFont="1"/>
    <xf numFmtId="167" fontId="121" fillId="37" borderId="9" xfId="2" applyFont="1" applyFill="1" applyBorder="1" applyAlignment="1">
      <alignment horizontal="center" vertical="center"/>
    </xf>
    <xf numFmtId="0" fontId="9" fillId="14" borderId="25" xfId="0" applyFont="1" applyFill="1" applyBorder="1" applyAlignment="1">
      <alignment horizontal="center" vertical="center"/>
    </xf>
    <xf numFmtId="0" fontId="9" fillId="14" borderId="26" xfId="0" applyFont="1" applyFill="1" applyBorder="1" applyAlignment="1">
      <alignment horizontal="center" vertical="center"/>
    </xf>
    <xf numFmtId="0" fontId="9" fillId="14" borderId="26" xfId="0" applyFont="1" applyFill="1" applyBorder="1" applyAlignment="1">
      <alignment horizontal="center" vertical="center" wrapText="1"/>
    </xf>
    <xf numFmtId="4" fontId="9" fillId="14" borderId="27" xfId="0" applyNumberFormat="1" applyFont="1" applyFill="1" applyBorder="1" applyAlignment="1">
      <alignment horizontal="center" vertical="center" wrapText="1"/>
    </xf>
    <xf numFmtId="4" fontId="9" fillId="14" borderId="28" xfId="0" applyNumberFormat="1" applyFont="1" applyFill="1" applyBorder="1" applyAlignment="1">
      <alignment horizontal="center" vertical="center" wrapText="1"/>
    </xf>
    <xf numFmtId="4" fontId="9" fillId="6" borderId="56" xfId="0" applyNumberFormat="1" applyFont="1" applyFill="1" applyBorder="1" applyAlignment="1">
      <alignment horizontal="center" vertical="center"/>
    </xf>
    <xf numFmtId="4" fontId="9" fillId="6" borderId="2" xfId="0" applyNumberFormat="1" applyFont="1" applyFill="1" applyBorder="1" applyAlignment="1">
      <alignment horizontal="center" vertical="center"/>
    </xf>
    <xf numFmtId="0" fontId="122" fillId="38" borderId="57" xfId="0" applyFont="1" applyFill="1" applyBorder="1" applyAlignment="1">
      <alignment horizontal="center" vertical="center"/>
    </xf>
    <xf numFmtId="1" fontId="9" fillId="6" borderId="14" xfId="0" applyNumberFormat="1" applyFont="1" applyFill="1" applyBorder="1" applyAlignment="1">
      <alignment horizontal="center" vertical="center" wrapText="1"/>
    </xf>
    <xf numFmtId="1" fontId="48" fillId="6" borderId="41" xfId="0" applyNumberFormat="1" applyFont="1" applyFill="1" applyBorder="1" applyAlignment="1">
      <alignment horizontal="center" vertical="center"/>
    </xf>
    <xf numFmtId="0" fontId="3" fillId="0" borderId="8" xfId="0" applyFont="1" applyBorder="1" applyAlignment="1">
      <alignment horizontal="left" vertical="center" wrapText="1"/>
    </xf>
    <xf numFmtId="1" fontId="103" fillId="0" borderId="1" xfId="0" applyNumberFormat="1" applyFont="1" applyBorder="1" applyAlignment="1">
      <alignment horizontal="center" vertical="center" wrapText="1" indent="1"/>
    </xf>
    <xf numFmtId="0" fontId="3" fillId="39" borderId="1" xfId="0" applyFont="1" applyFill="1" applyBorder="1" applyAlignment="1">
      <alignment horizontal="center" vertical="center" wrapText="1"/>
    </xf>
    <xf numFmtId="4" fontId="3" fillId="3" borderId="49" xfId="20" applyNumberFormat="1" applyFont="1" applyFill="1" applyBorder="1" applyAlignment="1" applyProtection="1">
      <alignment horizontal="center" vertical="center" wrapText="1"/>
      <protection locked="0"/>
    </xf>
    <xf numFmtId="0" fontId="3" fillId="7" borderId="16" xfId="0" applyFont="1" applyFill="1" applyBorder="1" applyAlignment="1">
      <alignment horizontal="center" vertical="center" wrapText="1"/>
    </xf>
    <xf numFmtId="0" fontId="123" fillId="17" borderId="44" xfId="16" applyFont="1" applyFill="1" applyBorder="1" applyAlignment="1">
      <alignment horizontal="center" vertical="center"/>
    </xf>
    <xf numFmtId="0" fontId="123" fillId="17" borderId="45" xfId="16" applyFont="1" applyFill="1" applyBorder="1" applyAlignment="1">
      <alignment horizontal="center" vertical="center"/>
    </xf>
    <xf numFmtId="0" fontId="124" fillId="17" borderId="45" xfId="16" applyFont="1" applyFill="1" applyBorder="1" applyAlignment="1">
      <alignment horizontal="left"/>
    </xf>
    <xf numFmtId="0" fontId="123" fillId="17" borderId="46" xfId="16" applyFont="1" applyFill="1" applyBorder="1" applyAlignment="1">
      <alignment horizontal="center" vertical="center"/>
    </xf>
    <xf numFmtId="0" fontId="2" fillId="0" borderId="0" xfId="16" applyAlignment="1">
      <alignment vertical="center"/>
    </xf>
    <xf numFmtId="0" fontId="123" fillId="17" borderId="47" xfId="16" applyFont="1" applyFill="1" applyBorder="1" applyAlignment="1">
      <alignment horizontal="center" vertical="center"/>
    </xf>
    <xf numFmtId="0" fontId="123" fillId="17" borderId="0" xfId="16" applyFont="1" applyFill="1" applyAlignment="1">
      <alignment horizontal="center" vertical="center"/>
    </xf>
    <xf numFmtId="0" fontId="125" fillId="17" borderId="0" xfId="16" applyFont="1" applyFill="1" applyAlignment="1">
      <alignment horizontal="left" vertical="center"/>
    </xf>
    <xf numFmtId="0" fontId="123" fillId="17" borderId="43" xfId="16" applyFont="1" applyFill="1" applyBorder="1" applyAlignment="1">
      <alignment horizontal="center" vertical="center"/>
    </xf>
    <xf numFmtId="0" fontId="123" fillId="17" borderId="19" xfId="16" applyFont="1" applyFill="1" applyBorder="1" applyAlignment="1">
      <alignment horizontal="center" vertical="center"/>
    </xf>
    <xf numFmtId="0" fontId="123" fillId="17" borderId="22" xfId="16" applyFont="1" applyFill="1" applyBorder="1" applyAlignment="1">
      <alignment horizontal="center" vertical="center"/>
    </xf>
    <xf numFmtId="0" fontId="125" fillId="17" borderId="22" xfId="16" applyFont="1" applyFill="1" applyBorder="1" applyAlignment="1">
      <alignment horizontal="left" vertical="center"/>
    </xf>
    <xf numFmtId="0" fontId="123" fillId="17" borderId="21" xfId="16" applyFont="1" applyFill="1" applyBorder="1" applyAlignment="1">
      <alignment horizontal="center" vertical="center"/>
    </xf>
    <xf numFmtId="0" fontId="126" fillId="17" borderId="0" xfId="16" applyFont="1" applyFill="1" applyAlignment="1">
      <alignment horizontal="center" vertical="center"/>
    </xf>
    <xf numFmtId="0" fontId="127" fillId="17" borderId="0" xfId="16" applyFont="1" applyFill="1" applyAlignment="1">
      <alignment horizontal="left" vertical="center"/>
    </xf>
    <xf numFmtId="0" fontId="128" fillId="17" borderId="0" xfId="16" applyFont="1" applyFill="1" applyAlignment="1">
      <alignment vertical="center"/>
    </xf>
    <xf numFmtId="0" fontId="129" fillId="17" borderId="44" xfId="16" applyFont="1" applyFill="1" applyBorder="1" applyAlignment="1">
      <alignment horizontal="center" vertical="center"/>
    </xf>
    <xf numFmtId="10" fontId="129" fillId="0" borderId="46" xfId="16" applyNumberFormat="1" applyFont="1" applyBorder="1" applyAlignment="1">
      <alignment horizontal="center" vertical="center"/>
    </xf>
    <xf numFmtId="0" fontId="130" fillId="17" borderId="47" xfId="16" applyFont="1" applyFill="1" applyBorder="1" applyAlignment="1">
      <alignment horizontal="center" vertical="center" wrapText="1"/>
    </xf>
    <xf numFmtId="17" fontId="130" fillId="17" borderId="43" xfId="16" quotePrefix="1" applyNumberFormat="1" applyFont="1" applyFill="1" applyBorder="1" applyAlignment="1">
      <alignment horizontal="center" vertical="center"/>
    </xf>
    <xf numFmtId="0" fontId="131" fillId="17" borderId="0" xfId="16" applyFont="1" applyFill="1" applyAlignment="1">
      <alignment horizontal="center" vertical="center"/>
    </xf>
    <xf numFmtId="0" fontId="129" fillId="17" borderId="0" xfId="16" applyFont="1" applyFill="1" applyAlignment="1">
      <alignment horizontal="left" vertical="center"/>
    </xf>
    <xf numFmtId="0" fontId="132" fillId="17" borderId="0" xfId="16" applyFont="1" applyFill="1" applyAlignment="1">
      <alignment horizontal="left" vertical="center" wrapText="1"/>
    </xf>
    <xf numFmtId="0" fontId="128" fillId="17" borderId="22" xfId="16" applyFont="1" applyFill="1" applyBorder="1"/>
    <xf numFmtId="0" fontId="128" fillId="17" borderId="22" xfId="16" applyFont="1" applyFill="1" applyBorder="1" applyAlignment="1">
      <alignment wrapText="1"/>
    </xf>
    <xf numFmtId="0" fontId="133" fillId="40" borderId="39" xfId="16" applyFont="1" applyFill="1" applyBorder="1"/>
    <xf numFmtId="0" fontId="134" fillId="40" borderId="40" xfId="16" applyFont="1" applyFill="1" applyBorder="1" applyAlignment="1">
      <alignment horizontal="left" vertical="center"/>
    </xf>
    <xf numFmtId="0" fontId="135" fillId="40" borderId="49" xfId="16" applyFont="1" applyFill="1" applyBorder="1" applyAlignment="1">
      <alignment horizontal="right" vertical="center"/>
    </xf>
    <xf numFmtId="0" fontId="129" fillId="17" borderId="19" xfId="16" applyFont="1" applyFill="1" applyBorder="1" applyAlignment="1">
      <alignment horizontal="center" vertical="center" wrapText="1"/>
    </xf>
    <xf numFmtId="0" fontId="129" fillId="17" borderId="19" xfId="16" applyFont="1" applyFill="1" applyBorder="1" applyAlignment="1">
      <alignment horizontal="left" vertical="center"/>
    </xf>
    <xf numFmtId="0" fontId="129" fillId="17" borderId="22" xfId="16" applyFont="1" applyFill="1" applyBorder="1" applyAlignment="1">
      <alignment horizontal="right" vertical="center"/>
    </xf>
    <xf numFmtId="0" fontId="129" fillId="41" borderId="1" xfId="16" applyFont="1" applyFill="1" applyBorder="1" applyAlignment="1">
      <alignment horizontal="center" vertical="center"/>
    </xf>
    <xf numFmtId="0" fontId="129" fillId="41" borderId="1" xfId="16" applyFont="1" applyFill="1" applyBorder="1" applyAlignment="1">
      <alignment horizontal="center" vertical="center" wrapText="1"/>
    </xf>
    <xf numFmtId="0" fontId="132" fillId="41" borderId="1" xfId="16" applyFont="1" applyFill="1" applyBorder="1" applyAlignment="1">
      <alignment horizontal="center" vertical="center" wrapText="1"/>
    </xf>
    <xf numFmtId="0" fontId="2" fillId="0" borderId="0" xfId="16" applyAlignment="1">
      <alignment horizontal="center" vertical="center"/>
    </xf>
    <xf numFmtId="0" fontId="128" fillId="0" borderId="1" xfId="16" applyFont="1" applyBorder="1" applyAlignment="1">
      <alignment horizontal="left" vertical="top"/>
    </xf>
    <xf numFmtId="0" fontId="128" fillId="0" borderId="1" xfId="16" applyFont="1" applyBorder="1" applyAlignment="1">
      <alignment horizontal="center" vertical="top"/>
    </xf>
    <xf numFmtId="44" fontId="128" fillId="0" borderId="1" xfId="3" applyFont="1" applyBorder="1" applyAlignment="1">
      <alignment horizontal="right" vertical="center"/>
    </xf>
    <xf numFmtId="44" fontId="136" fillId="0" borderId="1" xfId="3" applyFont="1" applyBorder="1" applyAlignment="1">
      <alignment horizontal="right" vertical="center"/>
    </xf>
    <xf numFmtId="0" fontId="137" fillId="0" borderId="0" xfId="16" applyFont="1" applyAlignment="1">
      <alignment horizontal="left" vertical="center"/>
    </xf>
    <xf numFmtId="0" fontId="137" fillId="0" borderId="0" xfId="16" applyFont="1" applyAlignment="1">
      <alignment horizontal="left" vertical="center" wrapText="1"/>
    </xf>
    <xf numFmtId="0" fontId="137" fillId="0" borderId="0" xfId="16" applyFont="1" applyAlignment="1">
      <alignment horizontal="center" vertical="center"/>
    </xf>
    <xf numFmtId="2" fontId="137" fillId="0" borderId="0" xfId="16" applyNumberFormat="1" applyFont="1" applyAlignment="1">
      <alignment horizontal="right" vertical="center"/>
    </xf>
    <xf numFmtId="0" fontId="2" fillId="0" borderId="0" xfId="16"/>
    <xf numFmtId="0" fontId="2" fillId="0" borderId="0" xfId="16" applyAlignment="1">
      <alignment vertical="center" wrapText="1"/>
    </xf>
    <xf numFmtId="0" fontId="138" fillId="17" borderId="44" xfId="16" applyFont="1" applyFill="1" applyBorder="1" applyAlignment="1">
      <alignment horizontal="center" vertical="center"/>
    </xf>
    <xf numFmtId="0" fontId="138" fillId="17" borderId="45" xfId="16" applyFont="1" applyFill="1" applyBorder="1" applyAlignment="1">
      <alignment horizontal="center" vertical="center"/>
    </xf>
    <xf numFmtId="0" fontId="19" fillId="17" borderId="45" xfId="16" applyFont="1" applyFill="1" applyBorder="1" applyAlignment="1">
      <alignment horizontal="left" vertical="center"/>
    </xf>
    <xf numFmtId="0" fontId="138" fillId="17" borderId="45" xfId="16" applyFont="1" applyFill="1" applyBorder="1" applyAlignment="1">
      <alignment horizontal="center" vertical="center" wrapText="1"/>
    </xf>
    <xf numFmtId="0" fontId="138" fillId="17" borderId="46" xfId="16" applyFont="1" applyFill="1" applyBorder="1" applyAlignment="1">
      <alignment horizontal="center" vertical="center"/>
    </xf>
    <xf numFmtId="0" fontId="138" fillId="17" borderId="47" xfId="16" applyFont="1" applyFill="1" applyBorder="1" applyAlignment="1">
      <alignment horizontal="center" vertical="center"/>
    </xf>
    <xf numFmtId="0" fontId="138" fillId="17" borderId="0" xfId="16" applyFont="1" applyFill="1" applyAlignment="1">
      <alignment horizontal="center" vertical="center"/>
    </xf>
    <xf numFmtId="0" fontId="3" fillId="17" borderId="0" xfId="16" applyFont="1" applyFill="1" applyAlignment="1">
      <alignment horizontal="left" vertical="center"/>
    </xf>
    <xf numFmtId="0" fontId="138" fillId="17" borderId="0" xfId="16" applyFont="1" applyFill="1" applyAlignment="1">
      <alignment horizontal="center" vertical="center" wrapText="1"/>
    </xf>
    <xf numFmtId="0" fontId="138" fillId="17" borderId="43" xfId="16" applyFont="1" applyFill="1" applyBorder="1" applyAlignment="1">
      <alignment horizontal="center" vertical="center"/>
    </xf>
    <xf numFmtId="0" fontId="138" fillId="17" borderId="19" xfId="16" applyFont="1" applyFill="1" applyBorder="1" applyAlignment="1">
      <alignment horizontal="center" vertical="center"/>
    </xf>
    <xf numFmtId="0" fontId="138" fillId="17" borderId="22" xfId="16" applyFont="1" applyFill="1" applyBorder="1" applyAlignment="1">
      <alignment horizontal="center" vertical="center"/>
    </xf>
    <xf numFmtId="0" fontId="3" fillId="17" borderId="22" xfId="16" applyFont="1" applyFill="1" applyBorder="1" applyAlignment="1">
      <alignment horizontal="left" vertical="center"/>
    </xf>
    <xf numFmtId="0" fontId="138" fillId="17" borderId="22" xfId="16" applyFont="1" applyFill="1" applyBorder="1" applyAlignment="1">
      <alignment horizontal="center" vertical="center" wrapText="1"/>
    </xf>
    <xf numFmtId="0" fontId="138" fillId="17" borderId="21" xfId="16" applyFont="1" applyFill="1" applyBorder="1" applyAlignment="1">
      <alignment horizontal="center" vertical="center"/>
    </xf>
    <xf numFmtId="0" fontId="38" fillId="0" borderId="0" xfId="16" applyFont="1" applyAlignment="1">
      <alignment vertical="center"/>
    </xf>
    <xf numFmtId="0" fontId="139" fillId="17" borderId="47" xfId="16" applyFont="1" applyFill="1" applyBorder="1" applyAlignment="1">
      <alignment horizontal="left" vertical="center"/>
    </xf>
    <xf numFmtId="0" fontId="110" fillId="17" borderId="0" xfId="16" applyFont="1" applyFill="1" applyAlignment="1">
      <alignment horizontal="center" vertical="center"/>
    </xf>
    <xf numFmtId="0" fontId="140" fillId="17" borderId="16" xfId="16" applyFont="1" applyFill="1" applyBorder="1" applyAlignment="1">
      <alignment horizontal="center" vertical="center"/>
    </xf>
    <xf numFmtId="0" fontId="140" fillId="17" borderId="45" xfId="16" applyFont="1" applyFill="1" applyBorder="1" applyAlignment="1">
      <alignment horizontal="center" vertical="center"/>
    </xf>
    <xf numFmtId="0" fontId="2" fillId="17" borderId="47" xfId="16" applyFill="1" applyBorder="1" applyAlignment="1">
      <alignment vertical="center"/>
    </xf>
    <xf numFmtId="0" fontId="46" fillId="17" borderId="50" xfId="16" applyFont="1" applyFill="1" applyBorder="1" applyAlignment="1">
      <alignment horizontal="center" vertical="center" wrapText="1"/>
    </xf>
    <xf numFmtId="0" fontId="46" fillId="17" borderId="0" xfId="16" applyFont="1" applyFill="1" applyAlignment="1">
      <alignment horizontal="center" vertical="center" wrapText="1"/>
    </xf>
    <xf numFmtId="17" fontId="46" fillId="17" borderId="43" xfId="16" quotePrefix="1" applyNumberFormat="1" applyFont="1" applyFill="1" applyBorder="1" applyAlignment="1">
      <alignment horizontal="center" vertical="center"/>
    </xf>
    <xf numFmtId="0" fontId="56" fillId="17" borderId="0" xfId="16" applyFont="1" applyFill="1" applyAlignment="1">
      <alignment horizontal="right" vertical="center"/>
    </xf>
    <xf numFmtId="0" fontId="141" fillId="17" borderId="47" xfId="16" applyFont="1" applyFill="1" applyBorder="1" applyAlignment="1">
      <alignment horizontal="left" vertical="center"/>
    </xf>
    <xf numFmtId="0" fontId="140" fillId="41" borderId="1" xfId="16" applyFont="1" applyFill="1" applyBorder="1" applyAlignment="1">
      <alignment horizontal="left" vertical="center"/>
    </xf>
    <xf numFmtId="0" fontId="140" fillId="41" borderId="1" xfId="16" applyFont="1" applyFill="1" applyBorder="1" applyAlignment="1">
      <alignment horizontal="center" vertical="center"/>
    </xf>
    <xf numFmtId="0" fontId="140" fillId="41" borderId="1" xfId="16" applyFont="1" applyFill="1" applyBorder="1" applyAlignment="1">
      <alignment horizontal="center" vertical="center" wrapText="1"/>
    </xf>
    <xf numFmtId="0" fontId="142" fillId="0" borderId="1" xfId="16" applyFont="1" applyBorder="1" applyAlignment="1">
      <alignment horizontal="left" vertical="center" wrapText="1"/>
    </xf>
    <xf numFmtId="0" fontId="142" fillId="0" borderId="1" xfId="16" applyFont="1" applyBorder="1" applyAlignment="1">
      <alignment horizontal="center" vertical="center" wrapText="1"/>
    </xf>
    <xf numFmtId="0" fontId="142" fillId="0" borderId="1" xfId="16" applyFont="1" applyBorder="1" applyAlignment="1">
      <alignment horizontal="center" vertical="center"/>
    </xf>
    <xf numFmtId="2" fontId="142" fillId="0" borderId="1" xfId="16" applyNumberFormat="1" applyFont="1" applyBorder="1" applyAlignment="1">
      <alignment horizontal="center" vertical="center"/>
    </xf>
    <xf numFmtId="0" fontId="139" fillId="0" borderId="1" xfId="16" applyFont="1" applyBorder="1" applyAlignment="1">
      <alignment vertical="center"/>
    </xf>
    <xf numFmtId="0" fontId="139" fillId="0" borderId="1" xfId="16" applyFont="1" applyBorder="1" applyAlignment="1">
      <alignment horizontal="center" vertical="center"/>
    </xf>
    <xf numFmtId="0" fontId="142" fillId="0" borderId="19" xfId="16" applyFont="1" applyBorder="1" applyAlignment="1">
      <alignment horizontal="left" vertical="center" wrapText="1"/>
    </xf>
    <xf numFmtId="0" fontId="142" fillId="0" borderId="22" xfId="16" applyFont="1" applyBorder="1" applyAlignment="1">
      <alignment horizontal="center" vertical="center" wrapText="1"/>
    </xf>
    <xf numFmtId="0" fontId="142" fillId="0" borderId="22" xfId="16" applyFont="1" applyBorder="1" applyAlignment="1">
      <alignment horizontal="left" vertical="center" wrapText="1"/>
    </xf>
    <xf numFmtId="0" fontId="142" fillId="0" borderId="22" xfId="16" applyFont="1" applyBorder="1" applyAlignment="1">
      <alignment horizontal="center" vertical="center"/>
    </xf>
    <xf numFmtId="2" fontId="142" fillId="0" borderId="22" xfId="16" applyNumberFormat="1" applyFont="1" applyBorder="1" applyAlignment="1">
      <alignment horizontal="center" vertical="center"/>
    </xf>
    <xf numFmtId="2" fontId="142" fillId="0" borderId="21" xfId="16" applyNumberFormat="1" applyFont="1" applyBorder="1" applyAlignment="1">
      <alignment horizontal="center" vertical="center"/>
    </xf>
    <xf numFmtId="168" fontId="49" fillId="6" borderId="40" xfId="100" applyFont="1" applyFill="1" applyBorder="1" applyAlignment="1" applyProtection="1">
      <alignment horizontal="center" vertical="center"/>
    </xf>
    <xf numFmtId="0" fontId="49" fillId="6" borderId="43" xfId="23" applyFont="1" applyFill="1" applyBorder="1" applyAlignment="1">
      <alignment vertical="center"/>
    </xf>
    <xf numFmtId="175" fontId="49" fillId="6" borderId="40" xfId="23" applyNumberFormat="1" applyFont="1" applyFill="1" applyBorder="1" applyAlignment="1">
      <alignment horizontal="center" vertical="center"/>
    </xf>
    <xf numFmtId="175" fontId="49" fillId="6" borderId="40" xfId="51" applyNumberFormat="1" applyFont="1" applyFill="1" applyBorder="1" applyAlignment="1" applyProtection="1">
      <alignment horizontal="center" vertical="center"/>
    </xf>
    <xf numFmtId="175" fontId="49" fillId="0" borderId="40" xfId="51" applyNumberFormat="1" applyFont="1" applyBorder="1" applyAlignment="1" applyProtection="1">
      <alignment horizontal="center" vertical="center"/>
    </xf>
    <xf numFmtId="0" fontId="49" fillId="6" borderId="0" xfId="23" applyFont="1" applyFill="1" applyAlignment="1">
      <alignment vertical="center"/>
    </xf>
    <xf numFmtId="175" fontId="49" fillId="0" borderId="40" xfId="100" applyNumberFormat="1" applyFont="1" applyBorder="1" applyAlignment="1" applyProtection="1">
      <alignment horizontal="center" vertical="center"/>
    </xf>
    <xf numFmtId="0" fontId="49" fillId="6" borderId="47" xfId="23" applyFont="1" applyFill="1" applyBorder="1" applyAlignment="1">
      <alignment horizontal="center" vertical="center"/>
    </xf>
    <xf numFmtId="0" fontId="49" fillId="6" borderId="0" xfId="23" applyFont="1" applyFill="1" applyAlignment="1">
      <alignment horizontal="center" vertical="center"/>
    </xf>
    <xf numFmtId="175" fontId="49" fillId="0" borderId="22" xfId="51" applyNumberFormat="1" applyFont="1" applyBorder="1" applyAlignment="1" applyProtection="1">
      <alignment horizontal="center" vertical="center"/>
    </xf>
    <xf numFmtId="0" fontId="49" fillId="6" borderId="47" xfId="23" applyFont="1" applyFill="1" applyBorder="1" applyAlignment="1">
      <alignment vertical="center"/>
    </xf>
    <xf numFmtId="0" fontId="49" fillId="6" borderId="21" xfId="23" applyFont="1" applyFill="1" applyBorder="1" applyAlignment="1">
      <alignment vertical="center"/>
    </xf>
    <xf numFmtId="0" fontId="49" fillId="19" borderId="46" xfId="23" applyFont="1" applyFill="1" applyBorder="1" applyAlignment="1">
      <alignment vertical="center"/>
    </xf>
    <xf numFmtId="0" fontId="49" fillId="19" borderId="43" xfId="23" applyFont="1" applyFill="1" applyBorder="1" applyAlignment="1">
      <alignment vertical="center"/>
    </xf>
    <xf numFmtId="0" fontId="49" fillId="19" borderId="21" xfId="23" applyFont="1" applyFill="1" applyBorder="1" applyAlignment="1">
      <alignment vertical="center"/>
    </xf>
    <xf numFmtId="0" fontId="49" fillId="6" borderId="43" xfId="37" applyFont="1" applyFill="1" applyBorder="1" applyAlignment="1">
      <alignment horizontal="left" vertical="center" wrapText="1"/>
    </xf>
    <xf numFmtId="0" fontId="49" fillId="6" borderId="22" xfId="23" applyFont="1" applyFill="1" applyBorder="1" applyAlignment="1">
      <alignment horizontal="center" vertical="center"/>
    </xf>
    <xf numFmtId="0" fontId="44" fillId="0" borderId="47" xfId="24" applyBorder="1" applyAlignment="1">
      <alignment horizontal="left"/>
    </xf>
    <xf numFmtId="0" fontId="140" fillId="0" borderId="0" xfId="24" applyFont="1"/>
    <xf numFmtId="0" fontId="140" fillId="0" borderId="0" xfId="24" applyFont="1" applyAlignment="1">
      <alignment wrapText="1"/>
    </xf>
    <xf numFmtId="0" fontId="140" fillId="0" borderId="0" xfId="24" applyFont="1" applyAlignment="1">
      <alignment horizontal="center"/>
    </xf>
    <xf numFmtId="0" fontId="140" fillId="0" borderId="43" xfId="24" applyFont="1" applyBorder="1" applyAlignment="1">
      <alignment wrapText="1"/>
    </xf>
    <xf numFmtId="0" fontId="140" fillId="0" borderId="47" xfId="24" applyFont="1" applyBorder="1" applyAlignment="1">
      <alignment horizontal="left" indent="1"/>
    </xf>
    <xf numFmtId="0" fontId="140" fillId="0" borderId="0" xfId="24" applyFont="1" applyAlignment="1">
      <alignment horizontal="center" wrapText="1"/>
    </xf>
    <xf numFmtId="0" fontId="140" fillId="0" borderId="43" xfId="24" applyFont="1" applyBorder="1" applyAlignment="1">
      <alignment horizontal="center" wrapText="1"/>
    </xf>
    <xf numFmtId="0" fontId="143" fillId="0" borderId="0" xfId="24" applyFont="1"/>
    <xf numFmtId="0" fontId="44" fillId="0" borderId="47" xfId="24" applyBorder="1" applyAlignment="1">
      <alignment horizontal="left" indent="1"/>
    </xf>
    <xf numFmtId="0" fontId="142" fillId="0" borderId="0" xfId="24" applyFont="1" applyAlignment="1">
      <alignment vertical="center"/>
    </xf>
    <xf numFmtId="0" fontId="142" fillId="0" borderId="0" xfId="24" applyFont="1" applyAlignment="1">
      <alignment vertical="center" wrapText="1"/>
    </xf>
    <xf numFmtId="0" fontId="142" fillId="0" borderId="0" xfId="24" applyFont="1" applyAlignment="1">
      <alignment horizontal="center" vertical="center"/>
    </xf>
    <xf numFmtId="4" fontId="142" fillId="0" borderId="0" xfId="24" applyNumberFormat="1" applyFont="1" applyAlignment="1">
      <alignment vertical="center"/>
    </xf>
    <xf numFmtId="0" fontId="142" fillId="0" borderId="43" xfId="24" applyFont="1" applyBorder="1" applyAlignment="1">
      <alignment vertical="center" wrapText="1"/>
    </xf>
    <xf numFmtId="2" fontId="142" fillId="0" borderId="0" xfId="24" applyNumberFormat="1" applyFont="1" applyAlignment="1">
      <alignment vertical="center"/>
    </xf>
    <xf numFmtId="0" fontId="142" fillId="0" borderId="43" xfId="24" applyFont="1" applyBorder="1" applyAlignment="1">
      <alignment vertical="center"/>
    </xf>
    <xf numFmtId="0" fontId="108" fillId="0" borderId="0" xfId="24" applyFont="1" applyAlignment="1">
      <alignment horizontal="right" vertical="center" wrapText="1"/>
    </xf>
    <xf numFmtId="169" fontId="108" fillId="42" borderId="0" xfId="24" applyNumberFormat="1" applyFont="1" applyFill="1" applyAlignment="1">
      <alignment horizontal="center" vertical="center"/>
    </xf>
    <xf numFmtId="0" fontId="44" fillId="0" borderId="0" xfId="24"/>
    <xf numFmtId="0" fontId="44" fillId="0" borderId="0" xfId="24" applyAlignment="1">
      <alignment wrapText="1"/>
    </xf>
    <xf numFmtId="0" fontId="144" fillId="0" borderId="0" xfId="24" applyFont="1" applyAlignment="1">
      <alignment wrapText="1"/>
    </xf>
    <xf numFmtId="0" fontId="44" fillId="0" borderId="0" xfId="24" applyAlignment="1">
      <alignment horizontal="center"/>
    </xf>
    <xf numFmtId="0" fontId="44" fillId="0" borderId="43" xfId="24" applyBorder="1" applyAlignment="1">
      <alignment wrapText="1"/>
    </xf>
    <xf numFmtId="0" fontId="44" fillId="0" borderId="19" xfId="24" applyBorder="1" applyAlignment="1">
      <alignment horizontal="left"/>
    </xf>
    <xf numFmtId="0" fontId="44" fillId="0" borderId="22" xfId="24" applyBorder="1"/>
    <xf numFmtId="0" fontId="44" fillId="0" borderId="22" xfId="24" applyBorder="1" applyAlignment="1">
      <alignment wrapText="1"/>
    </xf>
    <xf numFmtId="0" fontId="44" fillId="0" borderId="22" xfId="24" applyBorder="1" applyAlignment="1">
      <alignment horizontal="center"/>
    </xf>
    <xf numFmtId="0" fontId="82" fillId="6" borderId="22" xfId="23" applyFill="1" applyBorder="1" applyAlignment="1">
      <alignment vertical="center"/>
    </xf>
    <xf numFmtId="0" fontId="44" fillId="0" borderId="21" xfId="24" applyBorder="1" applyAlignment="1">
      <alignment wrapText="1"/>
    </xf>
    <xf numFmtId="0" fontId="44" fillId="0" borderId="0" xfId="24" applyAlignment="1">
      <alignment horizontal="left"/>
    </xf>
    <xf numFmtId="0" fontId="145" fillId="0" borderId="56" xfId="24" applyFont="1" applyBorder="1" applyAlignment="1">
      <alignment vertical="center"/>
    </xf>
    <xf numFmtId="0" fontId="145" fillId="0" borderId="58" xfId="24" applyFont="1" applyBorder="1" applyAlignment="1">
      <alignment vertical="center"/>
    </xf>
    <xf numFmtId="0" fontId="139" fillId="0" borderId="58" xfId="24" applyFont="1" applyBorder="1" applyAlignment="1">
      <alignment vertical="center" wrapText="1" readingOrder="1"/>
    </xf>
    <xf numFmtId="0" fontId="139" fillId="0" borderId="58" xfId="24" applyFont="1" applyBorder="1" applyAlignment="1">
      <alignment horizontal="center" vertical="center" wrapText="1" readingOrder="1"/>
    </xf>
    <xf numFmtId="169" fontId="139" fillId="0" borderId="58" xfId="24" applyNumberFormat="1" applyFont="1" applyBorder="1" applyAlignment="1">
      <alignment vertical="center" wrapText="1" readingOrder="1"/>
    </xf>
    <xf numFmtId="9" fontId="139" fillId="0" borderId="58" xfId="24" applyNumberFormat="1" applyFont="1" applyBorder="1" applyAlignment="1">
      <alignment horizontal="center" vertical="center" wrapText="1" readingOrder="1"/>
    </xf>
    <xf numFmtId="0" fontId="146" fillId="0" borderId="59" xfId="24" applyFont="1" applyBorder="1" applyAlignment="1">
      <alignment vertical="center" readingOrder="1"/>
    </xf>
    <xf numFmtId="0" fontId="145" fillId="0" borderId="38" xfId="24" applyFont="1" applyBorder="1" applyAlignment="1">
      <alignment vertical="center"/>
    </xf>
    <xf numFmtId="0" fontId="145" fillId="0" borderId="0" xfId="24" applyFont="1" applyAlignment="1">
      <alignment vertical="center"/>
    </xf>
    <xf numFmtId="0" fontId="139" fillId="0" borderId="0" xfId="24" applyFont="1" applyAlignment="1">
      <alignment vertical="center" wrapText="1" readingOrder="1"/>
    </xf>
    <xf numFmtId="17" fontId="139" fillId="0" borderId="0" xfId="24" applyNumberFormat="1" applyFont="1" applyAlignment="1">
      <alignment horizontal="left" vertical="center" readingOrder="1"/>
    </xf>
    <xf numFmtId="0" fontId="146" fillId="0" borderId="37" xfId="24" applyFont="1" applyBorder="1" applyAlignment="1">
      <alignment vertical="center" readingOrder="1"/>
    </xf>
    <xf numFmtId="0" fontId="145" fillId="0" borderId="60" xfId="24" applyFont="1" applyBorder="1" applyAlignment="1">
      <alignment vertical="center"/>
    </xf>
    <xf numFmtId="0" fontId="145" fillId="0" borderId="45" xfId="24" applyFont="1" applyBorder="1" applyAlignment="1">
      <alignment vertical="center"/>
    </xf>
    <xf numFmtId="0" fontId="147" fillId="0" borderId="45" xfId="24" applyFont="1" applyBorder="1" applyAlignment="1">
      <alignment vertical="center" wrapText="1" readingOrder="1"/>
    </xf>
    <xf numFmtId="17" fontId="147" fillId="0" borderId="45" xfId="24" applyNumberFormat="1" applyFont="1" applyBorder="1" applyAlignment="1">
      <alignment horizontal="left" vertical="center" readingOrder="1"/>
    </xf>
    <xf numFmtId="0" fontId="147" fillId="0" borderId="61" xfId="24" applyFont="1" applyBorder="1" applyAlignment="1">
      <alignment vertical="center" readingOrder="1"/>
    </xf>
    <xf numFmtId="169" fontId="148" fillId="20" borderId="62" xfId="24" applyNumberFormat="1" applyFont="1" applyFill="1" applyBorder="1" applyAlignment="1">
      <alignment vertical="center"/>
    </xf>
    <xf numFmtId="4" fontId="149" fillId="0" borderId="62" xfId="24" applyNumberFormat="1" applyFont="1" applyBorder="1" applyAlignment="1">
      <alignment horizontal="center" vertical="center"/>
    </xf>
    <xf numFmtId="0" fontId="145" fillId="0" borderId="47" xfId="24" applyFont="1" applyBorder="1" applyAlignment="1">
      <alignment horizontal="center" vertical="center"/>
    </xf>
    <xf numFmtId="4" fontId="149" fillId="0" borderId="38" xfId="24" applyNumberFormat="1" applyFont="1" applyBorder="1" applyAlignment="1">
      <alignment horizontal="center" vertical="center"/>
    </xf>
    <xf numFmtId="4" fontId="145" fillId="0" borderId="38" xfId="24" applyNumberFormat="1" applyFont="1" applyBorder="1" applyAlignment="1">
      <alignment horizontal="center" vertical="center"/>
    </xf>
    <xf numFmtId="0" fontId="145" fillId="0" borderId="0" xfId="24" applyFont="1" applyAlignment="1">
      <alignment horizontal="center" vertical="center"/>
    </xf>
    <xf numFmtId="0" fontId="150" fillId="0" borderId="0" xfId="24" applyFont="1" applyAlignment="1">
      <alignment horizontal="center" vertical="center"/>
    </xf>
    <xf numFmtId="0" fontId="145" fillId="0" borderId="63" xfId="24" applyFont="1" applyBorder="1" applyAlignment="1">
      <alignment horizontal="center" vertical="center"/>
    </xf>
    <xf numFmtId="0" fontId="145" fillId="0" borderId="1" xfId="24" applyFont="1" applyBorder="1" applyAlignment="1">
      <alignment horizontal="center" vertical="center"/>
    </xf>
    <xf numFmtId="0" fontId="145" fillId="0" borderId="19" xfId="24" applyFont="1" applyBorder="1" applyAlignment="1">
      <alignment horizontal="center" vertical="center"/>
    </xf>
    <xf numFmtId="4" fontId="145" fillId="0" borderId="60" xfId="24" applyNumberFormat="1" applyFont="1" applyBorder="1" applyAlignment="1">
      <alignment horizontal="center" vertical="center"/>
    </xf>
    <xf numFmtId="0" fontId="145" fillId="0" borderId="38" xfId="24" applyFont="1" applyBorder="1" applyAlignment="1">
      <alignment horizontal="center" vertical="center"/>
    </xf>
    <xf numFmtId="0" fontId="145" fillId="0" borderId="21" xfId="24" applyFont="1" applyBorder="1" applyAlignment="1">
      <alignment horizontal="center" vertical="center"/>
    </xf>
    <xf numFmtId="0" fontId="151" fillId="0" borderId="49" xfId="24" applyFont="1" applyBorder="1" applyAlignment="1">
      <alignment vertical="center" wrapText="1" readingOrder="1"/>
    </xf>
    <xf numFmtId="0" fontId="151" fillId="0" borderId="64" xfId="24" applyFont="1" applyBorder="1" applyAlignment="1">
      <alignment vertical="center" wrapText="1" readingOrder="1"/>
    </xf>
    <xf numFmtId="0" fontId="152" fillId="0" borderId="38" xfId="24" applyFont="1" applyBorder="1" applyAlignment="1">
      <alignment vertical="center"/>
    </xf>
    <xf numFmtId="4" fontId="145" fillId="0" borderId="62" xfId="24" applyNumberFormat="1" applyFont="1" applyBorder="1" applyAlignment="1">
      <alignment horizontal="center" vertical="center"/>
    </xf>
    <xf numFmtId="0" fontId="145" fillId="0" borderId="7" xfId="24" applyFont="1" applyBorder="1" applyAlignment="1">
      <alignment horizontal="center" vertical="center"/>
    </xf>
    <xf numFmtId="0" fontId="151" fillId="0" borderId="21" xfId="24" applyFont="1" applyBorder="1" applyAlignment="1">
      <alignment vertical="center" wrapText="1" readingOrder="1"/>
    </xf>
    <xf numFmtId="0" fontId="151" fillId="0" borderId="24" xfId="24" applyFont="1" applyBorder="1" applyAlignment="1">
      <alignment vertical="center" wrapText="1" readingOrder="1"/>
    </xf>
    <xf numFmtId="0" fontId="147" fillId="0" borderId="0" xfId="24" applyFont="1" applyAlignment="1">
      <alignment vertical="center" wrapText="1" readingOrder="1"/>
    </xf>
    <xf numFmtId="17" fontId="147" fillId="0" borderId="0" xfId="24" applyNumberFormat="1" applyFont="1" applyAlignment="1">
      <alignment horizontal="left" vertical="center" readingOrder="1"/>
    </xf>
    <xf numFmtId="0" fontId="147" fillId="0" borderId="37" xfId="24" applyFont="1" applyBorder="1" applyAlignment="1">
      <alignment vertical="center" readingOrder="1"/>
    </xf>
    <xf numFmtId="0" fontId="139" fillId="0" borderId="0" xfId="24" applyFont="1" applyAlignment="1">
      <alignment horizontal="center" vertical="center" wrapText="1" readingOrder="1"/>
    </xf>
    <xf numFmtId="169" fontId="139" fillId="0" borderId="0" xfId="24" applyNumberFormat="1" applyFont="1" applyAlignment="1">
      <alignment vertical="center" wrapText="1" readingOrder="1"/>
    </xf>
    <xf numFmtId="9" fontId="139" fillId="0" borderId="0" xfId="24" applyNumberFormat="1" applyFont="1" applyAlignment="1">
      <alignment horizontal="center" vertical="center" wrapText="1" readingOrder="1"/>
    </xf>
    <xf numFmtId="0" fontId="145" fillId="0" borderId="22" xfId="24" applyFont="1" applyBorder="1" applyAlignment="1">
      <alignment horizontal="center" vertical="center"/>
    </xf>
    <xf numFmtId="0" fontId="152" fillId="0" borderId="0" xfId="24" applyFont="1" applyAlignment="1">
      <alignment horizontal="center" vertical="center"/>
    </xf>
    <xf numFmtId="0" fontId="82" fillId="17" borderId="44" xfId="23" applyFill="1" applyBorder="1"/>
    <xf numFmtId="0" fontId="82" fillId="17" borderId="45" xfId="23" applyFill="1" applyBorder="1"/>
    <xf numFmtId="0" fontId="82" fillId="17" borderId="46" xfId="23" applyFill="1" applyBorder="1"/>
    <xf numFmtId="0" fontId="82" fillId="17" borderId="47" xfId="23" applyFill="1" applyBorder="1"/>
    <xf numFmtId="0" fontId="82" fillId="17" borderId="0" xfId="23" applyFill="1"/>
    <xf numFmtId="0" fontId="96" fillId="17" borderId="0" xfId="23" applyFont="1" applyFill="1"/>
    <xf numFmtId="0" fontId="82" fillId="17" borderId="43" xfId="23" applyFill="1" applyBorder="1"/>
    <xf numFmtId="0" fontId="153" fillId="17" borderId="0" xfId="23" applyFont="1" applyFill="1"/>
    <xf numFmtId="0" fontId="82" fillId="17" borderId="19" xfId="23" applyFill="1" applyBorder="1"/>
    <xf numFmtId="0" fontId="82" fillId="17" borderId="22" xfId="23" applyFill="1" applyBorder="1"/>
    <xf numFmtId="0" fontId="153" fillId="17" borderId="22" xfId="23" applyFont="1" applyFill="1" applyBorder="1"/>
    <xf numFmtId="0" fontId="82" fillId="17" borderId="21" xfId="23" applyFill="1" applyBorder="1"/>
    <xf numFmtId="167" fontId="55" fillId="43" borderId="12" xfId="2" applyFont="1" applyFill="1" applyBorder="1" applyProtection="1"/>
    <xf numFmtId="0" fontId="82" fillId="0" borderId="19" xfId="23" applyBorder="1" applyAlignment="1">
      <alignment vertical="center"/>
    </xf>
    <xf numFmtId="0" fontId="82" fillId="0" borderId="21" xfId="23" applyBorder="1" applyAlignment="1">
      <alignment vertical="center"/>
    </xf>
    <xf numFmtId="169" fontId="147" fillId="20" borderId="62" xfId="24" applyNumberFormat="1" applyFont="1" applyFill="1" applyBorder="1" applyAlignment="1">
      <alignment vertical="center"/>
    </xf>
    <xf numFmtId="167" fontId="43" fillId="0" borderId="1" xfId="2" applyFont="1" applyBorder="1" applyProtection="1"/>
    <xf numFmtId="167" fontId="43" fillId="0" borderId="1" xfId="2" applyFont="1" applyBorder="1"/>
    <xf numFmtId="176" fontId="5" fillId="0" borderId="1" xfId="23" applyNumberFormat="1" applyFont="1" applyBorder="1" applyAlignment="1">
      <alignment horizontal="left" vertical="center" wrapText="1"/>
    </xf>
    <xf numFmtId="10" fontId="3" fillId="0" borderId="0" xfId="0" applyNumberFormat="1" applyFont="1" applyAlignment="1">
      <alignment horizontal="center" vertical="center"/>
    </xf>
    <xf numFmtId="0" fontId="3" fillId="0" borderId="40" xfId="0" applyFont="1" applyBorder="1" applyAlignment="1">
      <alignment horizontal="left" vertical="center"/>
    </xf>
    <xf numFmtId="0" fontId="3" fillId="0" borderId="40" xfId="0" applyFont="1" applyBorder="1"/>
    <xf numFmtId="10" fontId="3" fillId="44" borderId="1" xfId="0" applyNumberFormat="1" applyFont="1" applyFill="1" applyBorder="1" applyAlignment="1">
      <alignment horizontal="center" vertical="center"/>
    </xf>
    <xf numFmtId="10" fontId="3" fillId="0" borderId="1" xfId="0" applyNumberFormat="1" applyFont="1" applyBorder="1" applyAlignment="1">
      <alignment horizontal="center"/>
    </xf>
    <xf numFmtId="0" fontId="56" fillId="45" borderId="40" xfId="23" applyFont="1" applyFill="1" applyBorder="1" applyAlignment="1">
      <alignment horizontal="center" vertical="center"/>
    </xf>
    <xf numFmtId="0" fontId="56" fillId="17" borderId="40" xfId="23" applyFont="1" applyFill="1" applyBorder="1" applyAlignment="1">
      <alignment horizontal="center" vertical="center"/>
    </xf>
    <xf numFmtId="0" fontId="3" fillId="0" borderId="44" xfId="0" applyFont="1" applyBorder="1"/>
    <xf numFmtId="0" fontId="3" fillId="0" borderId="45" xfId="0" applyFont="1" applyBorder="1" applyAlignment="1">
      <alignment horizontal="left" vertical="center"/>
    </xf>
    <xf numFmtId="10" fontId="3" fillId="0" borderId="16" xfId="0" applyNumberFormat="1" applyFont="1" applyBorder="1" applyAlignment="1">
      <alignment horizontal="center" vertical="center"/>
    </xf>
    <xf numFmtId="0" fontId="3" fillId="0" borderId="39" xfId="0" applyFont="1" applyBorder="1"/>
    <xf numFmtId="0" fontId="48" fillId="0" borderId="45" xfId="0" quotePrefix="1" applyFont="1" applyBorder="1" applyAlignment="1">
      <alignment horizontal="right"/>
    </xf>
    <xf numFmtId="0" fontId="48" fillId="0" borderId="40" xfId="0" quotePrefix="1" applyFont="1" applyBorder="1" applyAlignment="1">
      <alignment horizontal="right"/>
    </xf>
    <xf numFmtId="0" fontId="55" fillId="45" borderId="43" xfId="23" applyFont="1" applyFill="1" applyBorder="1" applyAlignment="1" applyProtection="1">
      <alignment vertical="center"/>
      <protection locked="0"/>
    </xf>
    <xf numFmtId="0" fontId="55" fillId="45" borderId="47" xfId="23" applyFont="1" applyFill="1" applyBorder="1" applyAlignment="1" applyProtection="1">
      <alignment vertical="center"/>
      <protection locked="0"/>
    </xf>
    <xf numFmtId="0" fontId="82" fillId="17" borderId="44" xfId="23" applyFill="1" applyBorder="1" applyAlignment="1">
      <alignment vertical="center"/>
    </xf>
    <xf numFmtId="0" fontId="82" fillId="17" borderId="45" xfId="23" applyFill="1" applyBorder="1" applyAlignment="1">
      <alignment vertical="center"/>
    </xf>
    <xf numFmtId="0" fontId="82" fillId="17" borderId="46" xfId="23" applyFill="1" applyBorder="1" applyAlignment="1">
      <alignment vertical="center"/>
    </xf>
    <xf numFmtId="0" fontId="82" fillId="17" borderId="0" xfId="23" applyFill="1" applyAlignment="1">
      <alignment vertical="center"/>
    </xf>
    <xf numFmtId="0" fontId="55" fillId="45" borderId="0" xfId="23" applyFont="1" applyFill="1" applyAlignment="1" applyProtection="1">
      <alignment vertical="center"/>
      <protection locked="0"/>
    </xf>
    <xf numFmtId="0" fontId="154" fillId="17" borderId="0" xfId="23" applyFont="1" applyFill="1"/>
    <xf numFmtId="0" fontId="55" fillId="45" borderId="19" xfId="23" applyFont="1" applyFill="1" applyBorder="1" applyAlignment="1" applyProtection="1">
      <alignment vertical="center"/>
      <protection locked="0"/>
    </xf>
    <xf numFmtId="0" fontId="55" fillId="45" borderId="22" xfId="23" applyFont="1" applyFill="1" applyBorder="1" applyAlignment="1" applyProtection="1">
      <alignment vertical="center"/>
      <protection locked="0"/>
    </xf>
    <xf numFmtId="0" fontId="82" fillId="17" borderId="22" xfId="23" applyFill="1" applyBorder="1" applyAlignment="1">
      <alignment vertical="center"/>
    </xf>
    <xf numFmtId="0" fontId="154" fillId="17" borderId="22" xfId="23" applyFont="1" applyFill="1" applyBorder="1"/>
    <xf numFmtId="0" fontId="55" fillId="45" borderId="21" xfId="23" applyFont="1" applyFill="1" applyBorder="1" applyAlignment="1" applyProtection="1">
      <alignment vertical="center"/>
      <protection locked="0"/>
    </xf>
    <xf numFmtId="175" fontId="49" fillId="45" borderId="40" xfId="23" applyNumberFormat="1" applyFont="1" applyFill="1" applyBorder="1" applyAlignment="1">
      <alignment horizontal="center" vertical="center"/>
    </xf>
    <xf numFmtId="175" fontId="49" fillId="45" borderId="40" xfId="51" applyNumberFormat="1" applyFont="1" applyFill="1" applyBorder="1" applyAlignment="1" applyProtection="1">
      <alignment horizontal="center" vertical="center"/>
    </xf>
    <xf numFmtId="175" fontId="49" fillId="46" borderId="40" xfId="51" applyNumberFormat="1" applyFont="1" applyFill="1" applyBorder="1" applyAlignment="1" applyProtection="1">
      <alignment horizontal="center" vertical="center"/>
    </xf>
    <xf numFmtId="175" fontId="56" fillId="17" borderId="40" xfId="51" applyNumberFormat="1" applyFont="1" applyFill="1" applyBorder="1" applyAlignment="1" applyProtection="1">
      <alignment horizontal="center" vertical="center"/>
    </xf>
    <xf numFmtId="43" fontId="82" fillId="0" borderId="0" xfId="23" applyNumberFormat="1" applyAlignment="1">
      <alignment vertical="center"/>
    </xf>
    <xf numFmtId="0" fontId="153" fillId="6" borderId="0" xfId="23" applyFont="1" applyFill="1" applyAlignment="1">
      <alignment horizontal="center" vertical="center"/>
    </xf>
    <xf numFmtId="0" fontId="153" fillId="6" borderId="0" xfId="23" applyFont="1" applyFill="1" applyAlignment="1">
      <alignment vertical="center"/>
    </xf>
    <xf numFmtId="0" fontId="153" fillId="6" borderId="43" xfId="23" applyFont="1" applyFill="1" applyBorder="1" applyAlignment="1">
      <alignment vertical="center"/>
    </xf>
    <xf numFmtId="0" fontId="108" fillId="6" borderId="0" xfId="23" applyFont="1" applyFill="1" applyAlignment="1">
      <alignment vertical="center"/>
    </xf>
    <xf numFmtId="0" fontId="108" fillId="6" borderId="43" xfId="23" applyFont="1" applyFill="1" applyBorder="1" applyAlignment="1">
      <alignment vertical="center"/>
    </xf>
    <xf numFmtId="0" fontId="155" fillId="6" borderId="0" xfId="23" applyFont="1" applyFill="1" applyAlignment="1">
      <alignment vertical="center"/>
    </xf>
    <xf numFmtId="0" fontId="49" fillId="6" borderId="44" xfId="23" applyFont="1" applyFill="1" applyBorder="1" applyAlignment="1">
      <alignment horizontal="center" vertical="center"/>
    </xf>
    <xf numFmtId="0" fontId="49" fillId="6" borderId="45" xfId="23" applyFont="1" applyFill="1" applyBorder="1" applyAlignment="1">
      <alignment horizontal="center" vertical="center"/>
    </xf>
    <xf numFmtId="10" fontId="129" fillId="0" borderId="21" xfId="16" applyNumberFormat="1" applyFont="1" applyBorder="1" applyAlignment="1">
      <alignment horizontal="center" vertical="center"/>
    </xf>
    <xf numFmtId="10" fontId="27" fillId="15" borderId="39" xfId="0" applyNumberFormat="1" applyFont="1" applyFill="1" applyBorder="1" applyAlignment="1" applyProtection="1">
      <alignment horizontal="center" vertical="center"/>
      <protection locked="0"/>
    </xf>
    <xf numFmtId="10" fontId="27" fillId="15" borderId="1" xfId="0" applyNumberFormat="1" applyFont="1" applyFill="1" applyBorder="1" applyAlignment="1" applyProtection="1">
      <alignment horizontal="center" vertical="center"/>
      <protection locked="0"/>
    </xf>
    <xf numFmtId="10" fontId="27" fillId="15" borderId="1" xfId="49" applyNumberFormat="1" applyFont="1" applyFill="1" applyBorder="1" applyAlignment="1" applyProtection="1">
      <alignment horizontal="center" vertical="center"/>
      <protection locked="0"/>
    </xf>
    <xf numFmtId="0" fontId="27" fillId="15" borderId="1" xfId="0" applyFont="1" applyFill="1" applyBorder="1" applyAlignment="1" applyProtection="1">
      <alignment horizontal="center" vertical="center"/>
      <protection locked="0"/>
    </xf>
    <xf numFmtId="4" fontId="27" fillId="15" borderId="1" xfId="0" applyNumberFormat="1" applyFont="1" applyFill="1" applyBorder="1" applyAlignment="1" applyProtection="1">
      <alignment horizontal="center" vertical="center"/>
      <protection locked="0"/>
    </xf>
    <xf numFmtId="2" fontId="27" fillId="15" borderId="1" xfId="0" applyNumberFormat="1" applyFont="1" applyFill="1" applyBorder="1" applyAlignment="1" applyProtection="1">
      <alignment horizontal="center" vertical="center" wrapText="1"/>
      <protection locked="0"/>
    </xf>
    <xf numFmtId="4" fontId="155" fillId="0" borderId="1" xfId="0" applyNumberFormat="1" applyFont="1" applyBorder="1" applyAlignment="1">
      <alignment horizontal="center" vertical="center"/>
    </xf>
    <xf numFmtId="10" fontId="45" fillId="0" borderId="7" xfId="0" applyNumberFormat="1" applyFont="1" applyBorder="1" applyAlignment="1">
      <alignment horizontal="center" vertical="center"/>
    </xf>
    <xf numFmtId="10" fontId="45" fillId="15" borderId="7" xfId="0" applyNumberFormat="1" applyFont="1" applyFill="1" applyBorder="1" applyAlignment="1" applyProtection="1">
      <alignment horizontal="center" vertical="center"/>
      <protection locked="0"/>
    </xf>
    <xf numFmtId="171" fontId="103" fillId="3" borderId="1" xfId="20" applyNumberFormat="1" applyFont="1" applyFill="1" applyBorder="1" applyAlignment="1">
      <alignment vertical="center" wrapText="1"/>
    </xf>
    <xf numFmtId="4" fontId="45" fillId="0" borderId="3" xfId="0" applyNumberFormat="1" applyFont="1" applyBorder="1" applyAlignment="1">
      <alignment vertical="center"/>
    </xf>
    <xf numFmtId="4" fontId="45" fillId="17" borderId="1" xfId="0" applyNumberFormat="1" applyFont="1" applyFill="1" applyBorder="1" applyAlignment="1">
      <alignment vertical="center"/>
    </xf>
    <xf numFmtId="10" fontId="45" fillId="17" borderId="1" xfId="0" applyNumberFormat="1" applyFont="1" applyFill="1" applyBorder="1" applyAlignment="1">
      <alignment horizontal="center" vertical="center"/>
    </xf>
    <xf numFmtId="9" fontId="45" fillId="17" borderId="1" xfId="0" applyNumberFormat="1" applyFont="1" applyFill="1" applyBorder="1" applyAlignment="1">
      <alignment horizontal="center" vertical="center"/>
    </xf>
    <xf numFmtId="175" fontId="49" fillId="17" borderId="40" xfId="51" applyNumberFormat="1" applyFont="1" applyFill="1" applyBorder="1" applyAlignment="1" applyProtection="1">
      <alignment horizontal="center" vertical="center"/>
    </xf>
    <xf numFmtId="175" fontId="49" fillId="17" borderId="40" xfId="23" applyNumberFormat="1" applyFont="1" applyFill="1" applyBorder="1" applyAlignment="1">
      <alignment horizontal="center" vertical="center"/>
    </xf>
    <xf numFmtId="175" fontId="49" fillId="0" borderId="0" xfId="51" applyNumberFormat="1" applyFont="1" applyBorder="1" applyAlignment="1" applyProtection="1">
      <alignment horizontal="center" vertical="center"/>
    </xf>
    <xf numFmtId="0" fontId="82" fillId="17" borderId="47" xfId="23" applyFill="1" applyBorder="1" applyAlignment="1">
      <alignment vertical="center"/>
    </xf>
    <xf numFmtId="0" fontId="55" fillId="6" borderId="21" xfId="23" applyFont="1" applyFill="1" applyBorder="1" applyAlignment="1" applyProtection="1">
      <alignment vertical="center"/>
      <protection locked="0"/>
    </xf>
    <xf numFmtId="0" fontId="12" fillId="0" borderId="37" xfId="0" applyFont="1" applyBorder="1" applyAlignment="1">
      <alignment vertical="center"/>
    </xf>
    <xf numFmtId="0" fontId="68" fillId="7" borderId="30" xfId="0" applyFont="1" applyFill="1" applyBorder="1" applyAlignment="1">
      <alignment horizontal="center" vertical="center" wrapText="1"/>
    </xf>
    <xf numFmtId="0" fontId="83" fillId="17" borderId="44" xfId="22" applyFill="1" applyBorder="1" applyAlignment="1">
      <alignment vertical="center"/>
    </xf>
    <xf numFmtId="0" fontId="83" fillId="17" borderId="45" xfId="22" applyFill="1" applyBorder="1" applyAlignment="1">
      <alignment vertical="center"/>
    </xf>
    <xf numFmtId="0" fontId="83" fillId="17" borderId="46" xfId="22" applyFill="1" applyBorder="1" applyAlignment="1">
      <alignment vertical="center"/>
    </xf>
    <xf numFmtId="0" fontId="83" fillId="17" borderId="47" xfId="22" applyFill="1" applyBorder="1" applyAlignment="1">
      <alignment vertical="center"/>
    </xf>
    <xf numFmtId="0" fontId="83" fillId="17" borderId="0" xfId="22" applyFill="1" applyAlignment="1">
      <alignment vertical="center"/>
    </xf>
    <xf numFmtId="0" fontId="106" fillId="17" borderId="0" xfId="22" applyFont="1" applyFill="1"/>
    <xf numFmtId="0" fontId="83" fillId="17" borderId="43" xfId="22" applyFill="1" applyBorder="1" applyAlignment="1">
      <alignment vertical="center"/>
    </xf>
    <xf numFmtId="0" fontId="156" fillId="17" borderId="0" xfId="22" applyFont="1" applyFill="1" applyAlignment="1">
      <alignment vertical="center"/>
    </xf>
    <xf numFmtId="0" fontId="83" fillId="17" borderId="47" xfId="22" applyFill="1" applyBorder="1"/>
    <xf numFmtId="0" fontId="83" fillId="17" borderId="43" xfId="22" applyFill="1" applyBorder="1"/>
    <xf numFmtId="0" fontId="106" fillId="17" borderId="1" xfId="22" applyFont="1" applyFill="1" applyBorder="1" applyAlignment="1">
      <alignment horizontal="center" vertical="center"/>
    </xf>
    <xf numFmtId="0" fontId="12" fillId="0" borderId="4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5" fillId="17" borderId="0" xfId="0" applyFont="1" applyFill="1" applyAlignment="1">
      <alignment horizontal="left"/>
    </xf>
    <xf numFmtId="0" fontId="5" fillId="17" borderId="22" xfId="0" applyFont="1" applyFill="1" applyBorder="1" applyAlignment="1">
      <alignment horizontal="left"/>
    </xf>
    <xf numFmtId="0" fontId="3" fillId="45" borderId="22" xfId="0" applyFont="1" applyFill="1" applyBorder="1" applyAlignment="1">
      <alignment horizontal="center"/>
    </xf>
    <xf numFmtId="0" fontId="3" fillId="45" borderId="44" xfId="0" applyFont="1" applyFill="1" applyBorder="1"/>
    <xf numFmtId="0" fontId="19" fillId="45" borderId="45" xfId="0" applyFont="1" applyFill="1" applyBorder="1" applyAlignment="1">
      <alignment horizontal="left"/>
    </xf>
    <xf numFmtId="0" fontId="3" fillId="45" borderId="45" xfId="0" applyFont="1" applyFill="1" applyBorder="1" applyAlignment="1">
      <alignment horizontal="center"/>
    </xf>
    <xf numFmtId="4" fontId="3" fillId="45" borderId="46" xfId="0" applyNumberFormat="1" applyFont="1" applyFill="1" applyBorder="1" applyAlignment="1">
      <alignment horizontal="center"/>
    </xf>
    <xf numFmtId="0" fontId="3" fillId="45" borderId="47" xfId="0" applyFont="1" applyFill="1" applyBorder="1"/>
    <xf numFmtId="0" fontId="3" fillId="45" borderId="0" xfId="0" applyFont="1" applyFill="1" applyAlignment="1">
      <alignment horizontal="center"/>
    </xf>
    <xf numFmtId="4" fontId="3" fillId="45" borderId="43" xfId="0" applyNumberFormat="1" applyFont="1" applyFill="1" applyBorder="1" applyAlignment="1">
      <alignment horizontal="center"/>
    </xf>
    <xf numFmtId="0" fontId="3" fillId="45" borderId="19" xfId="0" applyFont="1" applyFill="1" applyBorder="1"/>
    <xf numFmtId="4" fontId="3" fillId="45" borderId="21" xfId="0" applyNumberFormat="1" applyFont="1" applyFill="1" applyBorder="1" applyAlignment="1">
      <alignment horizontal="center"/>
    </xf>
    <xf numFmtId="0" fontId="3" fillId="45" borderId="44" xfId="0" applyFont="1" applyFill="1" applyBorder="1" applyAlignment="1">
      <alignment vertical="center"/>
    </xf>
    <xf numFmtId="0" fontId="19" fillId="45" borderId="45" xfId="0" applyFont="1" applyFill="1" applyBorder="1" applyAlignment="1">
      <alignment vertical="center"/>
    </xf>
    <xf numFmtId="0" fontId="3" fillId="45" borderId="45" xfId="0" applyFont="1" applyFill="1" applyBorder="1" applyAlignment="1">
      <alignment horizontal="center" vertical="center"/>
    </xf>
    <xf numFmtId="4" fontId="3" fillId="45" borderId="45" xfId="0" applyNumberFormat="1" applyFont="1" applyFill="1" applyBorder="1" applyAlignment="1">
      <alignment horizontal="center" vertical="center"/>
    </xf>
    <xf numFmtId="0" fontId="0" fillId="45" borderId="45" xfId="0" applyFill="1" applyBorder="1" applyAlignment="1">
      <alignment vertical="center"/>
    </xf>
    <xf numFmtId="0" fontId="0" fillId="45" borderId="46" xfId="0" applyFill="1" applyBorder="1" applyAlignment="1">
      <alignment vertical="center"/>
    </xf>
    <xf numFmtId="0" fontId="3" fillId="45" borderId="47" xfId="0" applyFont="1" applyFill="1" applyBorder="1" applyAlignment="1">
      <alignment vertical="center"/>
    </xf>
    <xf numFmtId="0" fontId="5" fillId="17" borderId="0" xfId="0" applyFont="1" applyFill="1" applyAlignment="1">
      <alignment horizontal="left" vertical="center"/>
    </xf>
    <xf numFmtId="0" fontId="3" fillId="45" borderId="0" xfId="0" applyFont="1" applyFill="1" applyAlignment="1">
      <alignment horizontal="center" vertical="center"/>
    </xf>
    <xf numFmtId="4" fontId="3" fillId="45" borderId="0" xfId="0" applyNumberFormat="1" applyFont="1" applyFill="1" applyAlignment="1">
      <alignment horizontal="center" vertical="center"/>
    </xf>
    <xf numFmtId="0" fontId="0" fillId="45" borderId="0" xfId="0" applyFill="1" applyAlignment="1">
      <alignment vertical="center"/>
    </xf>
    <xf numFmtId="0" fontId="0" fillId="45" borderId="43" xfId="0" applyFill="1" applyBorder="1" applyAlignment="1">
      <alignment vertical="center"/>
    </xf>
    <xf numFmtId="0" fontId="3" fillId="45" borderId="19" xfId="0" applyFont="1" applyFill="1" applyBorder="1" applyAlignment="1">
      <alignment vertical="center"/>
    </xf>
    <xf numFmtId="0" fontId="5" fillId="17" borderId="22" xfId="0" applyFont="1" applyFill="1" applyBorder="1" applyAlignment="1">
      <alignment horizontal="left" vertical="center"/>
    </xf>
    <xf numFmtId="0" fontId="3" fillId="45" borderId="22" xfId="0" applyFont="1" applyFill="1" applyBorder="1" applyAlignment="1">
      <alignment horizontal="center" vertical="center"/>
    </xf>
    <xf numFmtId="4" fontId="3" fillId="45" borderId="22" xfId="0" applyNumberFormat="1" applyFont="1" applyFill="1" applyBorder="1" applyAlignment="1">
      <alignment horizontal="center" vertical="center"/>
    </xf>
    <xf numFmtId="0" fontId="0" fillId="45" borderId="22" xfId="0" applyFill="1" applyBorder="1" applyAlignment="1">
      <alignment vertical="center"/>
    </xf>
    <xf numFmtId="0" fontId="0" fillId="45" borderId="21" xfId="0" applyFill="1" applyBorder="1" applyAlignment="1">
      <alignment vertical="center"/>
    </xf>
    <xf numFmtId="0" fontId="82" fillId="6" borderId="44" xfId="23" applyFill="1" applyBorder="1" applyAlignment="1">
      <alignment horizontal="right" vertical="center" wrapText="1"/>
    </xf>
    <xf numFmtId="0" fontId="82" fillId="6" borderId="1" xfId="23" applyFill="1" applyBorder="1" applyAlignment="1">
      <alignment horizontal="left" vertical="center" wrapText="1"/>
    </xf>
    <xf numFmtId="9" fontId="82" fillId="6" borderId="1" xfId="23" applyNumberFormat="1" applyFill="1" applyBorder="1" applyAlignment="1">
      <alignment horizontal="center" vertical="center" wrapText="1"/>
    </xf>
    <xf numFmtId="171" fontId="82" fillId="6" borderId="1" xfId="23" applyNumberFormat="1" applyFill="1" applyBorder="1" applyAlignment="1">
      <alignment horizontal="center" vertical="center"/>
    </xf>
    <xf numFmtId="171" fontId="107" fillId="0" borderId="16" xfId="22" applyNumberFormat="1" applyFont="1" applyBorder="1" applyAlignment="1">
      <alignment horizontal="center" vertical="center"/>
    </xf>
    <xf numFmtId="0" fontId="48" fillId="0" borderId="0" xfId="0" quotePrefix="1" applyFont="1" applyAlignment="1">
      <alignment horizontal="right"/>
    </xf>
    <xf numFmtId="0" fontId="144" fillId="0" borderId="47" xfId="23" applyFont="1" applyBorder="1" applyAlignment="1">
      <alignment vertical="center" wrapText="1"/>
    </xf>
    <xf numFmtId="0" fontId="144" fillId="0" borderId="0" xfId="23" applyFont="1" applyAlignment="1">
      <alignment vertical="center"/>
    </xf>
    <xf numFmtId="0" fontId="144" fillId="0" borderId="47" xfId="23" applyFont="1" applyBorder="1" applyAlignment="1">
      <alignment vertical="center"/>
    </xf>
    <xf numFmtId="0" fontId="130" fillId="17" borderId="39" xfId="16" quotePrefix="1" applyFont="1" applyFill="1" applyBorder="1" applyAlignment="1">
      <alignment horizontal="right" wrapText="1"/>
    </xf>
    <xf numFmtId="0" fontId="130" fillId="17" borderId="39" xfId="16" applyFont="1" applyFill="1" applyBorder="1" applyAlignment="1">
      <alignment horizontal="center" vertical="center" wrapText="1"/>
    </xf>
    <xf numFmtId="0" fontId="130" fillId="17" borderId="40" xfId="16" applyFont="1" applyFill="1" applyBorder="1" applyAlignment="1">
      <alignment horizontal="center" vertical="center" wrapText="1"/>
    </xf>
    <xf numFmtId="10" fontId="130" fillId="17" borderId="49" xfId="16" applyNumberFormat="1" applyFont="1" applyFill="1" applyBorder="1" applyAlignment="1">
      <alignment horizontal="center"/>
    </xf>
    <xf numFmtId="0" fontId="142" fillId="0" borderId="18" xfId="16" applyFont="1" applyBorder="1" applyAlignment="1">
      <alignment horizontal="left" vertical="center" wrapText="1"/>
    </xf>
    <xf numFmtId="0" fontId="142" fillId="0" borderId="18" xfId="16" applyFont="1" applyBorder="1" applyAlignment="1">
      <alignment horizontal="center" vertical="center" wrapText="1"/>
    </xf>
    <xf numFmtId="0" fontId="142" fillId="0" borderId="18" xfId="16" applyFont="1" applyBorder="1" applyAlignment="1">
      <alignment horizontal="center" vertical="center"/>
    </xf>
    <xf numFmtId="2" fontId="142" fillId="0" borderId="18" xfId="16" applyNumberFormat="1" applyFont="1" applyBorder="1" applyAlignment="1">
      <alignment horizontal="center" vertical="center"/>
    </xf>
    <xf numFmtId="44" fontId="128" fillId="0" borderId="18" xfId="3" applyFont="1" applyBorder="1" applyAlignment="1">
      <alignment horizontal="right" vertical="center"/>
    </xf>
    <xf numFmtId="0" fontId="139" fillId="0" borderId="18" xfId="16" applyFont="1" applyBorder="1" applyAlignment="1">
      <alignment vertical="center"/>
    </xf>
    <xf numFmtId="0" fontId="139" fillId="0" borderId="18" xfId="16" applyFont="1" applyBorder="1" applyAlignment="1">
      <alignment horizontal="center" vertical="center"/>
    </xf>
    <xf numFmtId="0" fontId="140" fillId="0" borderId="39" xfId="16" applyFont="1" applyBorder="1" applyAlignment="1">
      <alignment horizontal="left" vertical="center" wrapText="1"/>
    </xf>
    <xf numFmtId="0" fontId="147" fillId="0" borderId="40" xfId="16" applyFont="1" applyBorder="1" applyAlignment="1">
      <alignment vertical="center"/>
    </xf>
    <xf numFmtId="0" fontId="140" fillId="0" borderId="40" xfId="16" applyFont="1" applyBorder="1" applyAlignment="1">
      <alignment horizontal="left" vertical="center" wrapText="1"/>
    </xf>
    <xf numFmtId="0" fontId="147" fillId="0" borderId="40" xfId="16" applyFont="1" applyBorder="1" applyAlignment="1">
      <alignment horizontal="center" vertical="center"/>
    </xf>
    <xf numFmtId="2" fontId="140" fillId="0" borderId="40" xfId="16" applyNumberFormat="1" applyFont="1" applyBorder="1" applyAlignment="1">
      <alignment horizontal="center" vertical="center"/>
    </xf>
    <xf numFmtId="2" fontId="140" fillId="0" borderId="49" xfId="16" applyNumberFormat="1" applyFont="1" applyBorder="1" applyAlignment="1">
      <alignment horizontal="center" vertical="center"/>
    </xf>
    <xf numFmtId="0" fontId="142" fillId="0" borderId="39" xfId="16" applyFont="1" applyBorder="1" applyAlignment="1">
      <alignment horizontal="left" vertical="center" wrapText="1"/>
    </xf>
    <xf numFmtId="0" fontId="139" fillId="0" borderId="40" xfId="16" applyFont="1" applyBorder="1" applyAlignment="1">
      <alignment vertical="center"/>
    </xf>
    <xf numFmtId="0" fontId="142" fillId="0" borderId="40" xfId="16" applyFont="1" applyBorder="1" applyAlignment="1">
      <alignment horizontal="left" vertical="center" wrapText="1"/>
    </xf>
    <xf numFmtId="0" fontId="139" fillId="0" borderId="40" xfId="16" applyFont="1" applyBorder="1" applyAlignment="1">
      <alignment horizontal="center" vertical="center"/>
    </xf>
    <xf numFmtId="2" fontId="142" fillId="0" borderId="40" xfId="16" applyNumberFormat="1" applyFont="1" applyBorder="1" applyAlignment="1">
      <alignment horizontal="center" vertical="center"/>
    </xf>
    <xf numFmtId="2" fontId="142" fillId="0" borderId="49" xfId="16" applyNumberFormat="1" applyFont="1" applyBorder="1" applyAlignment="1">
      <alignment horizontal="center" vertical="center"/>
    </xf>
    <xf numFmtId="0" fontId="142" fillId="0" borderId="40" xfId="16" applyFont="1" applyBorder="1" applyAlignment="1">
      <alignment horizontal="center" vertical="center" wrapText="1"/>
    </xf>
    <xf numFmtId="0" fontId="142" fillId="0" borderId="40" xfId="16" applyFont="1" applyBorder="1" applyAlignment="1">
      <alignment horizontal="center" vertical="center"/>
    </xf>
    <xf numFmtId="0" fontId="157" fillId="0" borderId="47" xfId="23" applyFont="1" applyBorder="1"/>
    <xf numFmtId="0" fontId="157" fillId="0" borderId="0" xfId="23" applyFont="1"/>
    <xf numFmtId="0" fontId="27" fillId="0" borderId="3" xfId="0" applyFont="1" applyBorder="1" applyAlignment="1">
      <alignment horizontal="left" vertical="center" wrapText="1"/>
    </xf>
    <xf numFmtId="0" fontId="158" fillId="0" borderId="0" xfId="0" applyFont="1" applyAlignment="1">
      <alignment wrapText="1"/>
    </xf>
    <xf numFmtId="0" fontId="14" fillId="0" borderId="0" xfId="0" applyFont="1" applyAlignment="1">
      <alignment wrapText="1"/>
    </xf>
    <xf numFmtId="0" fontId="159" fillId="47" borderId="1" xfId="0" applyFont="1" applyFill="1" applyBorder="1" applyAlignment="1">
      <alignment horizontal="center" vertical="center" wrapText="1"/>
    </xf>
    <xf numFmtId="175" fontId="10" fillId="48" borderId="36" xfId="23" applyNumberFormat="1" applyFont="1" applyFill="1" applyBorder="1" applyAlignment="1">
      <alignment horizontal="center" vertical="center" wrapText="1"/>
    </xf>
    <xf numFmtId="0" fontId="110" fillId="6" borderId="0" xfId="23" applyFont="1" applyFill="1" applyAlignment="1">
      <alignment horizontal="left" vertical="center" wrapText="1"/>
    </xf>
    <xf numFmtId="0" fontId="22" fillId="6" borderId="0" xfId="23" applyFont="1" applyFill="1" applyAlignment="1">
      <alignment horizontal="center" vertical="center" wrapText="1"/>
    </xf>
    <xf numFmtId="0" fontId="10" fillId="48" borderId="38" xfId="23" applyFont="1" applyFill="1" applyBorder="1" applyAlignment="1">
      <alignment horizontal="center" vertical="center" wrapText="1"/>
    </xf>
    <xf numFmtId="0" fontId="10" fillId="48" borderId="38" xfId="23" applyFont="1" applyFill="1" applyBorder="1" applyAlignment="1">
      <alignment horizontal="center" vertical="center"/>
    </xf>
    <xf numFmtId="0" fontId="10" fillId="48" borderId="56" xfId="23" applyFont="1" applyFill="1" applyBorder="1" applyAlignment="1">
      <alignment horizontal="center" vertical="center" wrapText="1"/>
    </xf>
    <xf numFmtId="0" fontId="10" fillId="48" borderId="26" xfId="23" applyFont="1" applyFill="1" applyBorder="1" applyAlignment="1">
      <alignment horizontal="center" vertical="center" wrapText="1"/>
    </xf>
    <xf numFmtId="0" fontId="10" fillId="48" borderId="50" xfId="23" applyFont="1" applyFill="1" applyBorder="1" applyAlignment="1">
      <alignment horizontal="center" vertical="center" wrapText="1"/>
    </xf>
    <xf numFmtId="0" fontId="10" fillId="48" borderId="50" xfId="23" applyFont="1" applyFill="1" applyBorder="1" applyAlignment="1">
      <alignment horizontal="center" vertical="center"/>
    </xf>
    <xf numFmtId="0" fontId="10" fillId="48" borderId="67" xfId="23" applyFont="1" applyFill="1" applyBorder="1" applyAlignment="1">
      <alignment horizontal="center" vertical="center" wrapText="1"/>
    </xf>
    <xf numFmtId="0" fontId="19" fillId="17" borderId="45" xfId="0" applyFont="1" applyFill="1" applyBorder="1" applyAlignment="1">
      <alignment horizontal="left"/>
    </xf>
    <xf numFmtId="0" fontId="21" fillId="7" borderId="12" xfId="0" applyFont="1" applyFill="1" applyBorder="1" applyAlignment="1">
      <alignment horizontal="center" vertical="center" wrapText="1"/>
    </xf>
    <xf numFmtId="0" fontId="3" fillId="6" borderId="0" xfId="46" quotePrefix="1" applyFont="1" applyFill="1"/>
    <xf numFmtId="0" fontId="3" fillId="45" borderId="0" xfId="46" applyFont="1" applyFill="1"/>
    <xf numFmtId="0" fontId="1" fillId="17" borderId="0" xfId="46" applyFill="1"/>
    <xf numFmtId="0" fontId="3" fillId="45" borderId="0" xfId="46" quotePrefix="1" applyFont="1" applyFill="1"/>
    <xf numFmtId="0" fontId="3" fillId="49" borderId="0" xfId="46" applyFont="1" applyFill="1"/>
    <xf numFmtId="0" fontId="9" fillId="49" borderId="0" xfId="46" applyFont="1" applyFill="1" applyAlignment="1">
      <alignment vertical="center"/>
    </xf>
    <xf numFmtId="0" fontId="16" fillId="17" borderId="0" xfId="46" applyFont="1" applyFill="1" applyAlignment="1">
      <alignment vertical="center"/>
    </xf>
    <xf numFmtId="0" fontId="97" fillId="17" borderId="34" xfId="0" applyFont="1" applyFill="1" applyBorder="1" applyAlignment="1">
      <alignment vertical="center"/>
    </xf>
    <xf numFmtId="0" fontId="19" fillId="17" borderId="35" xfId="0" applyFont="1" applyFill="1" applyBorder="1" applyAlignment="1">
      <alignment horizontal="left"/>
    </xf>
    <xf numFmtId="0" fontId="5" fillId="17" borderId="35" xfId="0" applyFont="1" applyFill="1" applyBorder="1" applyAlignment="1">
      <alignment vertical="center"/>
    </xf>
    <xf numFmtId="4" fontId="5" fillId="17" borderId="35" xfId="0" applyNumberFormat="1" applyFont="1" applyFill="1" applyBorder="1" applyAlignment="1">
      <alignment vertical="center"/>
    </xf>
    <xf numFmtId="0" fontId="5" fillId="17" borderId="36" xfId="0" applyFont="1" applyFill="1" applyBorder="1"/>
    <xf numFmtId="0" fontId="97" fillId="17" borderId="37" xfId="0" applyFont="1" applyFill="1" applyBorder="1" applyAlignment="1">
      <alignment vertical="center"/>
    </xf>
    <xf numFmtId="0" fontId="5" fillId="17" borderId="0" xfId="0" applyFont="1" applyFill="1" applyAlignment="1">
      <alignment vertical="center"/>
    </xf>
    <xf numFmtId="4" fontId="5" fillId="17" borderId="0" xfId="0" applyNumberFormat="1" applyFont="1" applyFill="1" applyAlignment="1">
      <alignment vertical="center"/>
    </xf>
    <xf numFmtId="0" fontId="5" fillId="17" borderId="38" xfId="0" applyFont="1" applyFill="1" applyBorder="1"/>
    <xf numFmtId="10" fontId="160" fillId="32" borderId="1" xfId="49" applyNumberFormat="1" applyFont="1" applyFill="1" applyBorder="1" applyAlignment="1">
      <alignment horizontal="center" vertical="center" wrapText="1"/>
    </xf>
    <xf numFmtId="0" fontId="5" fillId="17" borderId="35" xfId="0" applyFont="1" applyFill="1" applyBorder="1" applyAlignment="1">
      <alignment horizontal="left"/>
    </xf>
    <xf numFmtId="0" fontId="4" fillId="17" borderId="0" xfId="0" applyFont="1" applyFill="1" applyAlignment="1">
      <alignment horizontal="left"/>
    </xf>
    <xf numFmtId="0" fontId="4" fillId="17" borderId="22" xfId="0" applyFont="1" applyFill="1" applyBorder="1" applyAlignment="1">
      <alignment horizontal="left"/>
    </xf>
    <xf numFmtId="0" fontId="0" fillId="17" borderId="0" xfId="0" applyFill="1"/>
    <xf numFmtId="9" fontId="0" fillId="0" borderId="0" xfId="0" applyNumberFormat="1"/>
    <xf numFmtId="10" fontId="3" fillId="0" borderId="0" xfId="0" applyNumberFormat="1" applyFont="1"/>
    <xf numFmtId="0" fontId="97" fillId="17" borderId="44" xfId="0" applyFont="1" applyFill="1" applyBorder="1"/>
    <xf numFmtId="0" fontId="5" fillId="17" borderId="45" xfId="0" applyFont="1" applyFill="1" applyBorder="1"/>
    <xf numFmtId="0" fontId="3" fillId="17" borderId="45" xfId="0" applyFont="1" applyFill="1" applyBorder="1"/>
    <xf numFmtId="0" fontId="97" fillId="17" borderId="47" xfId="0" applyFont="1" applyFill="1" applyBorder="1"/>
    <xf numFmtId="0" fontId="3" fillId="17" borderId="0" xfId="0" applyFont="1" applyFill="1" applyAlignment="1">
      <alignment horizontal="left"/>
    </xf>
    <xf numFmtId="0" fontId="5" fillId="17" borderId="0" xfId="0" applyFont="1" applyFill="1"/>
    <xf numFmtId="0" fontId="3" fillId="17" borderId="0" xfId="0" applyFont="1" applyFill="1"/>
    <xf numFmtId="0" fontId="97" fillId="17" borderId="19" xfId="0" applyFont="1" applyFill="1" applyBorder="1"/>
    <xf numFmtId="0" fontId="3" fillId="17" borderId="22" xfId="0" applyFont="1" applyFill="1" applyBorder="1" applyAlignment="1">
      <alignment horizontal="left"/>
    </xf>
    <xf numFmtId="0" fontId="5" fillId="17" borderId="22" xfId="0" applyFont="1" applyFill="1" applyBorder="1"/>
    <xf numFmtId="0" fontId="3" fillId="17" borderId="22" xfId="0" applyFont="1" applyFill="1" applyBorder="1"/>
    <xf numFmtId="0" fontId="3" fillId="17" borderId="0" xfId="25" applyFont="1" applyFill="1" applyAlignment="1">
      <alignment horizontal="center"/>
    </xf>
    <xf numFmtId="0" fontId="3" fillId="17" borderId="0" xfId="25" applyFont="1" applyFill="1"/>
    <xf numFmtId="0" fontId="3" fillId="17" borderId="0" xfId="25" applyFont="1" applyFill="1" applyAlignment="1">
      <alignment horizontal="center" vertical="center"/>
    </xf>
    <xf numFmtId="0" fontId="6" fillId="17" borderId="0" xfId="25" applyFont="1" applyFill="1" applyAlignment="1">
      <alignment horizontal="center" vertical="center" wrapText="1"/>
    </xf>
    <xf numFmtId="0" fontId="7" fillId="17" borderId="0" xfId="25" applyFont="1" applyFill="1" applyAlignment="1">
      <alignment vertical="center" wrapText="1"/>
    </xf>
    <xf numFmtId="0" fontId="7" fillId="17" borderId="0" xfId="25" applyFont="1" applyFill="1" applyAlignment="1">
      <alignment vertical="center"/>
    </xf>
    <xf numFmtId="0" fontId="7" fillId="17" borderId="0" xfId="25" applyFont="1" applyFill="1" applyAlignment="1">
      <alignment horizontal="center" vertical="center"/>
    </xf>
    <xf numFmtId="0" fontId="6" fillId="17" borderId="0" xfId="25" applyFont="1" applyFill="1" applyAlignment="1">
      <alignment vertical="center" wrapText="1"/>
    </xf>
    <xf numFmtId="0" fontId="3" fillId="17" borderId="44" xfId="25" applyFont="1" applyFill="1" applyBorder="1" applyAlignment="1">
      <alignment vertical="top"/>
    </xf>
    <xf numFmtId="0" fontId="3" fillId="17" borderId="45" xfId="25" applyFont="1" applyFill="1" applyBorder="1"/>
    <xf numFmtId="0" fontId="4" fillId="17" borderId="45" xfId="0" applyFont="1" applyFill="1" applyBorder="1" applyAlignment="1">
      <alignment horizontal="left"/>
    </xf>
    <xf numFmtId="0" fontId="5" fillId="17" borderId="45" xfId="19" applyFont="1" applyFill="1" applyBorder="1"/>
    <xf numFmtId="0" fontId="3" fillId="17" borderId="45" xfId="25" applyFont="1" applyFill="1" applyBorder="1" applyAlignment="1">
      <alignment horizontal="center"/>
    </xf>
    <xf numFmtId="0" fontId="3" fillId="17" borderId="45" xfId="25" applyFont="1" applyFill="1" applyBorder="1" applyAlignment="1">
      <alignment horizontal="center" vertical="center"/>
    </xf>
    <xf numFmtId="0" fontId="3" fillId="17" borderId="46" xfId="25" applyFont="1" applyFill="1" applyBorder="1" applyAlignment="1">
      <alignment horizontal="center" vertical="center"/>
    </xf>
    <xf numFmtId="0" fontId="3" fillId="17" borderId="47" xfId="25" applyFont="1" applyFill="1" applyBorder="1"/>
    <xf numFmtId="0" fontId="5" fillId="17" borderId="0" xfId="19" applyFont="1" applyFill="1"/>
    <xf numFmtId="0" fontId="3" fillId="17" borderId="43" xfId="25" applyFont="1" applyFill="1" applyBorder="1" applyAlignment="1">
      <alignment horizontal="center" vertical="center"/>
    </xf>
    <xf numFmtId="0" fontId="3" fillId="17" borderId="0" xfId="25" applyFont="1" applyFill="1" applyAlignment="1">
      <alignment horizontal="left" vertical="center"/>
    </xf>
    <xf numFmtId="0" fontId="3" fillId="17" borderId="0" xfId="25" applyFont="1" applyFill="1" applyAlignment="1">
      <alignment horizontal="left" vertical="center" wrapText="1"/>
    </xf>
    <xf numFmtId="0" fontId="144" fillId="17" borderId="0" xfId="25" applyFont="1" applyFill="1" applyAlignment="1">
      <alignment horizontal="left" vertical="center" wrapText="1"/>
    </xf>
    <xf numFmtId="0" fontId="5" fillId="17" borderId="0" xfId="25" applyFont="1" applyFill="1" applyAlignment="1">
      <alignment vertical="center"/>
    </xf>
    <xf numFmtId="0" fontId="5" fillId="17" borderId="0" xfId="25" applyFont="1" applyFill="1" applyAlignment="1">
      <alignment horizontal="left" vertical="center"/>
    </xf>
    <xf numFmtId="0" fontId="5" fillId="17" borderId="0" xfId="25" applyFont="1" applyFill="1" applyAlignment="1">
      <alignment horizontal="center" vertical="center"/>
    </xf>
    <xf numFmtId="2" fontId="5" fillId="17" borderId="0" xfId="25" applyNumberFormat="1" applyFont="1" applyFill="1" applyAlignment="1">
      <alignment horizontal="center" vertical="center"/>
    </xf>
    <xf numFmtId="0" fontId="5" fillId="17" borderId="0" xfId="25" applyFont="1" applyFill="1" applyAlignment="1">
      <alignment horizontal="left" vertical="center" wrapText="1"/>
    </xf>
    <xf numFmtId="0" fontId="27" fillId="17" borderId="0" xfId="25" applyFont="1" applyFill="1"/>
    <xf numFmtId="0" fontId="27" fillId="17" borderId="0" xfId="25" applyFont="1" applyFill="1" applyAlignment="1">
      <alignment horizontal="center"/>
    </xf>
    <xf numFmtId="0" fontId="11" fillId="17" borderId="0" xfId="25" applyFont="1" applyFill="1" applyAlignment="1">
      <alignment horizontal="left" vertical="center"/>
    </xf>
    <xf numFmtId="0" fontId="48" fillId="17" borderId="1" xfId="25" applyFont="1" applyFill="1" applyBorder="1" applyAlignment="1">
      <alignment horizontal="center" vertical="center"/>
    </xf>
    <xf numFmtId="171" fontId="48" fillId="17" borderId="1" xfId="25" applyNumberFormat="1" applyFont="1" applyFill="1" applyBorder="1" applyAlignment="1">
      <alignment horizontal="center" vertical="center"/>
    </xf>
    <xf numFmtId="0" fontId="48" fillId="6" borderId="0" xfId="46" applyFont="1" applyFill="1" applyAlignment="1">
      <alignment vertical="top"/>
    </xf>
    <xf numFmtId="0" fontId="9" fillId="45" borderId="0" xfId="46" applyFont="1" applyFill="1" applyAlignment="1">
      <alignment vertical="center"/>
    </xf>
    <xf numFmtId="0" fontId="3" fillId="45" borderId="0" xfId="46" applyFont="1" applyFill="1" applyAlignment="1">
      <alignment vertical="center"/>
    </xf>
    <xf numFmtId="0" fontId="1" fillId="17" borderId="0" xfId="46" applyFill="1" applyAlignment="1">
      <alignment vertical="center"/>
    </xf>
    <xf numFmtId="0" fontId="5" fillId="45" borderId="0" xfId="46" applyFont="1" applyFill="1"/>
    <xf numFmtId="0" fontId="9" fillId="50" borderId="0" xfId="46" applyFont="1" applyFill="1"/>
    <xf numFmtId="0" fontId="161" fillId="28" borderId="5" xfId="0" applyFont="1" applyFill="1" applyBorder="1" applyAlignment="1">
      <alignment horizontal="center" vertical="top"/>
    </xf>
    <xf numFmtId="10" fontId="162" fillId="28" borderId="7" xfId="60" applyNumberFormat="1" applyFont="1" applyFill="1" applyBorder="1" applyAlignment="1">
      <alignment horizontal="center" vertical="center"/>
    </xf>
    <xf numFmtId="0" fontId="83" fillId="17" borderId="19" xfId="22" applyFill="1" applyBorder="1" applyAlignment="1">
      <alignment vertical="center"/>
    </xf>
    <xf numFmtId="0" fontId="83" fillId="17" borderId="21" xfId="22" applyFill="1" applyBorder="1" applyAlignment="1">
      <alignment vertical="center"/>
    </xf>
    <xf numFmtId="0" fontId="83" fillId="17" borderId="22" xfId="22" applyFill="1" applyBorder="1" applyAlignment="1">
      <alignment vertical="center"/>
    </xf>
    <xf numFmtId="0" fontId="163" fillId="17" borderId="45" xfId="0" applyFont="1" applyFill="1" applyBorder="1" applyAlignment="1">
      <alignment vertical="center"/>
    </xf>
    <xf numFmtId="0" fontId="4" fillId="17" borderId="45" xfId="0" applyFont="1" applyFill="1" applyBorder="1"/>
    <xf numFmtId="0" fontId="3" fillId="17" borderId="46" xfId="0" applyFont="1" applyFill="1" applyBorder="1"/>
    <xf numFmtId="0" fontId="164" fillId="17" borderId="0" xfId="0" applyFont="1" applyFill="1" applyAlignment="1">
      <alignment vertical="center"/>
    </xf>
    <xf numFmtId="0" fontId="3" fillId="17" borderId="43" xfId="0" applyFont="1" applyFill="1" applyBorder="1"/>
    <xf numFmtId="0" fontId="3" fillId="17" borderId="21" xfId="0" applyFont="1" applyFill="1" applyBorder="1"/>
    <xf numFmtId="0" fontId="153" fillId="17" borderId="44" xfId="0" applyFont="1" applyFill="1" applyBorder="1"/>
    <xf numFmtId="0" fontId="153" fillId="17" borderId="47" xfId="0" applyFont="1" applyFill="1" applyBorder="1"/>
    <xf numFmtId="0" fontId="56" fillId="19" borderId="0" xfId="23" applyFont="1" applyFill="1" applyAlignment="1">
      <alignment horizontal="center" vertical="center"/>
    </xf>
    <xf numFmtId="0" fontId="56" fillId="19" borderId="0" xfId="23" applyFont="1" applyFill="1" applyAlignment="1">
      <alignment vertical="center"/>
    </xf>
    <xf numFmtId="10" fontId="56" fillId="19" borderId="0" xfId="51" applyNumberFormat="1" applyFont="1" applyFill="1" applyBorder="1" applyAlignment="1" applyProtection="1">
      <alignment vertical="center"/>
    </xf>
    <xf numFmtId="181" fontId="56" fillId="19" borderId="0" xfId="51" applyNumberFormat="1" applyFont="1" applyFill="1" applyBorder="1" applyAlignment="1" applyProtection="1">
      <alignment horizontal="right" vertical="center"/>
    </xf>
    <xf numFmtId="0" fontId="49" fillId="45" borderId="44" xfId="23" applyFont="1" applyFill="1" applyBorder="1" applyAlignment="1">
      <alignment horizontal="center" vertical="center"/>
    </xf>
    <xf numFmtId="0" fontId="49" fillId="45" borderId="45" xfId="23" applyFont="1" applyFill="1" applyBorder="1" applyAlignment="1">
      <alignment horizontal="center" vertical="center"/>
    </xf>
    <xf numFmtId="0" fontId="49" fillId="45" borderId="47" xfId="23" applyFont="1" applyFill="1" applyBorder="1" applyAlignment="1">
      <alignment horizontal="center" vertical="center"/>
    </xf>
    <xf numFmtId="0" fontId="49" fillId="45" borderId="0" xfId="23" applyFont="1" applyFill="1" applyAlignment="1">
      <alignment horizontal="center" vertical="center"/>
    </xf>
    <xf numFmtId="0" fontId="49" fillId="45" borderId="43" xfId="37" applyFont="1" applyFill="1" applyBorder="1" applyAlignment="1">
      <alignment horizontal="left" vertical="center" wrapText="1"/>
    </xf>
    <xf numFmtId="0" fontId="82" fillId="17" borderId="43" xfId="23" applyFill="1" applyBorder="1" applyAlignment="1">
      <alignment vertical="center"/>
    </xf>
    <xf numFmtId="0" fontId="82" fillId="17" borderId="19" xfId="23" applyFill="1" applyBorder="1" applyAlignment="1">
      <alignment vertical="center"/>
    </xf>
    <xf numFmtId="0" fontId="82" fillId="17" borderId="21" xfId="23" applyFill="1" applyBorder="1" applyAlignment="1">
      <alignment vertical="center"/>
    </xf>
    <xf numFmtId="9" fontId="46" fillId="37" borderId="0" xfId="0" applyNumberFormat="1" applyFont="1" applyFill="1"/>
    <xf numFmtId="0" fontId="5" fillId="37" borderId="0" xfId="0" applyFont="1" applyFill="1"/>
    <xf numFmtId="0" fontId="83" fillId="17" borderId="47" xfId="22" quotePrefix="1" applyFill="1" applyBorder="1" applyAlignment="1">
      <alignment vertical="center"/>
    </xf>
    <xf numFmtId="0" fontId="27" fillId="0" borderId="1" xfId="20" applyFont="1" applyBorder="1" applyAlignment="1">
      <alignment horizontal="center" vertical="center"/>
    </xf>
    <xf numFmtId="0" fontId="165" fillId="0" borderId="0" xfId="20" applyFont="1"/>
    <xf numFmtId="4" fontId="48" fillId="0" borderId="16" xfId="20" applyNumberFormat="1" applyFont="1" applyBorder="1" applyAlignment="1" applyProtection="1">
      <alignment horizontal="center" vertical="center"/>
      <protection locked="0"/>
    </xf>
    <xf numFmtId="171" fontId="83" fillId="36" borderId="1" xfId="22" applyNumberFormat="1" applyFill="1" applyBorder="1" applyAlignment="1">
      <alignment vertical="center"/>
    </xf>
    <xf numFmtId="10" fontId="5" fillId="49" borderId="7" xfId="0" applyNumberFormat="1" applyFont="1" applyFill="1" applyBorder="1" applyAlignment="1">
      <alignment horizontal="center" vertical="center"/>
    </xf>
    <xf numFmtId="10" fontId="3" fillId="3" borderId="1" xfId="0" applyNumberFormat="1" applyFont="1" applyFill="1" applyBorder="1" applyAlignment="1" applyProtection="1">
      <alignment horizontal="center" vertical="center" wrapText="1"/>
      <protection locked="0"/>
    </xf>
    <xf numFmtId="10" fontId="1" fillId="51" borderId="1" xfId="49" applyNumberFormat="1" applyFill="1" applyBorder="1" applyAlignment="1" applyProtection="1">
      <alignment horizontal="center" vertical="center"/>
      <protection locked="0"/>
    </xf>
    <xf numFmtId="4" fontId="3" fillId="51" borderId="1" xfId="20" applyNumberFormat="1" applyFont="1" applyFill="1" applyBorder="1" applyAlignment="1" applyProtection="1">
      <alignment horizontal="center" vertical="center" wrapText="1"/>
      <protection locked="0"/>
    </xf>
    <xf numFmtId="10" fontId="5" fillId="17" borderId="1" xfId="0" applyNumberFormat="1" applyFont="1" applyFill="1" applyBorder="1" applyAlignment="1">
      <alignment vertical="center"/>
    </xf>
    <xf numFmtId="10" fontId="2" fillId="17" borderId="1" xfId="0" applyNumberFormat="1" applyFont="1" applyFill="1" applyBorder="1" applyAlignment="1">
      <alignment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vertical="center"/>
    </xf>
    <xf numFmtId="0" fontId="0" fillId="0" borderId="1" xfId="0" applyBorder="1"/>
    <xf numFmtId="10" fontId="45" fillId="0" borderId="1" xfId="0" applyNumberFormat="1" applyFont="1" applyBorder="1" applyAlignment="1">
      <alignment horizontal="center" vertical="center"/>
    </xf>
    <xf numFmtId="9" fontId="45"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4" fontId="25" fillId="7" borderId="1" xfId="0" applyNumberFormat="1" applyFont="1" applyFill="1" applyBorder="1" applyAlignment="1">
      <alignment vertical="center"/>
    </xf>
    <xf numFmtId="0" fontId="38" fillId="7" borderId="1" xfId="0" applyFont="1" applyFill="1" applyBorder="1" applyAlignment="1">
      <alignment vertical="center"/>
    </xf>
    <xf numFmtId="4" fontId="41" fillId="7" borderId="1" xfId="0" applyNumberFormat="1" applyFont="1" applyFill="1" applyBorder="1" applyAlignment="1">
      <alignment vertical="center"/>
    </xf>
    <xf numFmtId="4" fontId="45" fillId="3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4" fontId="5" fillId="6" borderId="1" xfId="92" applyNumberFormat="1" applyFont="1" applyFill="1" applyBorder="1" applyAlignment="1" applyProtection="1">
      <alignment vertical="center"/>
      <protection locked="0"/>
    </xf>
    <xf numFmtId="0" fontId="38" fillId="6" borderId="1" xfId="0" applyFont="1" applyFill="1" applyBorder="1" applyAlignment="1">
      <alignment horizontal="center" vertical="center" wrapText="1"/>
    </xf>
    <xf numFmtId="0" fontId="39" fillId="0" borderId="1" xfId="0" applyFont="1" applyBorder="1" applyAlignment="1">
      <alignment horizontal="center" vertical="center" wrapText="1"/>
    </xf>
    <xf numFmtId="4" fontId="2" fillId="6" borderId="1" xfId="92" applyNumberFormat="1" applyFont="1" applyFill="1" applyBorder="1" applyAlignment="1" applyProtection="1">
      <alignment vertical="center"/>
      <protection locked="0"/>
    </xf>
    <xf numFmtId="10" fontId="2" fillId="0" borderId="1" xfId="0" applyNumberFormat="1" applyFont="1" applyBorder="1" applyAlignment="1" applyProtection="1">
      <alignment vertical="center"/>
      <protection locked="0"/>
    </xf>
    <xf numFmtId="0" fontId="10" fillId="0" borderId="18" xfId="0" applyFont="1" applyBorder="1" applyAlignment="1">
      <alignment vertical="center"/>
    </xf>
    <xf numFmtId="4" fontId="10" fillId="0" borderId="18" xfId="0" applyNumberFormat="1" applyFont="1" applyBorder="1" applyAlignment="1">
      <alignment vertical="center"/>
    </xf>
    <xf numFmtId="0" fontId="38" fillId="0" borderId="18" xfId="0" applyFont="1" applyBorder="1" applyAlignment="1">
      <alignment vertical="center"/>
    </xf>
    <xf numFmtId="4" fontId="38" fillId="0" borderId="18" xfId="0" applyNumberFormat="1" applyFont="1" applyBorder="1" applyAlignment="1">
      <alignment vertical="center"/>
    </xf>
    <xf numFmtId="0" fontId="4" fillId="17" borderId="34" xfId="0" applyFont="1" applyFill="1" applyBorder="1"/>
    <xf numFmtId="0" fontId="5" fillId="17" borderId="68" xfId="0" applyFont="1" applyFill="1" applyBorder="1" applyAlignment="1">
      <alignment horizontal="left"/>
    </xf>
    <xf numFmtId="0" fontId="24" fillId="0" borderId="3" xfId="0" applyFont="1" applyBorder="1" applyAlignment="1">
      <alignment horizontal="center" vertical="center"/>
    </xf>
    <xf numFmtId="4" fontId="5" fillId="0" borderId="7" xfId="0" applyNumberFormat="1" applyFont="1" applyBorder="1" applyAlignment="1">
      <alignment vertical="center"/>
    </xf>
    <xf numFmtId="0" fontId="10" fillId="6" borderId="3" xfId="0" applyFont="1" applyFill="1" applyBorder="1" applyAlignment="1">
      <alignment horizontal="left" vertical="center"/>
    </xf>
    <xf numFmtId="0" fontId="10" fillId="6" borderId="7" xfId="0" applyFont="1" applyFill="1" applyBorder="1" applyAlignment="1">
      <alignment horizontal="left" vertical="center"/>
    </xf>
    <xf numFmtId="4" fontId="25" fillId="7" borderId="7" xfId="0" applyNumberFormat="1" applyFont="1" applyFill="1" applyBorder="1" applyAlignment="1">
      <alignment vertical="center"/>
    </xf>
    <xf numFmtId="10" fontId="5" fillId="7" borderId="2" xfId="0" applyNumberFormat="1" applyFont="1" applyFill="1" applyBorder="1" applyAlignment="1">
      <alignment vertical="center"/>
    </xf>
    <xf numFmtId="10" fontId="5" fillId="7" borderId="9" xfId="0" applyNumberFormat="1" applyFont="1" applyFill="1" applyBorder="1" applyAlignment="1">
      <alignment vertical="center"/>
    </xf>
    <xf numFmtId="0" fontId="39" fillId="0" borderId="3" xfId="0" applyFont="1" applyBorder="1" applyAlignment="1">
      <alignment horizontal="center" vertical="center"/>
    </xf>
    <xf numFmtId="4" fontId="2" fillId="0" borderId="7" xfId="0" applyNumberFormat="1" applyFont="1" applyBorder="1" applyAlignment="1">
      <alignment vertical="center"/>
    </xf>
    <xf numFmtId="4" fontId="38" fillId="7" borderId="7" xfId="0" applyNumberFormat="1" applyFont="1" applyFill="1" applyBorder="1" applyAlignment="1">
      <alignment vertical="center"/>
    </xf>
    <xf numFmtId="0" fontId="38" fillId="7" borderId="3" xfId="0" applyFont="1" applyFill="1" applyBorder="1" applyAlignment="1">
      <alignment vertical="center"/>
    </xf>
    <xf numFmtId="4" fontId="41" fillId="7" borderId="7" xfId="0" applyNumberFormat="1" applyFont="1" applyFill="1" applyBorder="1" applyAlignment="1">
      <alignment vertical="center"/>
    </xf>
    <xf numFmtId="10" fontId="2" fillId="7" borderId="2" xfId="0" applyNumberFormat="1" applyFont="1" applyFill="1" applyBorder="1" applyAlignment="1">
      <alignment vertical="center"/>
    </xf>
    <xf numFmtId="10" fontId="2" fillId="7" borderId="9" xfId="0" applyNumberFormat="1" applyFont="1" applyFill="1" applyBorder="1" applyAlignment="1">
      <alignment vertical="center"/>
    </xf>
    <xf numFmtId="0" fontId="159" fillId="47" borderId="7" xfId="0" applyFont="1" applyFill="1" applyBorder="1" applyAlignment="1">
      <alignment horizontal="center" vertical="center" wrapText="1"/>
    </xf>
    <xf numFmtId="0" fontId="45" fillId="36" borderId="7" xfId="0" applyFont="1" applyFill="1" applyBorder="1" applyAlignment="1">
      <alignment horizontal="center" vertical="center"/>
    </xf>
    <xf numFmtId="4" fontId="62" fillId="0" borderId="3" xfId="0" applyNumberFormat="1" applyFont="1" applyBorder="1" applyAlignment="1">
      <alignment horizontal="center" vertical="center"/>
    </xf>
    <xf numFmtId="4" fontId="45" fillId="0" borderId="7" xfId="0" applyNumberFormat="1" applyFont="1" applyBorder="1" applyAlignment="1">
      <alignment vertical="center"/>
    </xf>
    <xf numFmtId="4" fontId="46" fillId="7" borderId="3" xfId="0" applyNumberFormat="1" applyFont="1" applyFill="1" applyBorder="1" applyAlignment="1">
      <alignment vertical="center"/>
    </xf>
    <xf numFmtId="4" fontId="46" fillId="7" borderId="7" xfId="0" applyNumberFormat="1" applyFont="1" applyFill="1" applyBorder="1" applyAlignment="1">
      <alignment vertical="center"/>
    </xf>
    <xf numFmtId="0" fontId="46" fillId="0" borderId="3" xfId="0" applyFont="1" applyBorder="1" applyAlignment="1">
      <alignment horizontal="center" vertical="center"/>
    </xf>
    <xf numFmtId="0" fontId="0" fillId="0" borderId="7" xfId="0" applyBorder="1"/>
    <xf numFmtId="0" fontId="0" fillId="0" borderId="3" xfId="0" applyBorder="1"/>
    <xf numFmtId="0" fontId="45" fillId="0" borderId="7" xfId="0" applyFont="1" applyBorder="1"/>
    <xf numFmtId="0" fontId="46" fillId="6" borderId="3" xfId="0" applyFont="1" applyFill="1" applyBorder="1" applyAlignment="1">
      <alignment horizontal="left" vertical="center"/>
    </xf>
    <xf numFmtId="0" fontId="45" fillId="0" borderId="3" xfId="0" applyFont="1" applyBorder="1" applyAlignment="1">
      <alignment vertical="center"/>
    </xf>
    <xf numFmtId="4" fontId="53" fillId="7" borderId="7" xfId="0" applyNumberFormat="1" applyFont="1" applyFill="1" applyBorder="1" applyAlignment="1">
      <alignment vertical="center"/>
    </xf>
    <xf numFmtId="10" fontId="45" fillId="7" borderId="8" xfId="0" applyNumberFormat="1" applyFont="1" applyFill="1" applyBorder="1" applyAlignment="1">
      <alignment vertical="center"/>
    </xf>
    <xf numFmtId="10" fontId="45" fillId="7" borderId="2" xfId="0" applyNumberFormat="1" applyFont="1" applyFill="1" applyBorder="1" applyAlignment="1">
      <alignment vertical="center"/>
    </xf>
    <xf numFmtId="10" fontId="45" fillId="7" borderId="9" xfId="0" applyNumberFormat="1" applyFont="1" applyFill="1" applyBorder="1" applyAlignment="1">
      <alignment vertical="center"/>
    </xf>
    <xf numFmtId="4" fontId="45" fillId="0" borderId="1" xfId="0" applyNumberFormat="1" applyFont="1" applyBorder="1" applyAlignment="1">
      <alignment horizontal="center" vertical="center"/>
    </xf>
    <xf numFmtId="4" fontId="45" fillId="0" borderId="7" xfId="0" applyNumberFormat="1" applyFont="1" applyBorder="1" applyAlignment="1">
      <alignment horizontal="center" vertical="center"/>
    </xf>
    <xf numFmtId="4" fontId="46" fillId="0" borderId="7" xfId="0" applyNumberFormat="1" applyFont="1" applyBorder="1" applyAlignment="1">
      <alignment horizontal="center" vertical="center"/>
    </xf>
    <xf numFmtId="0" fontId="10" fillId="30" borderId="69" xfId="89" applyNumberFormat="1" applyFont="1" applyFill="1" applyBorder="1" applyAlignment="1" applyProtection="1">
      <alignment horizontal="center" vertical="center" wrapText="1"/>
    </xf>
    <xf numFmtId="167" fontId="82" fillId="0" borderId="49" xfId="15" applyBorder="1"/>
    <xf numFmtId="0" fontId="10" fillId="2" borderId="1" xfId="88" applyNumberFormat="1" applyFont="1" applyFill="1" applyBorder="1" applyAlignment="1" applyProtection="1">
      <alignment horizontal="center" vertical="center" wrapText="1"/>
    </xf>
    <xf numFmtId="4" fontId="25" fillId="8" borderId="0" xfId="0" applyNumberFormat="1" applyFont="1" applyFill="1" applyAlignment="1">
      <alignment horizontal="center" vertical="center"/>
    </xf>
    <xf numFmtId="0" fontId="5" fillId="52" borderId="8" xfId="88" applyNumberFormat="1" applyFont="1" applyFill="1" applyBorder="1" applyAlignment="1">
      <alignment horizontal="center" vertical="center" wrapText="1"/>
    </xf>
    <xf numFmtId="0" fontId="5" fillId="52" borderId="2" xfId="88" applyNumberFormat="1" applyFont="1" applyFill="1" applyBorder="1" applyAlignment="1">
      <alignment horizontal="center" vertical="center" wrapText="1"/>
    </xf>
    <xf numFmtId="0" fontId="4" fillId="52" borderId="9" xfId="88" applyNumberFormat="1" applyFont="1" applyFill="1" applyBorder="1" applyAlignment="1">
      <alignment horizontal="center" vertical="center" wrapText="1"/>
    </xf>
    <xf numFmtId="182" fontId="0" fillId="0" borderId="1" xfId="0" applyNumberFormat="1" applyBorder="1" applyAlignment="1">
      <alignment horizontal="center"/>
    </xf>
    <xf numFmtId="182" fontId="0" fillId="17" borderId="1" xfId="0" applyNumberFormat="1" applyFill="1" applyBorder="1" applyAlignment="1">
      <alignment horizontal="center"/>
    </xf>
    <xf numFmtId="0" fontId="9" fillId="7" borderId="78" xfId="0" applyFont="1" applyFill="1" applyBorder="1" applyAlignment="1">
      <alignment vertical="center" wrapText="1"/>
    </xf>
    <xf numFmtId="0" fontId="9" fillId="7" borderId="79" xfId="0" applyFont="1" applyFill="1" applyBorder="1" applyAlignment="1">
      <alignment vertical="center" wrapText="1"/>
    </xf>
    <xf numFmtId="0" fontId="12" fillId="7" borderId="80" xfId="0" applyFont="1" applyFill="1" applyBorder="1" applyAlignment="1">
      <alignment vertical="center"/>
    </xf>
    <xf numFmtId="0" fontId="9" fillId="7" borderId="80" xfId="0" applyFont="1" applyFill="1" applyBorder="1" applyAlignment="1">
      <alignment vertical="center" wrapText="1"/>
    </xf>
    <xf numFmtId="0" fontId="0" fillId="17" borderId="45" xfId="0" applyFill="1" applyBorder="1"/>
    <xf numFmtId="0" fontId="163" fillId="17" borderId="44" xfId="0" applyFont="1" applyFill="1" applyBorder="1" applyAlignment="1">
      <alignment vertical="center"/>
    </xf>
    <xf numFmtId="0" fontId="164" fillId="17" borderId="47" xfId="0" applyFont="1" applyFill="1" applyBorder="1" applyAlignment="1">
      <alignment vertical="center"/>
    </xf>
    <xf numFmtId="0" fontId="4" fillId="17" borderId="47" xfId="0" applyFont="1" applyFill="1" applyBorder="1" applyAlignment="1">
      <alignment horizontal="left"/>
    </xf>
    <xf numFmtId="0" fontId="0" fillId="17" borderId="19" xfId="0" applyFill="1" applyBorder="1"/>
    <xf numFmtId="0" fontId="0" fillId="17" borderId="22" xfId="0" applyFill="1" applyBorder="1"/>
    <xf numFmtId="0" fontId="0" fillId="17" borderId="21" xfId="0" applyFill="1" applyBorder="1"/>
    <xf numFmtId="4" fontId="3" fillId="3" borderId="1" xfId="21" applyNumberFormat="1" applyFont="1" applyFill="1" applyBorder="1" applyAlignment="1" applyProtection="1">
      <alignment horizontal="center" vertical="center"/>
      <protection locked="0"/>
    </xf>
    <xf numFmtId="0" fontId="0" fillId="0" borderId="1" xfId="0" applyBorder="1" applyAlignment="1">
      <alignment horizontal="left" vertical="center" wrapText="1"/>
    </xf>
    <xf numFmtId="0" fontId="3" fillId="0" borderId="16" xfId="0" applyFont="1" applyBorder="1" applyAlignment="1">
      <alignment horizontal="left" vertical="center" wrapText="1"/>
    </xf>
    <xf numFmtId="0" fontId="3" fillId="0" borderId="45" xfId="0" applyFont="1" applyBorder="1" applyAlignment="1">
      <alignment horizontal="left" vertical="center" wrapText="1"/>
    </xf>
    <xf numFmtId="0" fontId="77" fillId="17" borderId="22" xfId="0" applyFont="1" applyFill="1" applyBorder="1" applyAlignment="1">
      <alignment vertical="center"/>
    </xf>
    <xf numFmtId="0" fontId="44" fillId="17" borderId="22" xfId="0" applyFont="1" applyFill="1" applyBorder="1"/>
    <xf numFmtId="0" fontId="0" fillId="17" borderId="46" xfId="0" applyFill="1" applyBorder="1"/>
    <xf numFmtId="0" fontId="0" fillId="17" borderId="43" xfId="0" applyFill="1" applyBorder="1"/>
    <xf numFmtId="0" fontId="88" fillId="53" borderId="18" xfId="0" applyFont="1" applyFill="1" applyBorder="1" applyAlignment="1">
      <alignment horizontal="center" vertical="center"/>
    </xf>
    <xf numFmtId="0" fontId="88" fillId="53" borderId="18" xfId="0" applyFont="1" applyFill="1" applyBorder="1" applyAlignment="1">
      <alignment horizontal="center" vertical="center" wrapText="1"/>
    </xf>
    <xf numFmtId="0" fontId="0" fillId="0" borderId="50" xfId="0" applyBorder="1"/>
    <xf numFmtId="0" fontId="88" fillId="53" borderId="1" xfId="0" applyFont="1" applyFill="1" applyBorder="1" applyAlignment="1">
      <alignment horizontal="center" vertical="center" wrapText="1"/>
    </xf>
    <xf numFmtId="0" fontId="88" fillId="53" borderId="19" xfId="0" applyFont="1" applyFill="1" applyBorder="1" applyAlignment="1">
      <alignment horizontal="center" vertical="center" wrapText="1"/>
    </xf>
    <xf numFmtId="0" fontId="88" fillId="53" borderId="21" xfId="0" applyFont="1" applyFill="1" applyBorder="1" applyAlignment="1">
      <alignment horizontal="center" vertical="center" wrapText="1"/>
    </xf>
    <xf numFmtId="182" fontId="166" fillId="0" borderId="1" xfId="0" applyNumberFormat="1" applyFont="1" applyBorder="1" applyAlignment="1">
      <alignment horizontal="center"/>
    </xf>
    <xf numFmtId="0" fontId="0" fillId="17" borderId="16" xfId="0" applyFill="1" applyBorder="1" applyAlignment="1">
      <alignment wrapText="1"/>
    </xf>
    <xf numFmtId="182" fontId="166" fillId="17" borderId="1" xfId="0" applyNumberFormat="1" applyFont="1" applyFill="1" applyBorder="1" applyAlignment="1">
      <alignment horizontal="center"/>
    </xf>
    <xf numFmtId="0" fontId="0" fillId="17" borderId="50" xfId="0" applyFill="1" applyBorder="1" applyAlignment="1">
      <alignment wrapText="1"/>
    </xf>
    <xf numFmtId="0" fontId="0" fillId="17" borderId="1" xfId="0" applyFill="1" applyBorder="1" applyAlignment="1">
      <alignment wrapText="1"/>
    </xf>
    <xf numFmtId="0" fontId="0" fillId="0" borderId="0" xfId="0" applyAlignment="1">
      <alignment wrapText="1"/>
    </xf>
    <xf numFmtId="0" fontId="53" fillId="7" borderId="1" xfId="0" applyFont="1" applyFill="1" applyBorder="1" applyAlignment="1">
      <alignment horizontal="center" vertical="center" wrapText="1"/>
    </xf>
    <xf numFmtId="0" fontId="78" fillId="17" borderId="19" xfId="0" applyFont="1" applyFill="1" applyBorder="1" applyAlignment="1">
      <alignment horizontal="left" vertical="center"/>
    </xf>
    <xf numFmtId="167" fontId="58" fillId="0" borderId="1" xfId="2" applyFont="1" applyBorder="1" applyAlignment="1">
      <alignment vertical="center"/>
    </xf>
    <xf numFmtId="171" fontId="83" fillId="46" borderId="1" xfId="22" applyNumberFormat="1" applyFill="1" applyBorder="1" applyAlignment="1">
      <alignment horizontal="right" vertical="center"/>
    </xf>
    <xf numFmtId="171" fontId="83" fillId="0" borderId="1" xfId="22" applyNumberFormat="1" applyBorder="1" applyAlignment="1">
      <alignment horizontal="right" vertical="center"/>
    </xf>
    <xf numFmtId="43" fontId="2" fillId="0" borderId="0" xfId="16" applyNumberFormat="1" applyAlignment="1">
      <alignment vertical="center"/>
    </xf>
    <xf numFmtId="167" fontId="56" fillId="0" borderId="1" xfId="2" applyFont="1" applyBorder="1"/>
    <xf numFmtId="43" fontId="56" fillId="0" borderId="1" xfId="16" applyNumberFormat="1" applyFont="1" applyBorder="1" applyAlignment="1">
      <alignment vertical="center"/>
    </xf>
    <xf numFmtId="171" fontId="166" fillId="0" borderId="1" xfId="22" applyNumberFormat="1" applyFont="1" applyBorder="1" applyAlignment="1">
      <alignment vertical="center"/>
    </xf>
    <xf numFmtId="10" fontId="1" fillId="0" borderId="0" xfId="49" applyNumberFormat="1"/>
    <xf numFmtId="182" fontId="0" fillId="0" borderId="0" xfId="0" applyNumberFormat="1"/>
    <xf numFmtId="0" fontId="36" fillId="17" borderId="35" xfId="0" applyFont="1" applyFill="1" applyBorder="1" applyAlignment="1">
      <alignment horizontal="left"/>
    </xf>
    <xf numFmtId="0" fontId="4" fillId="17" borderId="59" xfId="0" applyFont="1" applyFill="1" applyBorder="1"/>
    <xf numFmtId="0" fontId="5" fillId="17" borderId="58" xfId="0" applyFont="1" applyFill="1" applyBorder="1" applyAlignment="1">
      <alignment horizontal="left"/>
    </xf>
    <xf numFmtId="0" fontId="5" fillId="17" borderId="58" xfId="0" applyFont="1" applyFill="1" applyBorder="1" applyAlignment="1">
      <alignment vertical="center"/>
    </xf>
    <xf numFmtId="4" fontId="5" fillId="17" borderId="58" xfId="0" applyNumberFormat="1" applyFont="1" applyFill="1" applyBorder="1" applyAlignment="1">
      <alignment vertical="center"/>
    </xf>
    <xf numFmtId="0" fontId="5" fillId="17" borderId="56" xfId="0" applyFont="1" applyFill="1" applyBorder="1"/>
    <xf numFmtId="0" fontId="0" fillId="17" borderId="58" xfId="0" applyFill="1" applyBorder="1"/>
    <xf numFmtId="0" fontId="25" fillId="17" borderId="35" xfId="0" applyFont="1" applyFill="1" applyBorder="1" applyAlignment="1">
      <alignment horizontal="left"/>
    </xf>
    <xf numFmtId="0" fontId="4" fillId="17" borderId="58" xfId="0" applyFont="1" applyFill="1" applyBorder="1" applyAlignment="1">
      <alignment horizontal="left"/>
    </xf>
    <xf numFmtId="0" fontId="167" fillId="17" borderId="34" xfId="0" applyFont="1" applyFill="1" applyBorder="1" applyAlignment="1">
      <alignment vertical="center"/>
    </xf>
    <xf numFmtId="0" fontId="2" fillId="17" borderId="35" xfId="0" applyFont="1" applyFill="1" applyBorder="1" applyAlignment="1">
      <alignment vertical="center"/>
    </xf>
    <xf numFmtId="4" fontId="2" fillId="17" borderId="35" xfId="0" applyNumberFormat="1" applyFont="1" applyFill="1" applyBorder="1" applyAlignment="1">
      <alignment vertical="center"/>
    </xf>
    <xf numFmtId="0" fontId="0" fillId="17" borderId="36" xfId="0" applyFill="1" applyBorder="1"/>
    <xf numFmtId="0" fontId="167" fillId="17" borderId="37" xfId="0" applyFont="1" applyFill="1" applyBorder="1" applyAlignment="1">
      <alignment vertical="center"/>
    </xf>
    <xf numFmtId="0" fontId="2" fillId="17" borderId="0" xfId="0" applyFont="1" applyFill="1" applyAlignment="1">
      <alignment vertical="center"/>
    </xf>
    <xf numFmtId="4" fontId="2" fillId="17" borderId="0" xfId="0" applyNumberFormat="1" applyFont="1" applyFill="1" applyAlignment="1">
      <alignment vertical="center"/>
    </xf>
    <xf numFmtId="0" fontId="0" fillId="17" borderId="38" xfId="0" applyFill="1" applyBorder="1"/>
    <xf numFmtId="0" fontId="37" fillId="17" borderId="59" xfId="0" applyFont="1" applyFill="1" applyBorder="1"/>
    <xf numFmtId="0" fontId="2" fillId="17" borderId="58" xfId="0" applyFont="1" applyFill="1" applyBorder="1" applyAlignment="1">
      <alignment vertical="center"/>
    </xf>
    <xf numFmtId="4" fontId="2" fillId="17" borderId="58" xfId="0" applyNumberFormat="1" applyFont="1" applyFill="1" applyBorder="1" applyAlignment="1">
      <alignment vertical="center"/>
    </xf>
    <xf numFmtId="0" fontId="0" fillId="17" borderId="56" xfId="0" applyFill="1" applyBorder="1"/>
    <xf numFmtId="0" fontId="68" fillId="0" borderId="1" xfId="16" applyFont="1" applyBorder="1" applyAlignment="1">
      <alignment vertical="center" wrapText="1"/>
    </xf>
    <xf numFmtId="0" fontId="68" fillId="0" borderId="1" xfId="16" applyFont="1" applyBorder="1" applyAlignment="1">
      <alignment horizontal="center" vertical="center" wrapText="1"/>
    </xf>
    <xf numFmtId="0" fontId="168" fillId="0" borderId="1" xfId="23" applyFont="1" applyBorder="1" applyAlignment="1">
      <alignment horizontal="center" vertical="center" wrapText="1"/>
    </xf>
    <xf numFmtId="173" fontId="68" fillId="3" borderId="1" xfId="16" applyNumberFormat="1" applyFont="1" applyFill="1" applyBorder="1" applyAlignment="1">
      <alignment vertical="center"/>
    </xf>
    <xf numFmtId="173" fontId="68" fillId="3" borderId="1" xfId="16" applyNumberFormat="1" applyFont="1" applyFill="1" applyBorder="1" applyAlignment="1">
      <alignment horizontal="right" vertical="center"/>
    </xf>
    <xf numFmtId="0" fontId="168" fillId="0" borderId="1" xfId="0" applyFont="1" applyBorder="1" applyAlignment="1">
      <alignment vertical="center" wrapText="1"/>
    </xf>
    <xf numFmtId="0" fontId="68" fillId="6" borderId="44" xfId="0" applyFont="1" applyFill="1" applyBorder="1"/>
    <xf numFmtId="0" fontId="62" fillId="6" borderId="45" xfId="0" applyFont="1" applyFill="1" applyBorder="1"/>
    <xf numFmtId="0" fontId="62" fillId="6" borderId="45" xfId="16" applyFont="1" applyFill="1" applyBorder="1" applyAlignment="1">
      <alignment horizontal="center" vertical="center"/>
    </xf>
    <xf numFmtId="0" fontId="62" fillId="6" borderId="46" xfId="16" applyFont="1" applyFill="1" applyBorder="1" applyAlignment="1">
      <alignment horizontal="center" vertical="center"/>
    </xf>
    <xf numFmtId="0" fontId="68" fillId="0" borderId="0" xfId="0" applyFont="1"/>
    <xf numFmtId="0" fontId="68" fillId="6" borderId="47" xfId="0" applyFont="1" applyFill="1" applyBorder="1"/>
    <xf numFmtId="0" fontId="68" fillId="0" borderId="0" xfId="0" applyFont="1" applyAlignment="1">
      <alignment horizontal="left"/>
    </xf>
    <xf numFmtId="0" fontId="62" fillId="6" borderId="0" xfId="16" applyFont="1" applyFill="1" applyAlignment="1">
      <alignment horizontal="center" vertical="center"/>
    </xf>
    <xf numFmtId="0" fontId="62" fillId="6" borderId="43" xfId="16" applyFont="1" applyFill="1" applyBorder="1" applyAlignment="1">
      <alignment horizontal="center" vertical="center"/>
    </xf>
    <xf numFmtId="0" fontId="68" fillId="6" borderId="19" xfId="0" applyFont="1" applyFill="1" applyBorder="1"/>
    <xf numFmtId="0" fontId="68" fillId="0" borderId="22" xfId="0" applyFont="1" applyBorder="1" applyAlignment="1">
      <alignment horizontal="left"/>
    </xf>
    <xf numFmtId="0" fontId="62" fillId="6" borderId="22" xfId="16" applyFont="1" applyFill="1" applyBorder="1" applyAlignment="1">
      <alignment horizontal="center" vertical="center"/>
    </xf>
    <xf numFmtId="0" fontId="62" fillId="6" borderId="21" xfId="16" applyFont="1" applyFill="1" applyBorder="1" applyAlignment="1">
      <alignment horizontal="center" vertical="center"/>
    </xf>
    <xf numFmtId="0" fontId="68" fillId="0" borderId="0" xfId="16" applyFont="1"/>
    <xf numFmtId="0" fontId="68" fillId="0" borderId="0" xfId="16" applyFont="1" applyAlignment="1">
      <alignment horizontal="center" vertical="center"/>
    </xf>
    <xf numFmtId="0" fontId="168" fillId="0" borderId="1" xfId="0" applyFont="1" applyBorder="1" applyAlignment="1">
      <alignment horizontal="left" vertical="center" wrapText="1"/>
    </xf>
    <xf numFmtId="173" fontId="68" fillId="0" borderId="1" xfId="16" applyNumberFormat="1" applyFont="1" applyBorder="1" applyAlignment="1">
      <alignment horizontal="center" vertical="center"/>
    </xf>
    <xf numFmtId="173" fontId="68" fillId="3" borderId="1" xfId="16" applyNumberFormat="1" applyFont="1" applyFill="1" applyBorder="1" applyAlignment="1">
      <alignment horizontal="center" vertical="center"/>
    </xf>
    <xf numFmtId="0" fontId="168" fillId="17" borderId="1" xfId="0" applyFont="1" applyFill="1" applyBorder="1" applyAlignment="1">
      <alignment vertical="center" wrapText="1"/>
    </xf>
    <xf numFmtId="4" fontId="3" fillId="49" borderId="1" xfId="20" applyNumberFormat="1" applyFont="1" applyFill="1" applyBorder="1" applyAlignment="1">
      <alignment horizontal="center" vertical="center"/>
    </xf>
    <xf numFmtId="4" fontId="3" fillId="49" borderId="1" xfId="20" applyNumberFormat="1" applyFont="1" applyFill="1" applyBorder="1" applyAlignment="1">
      <alignment horizontal="center" vertical="center" wrapText="1"/>
    </xf>
    <xf numFmtId="10" fontId="1" fillId="0" borderId="1" xfId="49" applyNumberFormat="1" applyBorder="1" applyAlignment="1" applyProtection="1">
      <alignment horizontal="center" vertical="center"/>
    </xf>
    <xf numFmtId="10" fontId="27" fillId="0" borderId="1" xfId="0" applyNumberFormat="1" applyFont="1" applyBorder="1" applyAlignment="1">
      <alignment horizontal="center" vertical="center"/>
    </xf>
    <xf numFmtId="4" fontId="3" fillId="17" borderId="1" xfId="20" applyNumberFormat="1" applyFont="1" applyFill="1" applyBorder="1" applyAlignment="1">
      <alignment horizontal="center" vertical="center" wrapText="1"/>
    </xf>
    <xf numFmtId="10" fontId="27" fillId="46" borderId="1" xfId="0" applyNumberFormat="1" applyFont="1" applyFill="1" applyBorder="1" applyAlignment="1">
      <alignment horizontal="center" vertical="center"/>
    </xf>
    <xf numFmtId="4" fontId="3" fillId="0" borderId="1" xfId="20" applyNumberFormat="1" applyFont="1" applyBorder="1" applyAlignment="1">
      <alignment horizontal="center" vertical="center" wrapText="1"/>
    </xf>
    <xf numFmtId="4" fontId="3" fillId="16" borderId="1" xfId="0" applyNumberFormat="1" applyFont="1" applyFill="1" applyBorder="1" applyAlignment="1" applyProtection="1">
      <alignment horizontal="right" vertical="center" wrapText="1"/>
      <protection locked="0"/>
    </xf>
    <xf numFmtId="0" fontId="168" fillId="0" borderId="1" xfId="0" applyFont="1" applyBorder="1" applyAlignment="1">
      <alignment horizontal="center" vertical="center" wrapText="1"/>
    </xf>
    <xf numFmtId="0" fontId="68" fillId="0" borderId="0" xfId="0" applyFont="1" applyAlignment="1">
      <alignment horizontal="center"/>
    </xf>
    <xf numFmtId="1" fontId="68" fillId="0" borderId="1" xfId="16" applyNumberFormat="1" applyFont="1" applyBorder="1" applyAlignment="1">
      <alignment horizontal="center" vertical="center"/>
    </xf>
    <xf numFmtId="173" fontId="68" fillId="54" borderId="1" xfId="16" applyNumberFormat="1" applyFont="1" applyFill="1" applyBorder="1" applyAlignment="1">
      <alignment horizontal="center" vertical="center"/>
    </xf>
    <xf numFmtId="0" fontId="68" fillId="0" borderId="1" xfId="16" applyFont="1" applyBorder="1" applyAlignment="1">
      <alignment horizontal="center" vertical="center"/>
    </xf>
    <xf numFmtId="0" fontId="23" fillId="17" borderId="44" xfId="46" applyFont="1" applyFill="1" applyBorder="1"/>
    <xf numFmtId="0" fontId="23" fillId="17" borderId="45" xfId="46" applyFont="1" applyFill="1" applyBorder="1" applyAlignment="1">
      <alignment horizontal="left" vertical="center"/>
    </xf>
    <xf numFmtId="0" fontId="23" fillId="17" borderId="46" xfId="46" applyFont="1" applyFill="1" applyBorder="1" applyAlignment="1">
      <alignment horizontal="left" vertical="center"/>
    </xf>
    <xf numFmtId="0" fontId="23" fillId="17" borderId="47" xfId="46" applyFont="1" applyFill="1" applyBorder="1"/>
    <xf numFmtId="0" fontId="23" fillId="17" borderId="0" xfId="46" applyFont="1" applyFill="1"/>
    <xf numFmtId="0" fontId="5" fillId="17" borderId="0" xfId="46" applyFont="1" applyFill="1"/>
    <xf numFmtId="0" fontId="5" fillId="17" borderId="43" xfId="46" applyFont="1" applyFill="1" applyBorder="1"/>
    <xf numFmtId="0" fontId="23" fillId="17" borderId="0" xfId="46" applyFont="1" applyFill="1" applyAlignment="1">
      <alignment horizontal="left"/>
    </xf>
    <xf numFmtId="0" fontId="23" fillId="17" borderId="19" xfId="46" applyFont="1" applyFill="1" applyBorder="1"/>
    <xf numFmtId="0" fontId="23" fillId="17" borderId="22" xfId="46" applyFont="1" applyFill="1" applyBorder="1" applyAlignment="1">
      <alignment horizontal="left"/>
    </xf>
    <xf numFmtId="0" fontId="23" fillId="17" borderId="22" xfId="46" applyFont="1" applyFill="1" applyBorder="1" applyAlignment="1">
      <alignment horizontal="left" vertical="center"/>
    </xf>
    <xf numFmtId="0" fontId="23" fillId="17" borderId="21" xfId="46" applyFont="1" applyFill="1" applyBorder="1" applyAlignment="1">
      <alignment horizontal="left" vertical="center"/>
    </xf>
    <xf numFmtId="0" fontId="94" fillId="6" borderId="18" xfId="46" applyFont="1" applyFill="1" applyBorder="1" applyAlignment="1">
      <alignment horizontal="center" vertical="center" wrapText="1"/>
    </xf>
    <xf numFmtId="0" fontId="24" fillId="0" borderId="18" xfId="46" applyFont="1" applyBorder="1" applyAlignment="1">
      <alignment horizontal="center" vertical="center" wrapText="1"/>
    </xf>
    <xf numFmtId="0" fontId="96" fillId="6" borderId="1" xfId="46" applyFont="1" applyFill="1" applyBorder="1" applyAlignment="1">
      <alignment horizontal="center" vertical="center"/>
    </xf>
    <xf numFmtId="0" fontId="10" fillId="0" borderId="40" xfId="46" applyFont="1" applyBorder="1"/>
    <xf numFmtId="0" fontId="10" fillId="0" borderId="49" xfId="46" applyFont="1" applyBorder="1"/>
    <xf numFmtId="0" fontId="169" fillId="38" borderId="1" xfId="46" applyFont="1" applyFill="1" applyBorder="1" applyAlignment="1">
      <alignment horizontal="center" vertical="center"/>
    </xf>
    <xf numFmtId="4" fontId="169" fillId="38" borderId="1" xfId="46" applyNumberFormat="1" applyFont="1" applyFill="1" applyBorder="1" applyAlignment="1">
      <alignment vertical="center"/>
    </xf>
    <xf numFmtId="0" fontId="5" fillId="0" borderId="17" xfId="46" applyFont="1" applyBorder="1" applyAlignment="1">
      <alignment horizontal="center" vertical="center"/>
    </xf>
    <xf numFmtId="10" fontId="5" fillId="0" borderId="18" xfId="46" applyNumberFormat="1" applyFont="1" applyBorder="1" applyAlignment="1">
      <alignment horizontal="center" vertical="center"/>
    </xf>
    <xf numFmtId="0" fontId="5" fillId="0" borderId="3" xfId="46" applyFont="1" applyBorder="1" applyAlignment="1">
      <alignment horizontal="center" vertical="center"/>
    </xf>
    <xf numFmtId="10" fontId="97" fillId="0" borderId="1" xfId="46" applyNumberFormat="1" applyFont="1" applyBorder="1" applyAlignment="1">
      <alignment horizontal="center" vertical="center"/>
    </xf>
    <xf numFmtId="10" fontId="96" fillId="0" borderId="1" xfId="46" applyNumberFormat="1" applyFont="1" applyBorder="1" applyAlignment="1">
      <alignment horizontal="center" vertical="center"/>
    </xf>
    <xf numFmtId="0" fontId="96" fillId="7" borderId="3" xfId="46" applyFont="1" applyFill="1" applyBorder="1" applyAlignment="1">
      <alignment horizontal="center" vertical="center"/>
    </xf>
    <xf numFmtId="0" fontId="96" fillId="7" borderId="39" xfId="46" applyFont="1" applyFill="1" applyBorder="1" applyAlignment="1">
      <alignment vertical="center"/>
    </xf>
    <xf numFmtId="0" fontId="96" fillId="7" borderId="40" xfId="46" applyFont="1" applyFill="1" applyBorder="1" applyAlignment="1">
      <alignment vertical="center"/>
    </xf>
    <xf numFmtId="0" fontId="96" fillId="7" borderId="49" xfId="46" applyFont="1" applyFill="1" applyBorder="1" applyAlignment="1">
      <alignment vertical="center"/>
    </xf>
    <xf numFmtId="0" fontId="96" fillId="7" borderId="1" xfId="46" applyFont="1" applyFill="1" applyBorder="1" applyAlignment="1">
      <alignment vertical="center"/>
    </xf>
    <xf numFmtId="0" fontId="96" fillId="7" borderId="39" xfId="46" applyFont="1" applyFill="1" applyBorder="1" applyAlignment="1">
      <alignment horizontal="center" vertical="center"/>
    </xf>
    <xf numFmtId="0" fontId="96" fillId="7" borderId="40" xfId="46" applyFont="1" applyFill="1" applyBorder="1" applyAlignment="1">
      <alignment horizontal="center" vertical="center"/>
    </xf>
    <xf numFmtId="0" fontId="96" fillId="7" borderId="1" xfId="46" applyFont="1" applyFill="1" applyBorder="1" applyAlignment="1">
      <alignment horizontal="center" vertical="center"/>
    </xf>
    <xf numFmtId="0" fontId="5" fillId="0" borderId="1" xfId="46" applyFont="1" applyBorder="1" applyAlignment="1">
      <alignment vertical="center"/>
    </xf>
    <xf numFmtId="4" fontId="5" fillId="0" borderId="1" xfId="46" applyNumberFormat="1" applyFont="1" applyBorder="1" applyAlignment="1">
      <alignment vertical="center"/>
    </xf>
    <xf numFmtId="4" fontId="5" fillId="0" borderId="1" xfId="46" applyNumberFormat="1" applyFont="1" applyBorder="1"/>
    <xf numFmtId="0" fontId="5" fillId="0" borderId="39" xfId="46" applyFont="1" applyBorder="1" applyAlignment="1">
      <alignment vertical="center"/>
    </xf>
    <xf numFmtId="0" fontId="5" fillId="0" borderId="40" xfId="46" applyFont="1" applyBorder="1" applyAlignment="1">
      <alignment vertical="center"/>
    </xf>
    <xf numFmtId="0" fontId="5" fillId="0" borderId="49" xfId="46" applyFont="1" applyBorder="1" applyAlignment="1">
      <alignment vertical="center"/>
    </xf>
    <xf numFmtId="4" fontId="96" fillId="0" borderId="1" xfId="46" applyNumberFormat="1" applyFont="1" applyBorder="1" applyAlignment="1">
      <alignment vertical="center"/>
    </xf>
    <xf numFmtId="10" fontId="96" fillId="7" borderId="1" xfId="46" applyNumberFormat="1" applyFont="1" applyFill="1" applyBorder="1" applyAlignment="1">
      <alignment horizontal="center" vertical="center"/>
    </xf>
    <xf numFmtId="0" fontId="5" fillId="0" borderId="1" xfId="46" applyFont="1" applyBorder="1" applyAlignment="1">
      <alignment horizontal="center" vertical="center"/>
    </xf>
    <xf numFmtId="10" fontId="5" fillId="0" borderId="1" xfId="46" applyNumberFormat="1" applyFont="1" applyBorder="1" applyAlignment="1">
      <alignment vertical="center" wrapText="1"/>
    </xf>
    <xf numFmtId="4" fontId="5" fillId="6" borderId="1" xfId="46" applyNumberFormat="1" applyFont="1" applyFill="1" applyBorder="1" applyAlignment="1">
      <alignment horizontal="right" vertical="center"/>
    </xf>
    <xf numFmtId="0" fontId="96" fillId="0" borderId="1" xfId="46" applyFont="1" applyBorder="1" applyAlignment="1">
      <alignment horizontal="center" vertical="center"/>
    </xf>
    <xf numFmtId="10" fontId="96" fillId="0" borderId="1" xfId="46" applyNumberFormat="1" applyFont="1" applyBorder="1" applyAlignment="1">
      <alignment vertical="center" wrapText="1"/>
    </xf>
    <xf numFmtId="4" fontId="96" fillId="6" borderId="1" xfId="46" applyNumberFormat="1" applyFont="1" applyFill="1" applyBorder="1" applyAlignment="1">
      <alignment horizontal="right" vertical="center"/>
    </xf>
    <xf numFmtId="0" fontId="5" fillId="6" borderId="1" xfId="46" applyFont="1" applyFill="1" applyBorder="1" applyAlignment="1">
      <alignment horizontal="center" vertical="center"/>
    </xf>
    <xf numFmtId="0" fontId="96" fillId="0" borderId="39" xfId="46" applyFont="1" applyBorder="1" applyAlignment="1">
      <alignment vertical="center"/>
    </xf>
    <xf numFmtId="0" fontId="5" fillId="0" borderId="40" xfId="46" applyFont="1" applyBorder="1" applyAlignment="1">
      <alignment vertical="center" wrapText="1"/>
    </xf>
    <xf numFmtId="0" fontId="5" fillId="0" borderId="49" xfId="46" applyFont="1" applyBorder="1" applyAlignment="1">
      <alignment vertical="center" wrapText="1"/>
    </xf>
    <xf numFmtId="0" fontId="5" fillId="0" borderId="1" xfId="46" applyFont="1" applyBorder="1" applyAlignment="1">
      <alignment vertical="center" wrapText="1"/>
    </xf>
    <xf numFmtId="4" fontId="96" fillId="0" borderId="1" xfId="46" applyNumberFormat="1" applyFont="1" applyBorder="1" applyAlignment="1">
      <alignment horizontal="right" vertical="center"/>
    </xf>
    <xf numFmtId="0" fontId="96" fillId="7" borderId="49" xfId="46" applyFont="1" applyFill="1" applyBorder="1" applyAlignment="1">
      <alignment horizontal="center" vertical="center"/>
    </xf>
    <xf numFmtId="0" fontId="96" fillId="6" borderId="0" xfId="46" applyFont="1" applyFill="1" applyAlignment="1">
      <alignment horizontal="center" vertical="center"/>
    </xf>
    <xf numFmtId="4" fontId="97" fillId="6" borderId="1" xfId="46" applyNumberFormat="1" applyFont="1" applyFill="1" applyBorder="1" applyAlignment="1">
      <alignment vertical="center"/>
    </xf>
    <xf numFmtId="0" fontId="96" fillId="0" borderId="1" xfId="46" applyFont="1" applyBorder="1" applyAlignment="1">
      <alignment vertical="center"/>
    </xf>
    <xf numFmtId="4" fontId="96" fillId="6" borderId="1" xfId="46" applyNumberFormat="1" applyFont="1" applyFill="1" applyBorder="1" applyAlignment="1">
      <alignment vertical="center"/>
    </xf>
    <xf numFmtId="4" fontId="96" fillId="7" borderId="1" xfId="46" applyNumberFormat="1" applyFont="1" applyFill="1" applyBorder="1" applyAlignment="1">
      <alignment vertical="center"/>
    </xf>
    <xf numFmtId="0" fontId="5" fillId="17" borderId="45" xfId="25" applyFont="1" applyFill="1" applyBorder="1" applyAlignment="1">
      <alignment horizontal="left" vertical="center" wrapText="1"/>
    </xf>
    <xf numFmtId="0" fontId="3" fillId="0" borderId="1" xfId="25" applyFont="1" applyBorder="1" applyAlignment="1">
      <alignment horizontal="center"/>
    </xf>
    <xf numFmtId="0" fontId="117" fillId="0" borderId="4" xfId="0" applyFont="1" applyBorder="1" applyAlignment="1">
      <alignment horizontal="center" vertical="center"/>
    </xf>
    <xf numFmtId="0" fontId="117" fillId="0" borderId="3" xfId="0" applyFont="1" applyBorder="1" applyAlignment="1">
      <alignment horizontal="center" vertical="center"/>
    </xf>
    <xf numFmtId="0" fontId="117" fillId="0" borderId="8" xfId="0" applyFont="1" applyBorder="1" applyAlignment="1">
      <alignment horizontal="center" vertical="center"/>
    </xf>
    <xf numFmtId="0" fontId="113" fillId="0" borderId="48" xfId="22" applyFont="1" applyBorder="1" applyAlignment="1">
      <alignment horizontal="center"/>
    </xf>
    <xf numFmtId="0" fontId="113" fillId="0" borderId="68" xfId="22" applyFont="1" applyBorder="1" applyAlignment="1">
      <alignment horizontal="center"/>
    </xf>
    <xf numFmtId="0" fontId="3" fillId="0" borderId="5" xfId="25" applyFont="1" applyBorder="1" applyAlignment="1">
      <alignment horizontal="center" vertical="center" wrapText="1"/>
    </xf>
    <xf numFmtId="0" fontId="3" fillId="0" borderId="7" xfId="25" applyFont="1" applyBorder="1" applyAlignment="1">
      <alignment horizontal="center" vertical="center" wrapText="1"/>
    </xf>
    <xf numFmtId="0" fontId="3" fillId="0" borderId="9" xfId="25" applyFont="1" applyBorder="1" applyAlignment="1">
      <alignment horizontal="center" vertical="center" wrapText="1"/>
    </xf>
    <xf numFmtId="0" fontId="5" fillId="55" borderId="6" xfId="88" applyNumberFormat="1" applyFont="1" applyFill="1" applyBorder="1" applyAlignment="1" applyProtection="1">
      <alignment horizontal="center" vertical="center" wrapText="1"/>
    </xf>
    <xf numFmtId="0" fontId="170" fillId="55" borderId="4" xfId="89" applyNumberFormat="1" applyFont="1" applyFill="1" applyBorder="1" applyAlignment="1" applyProtection="1">
      <alignment horizontal="center" vertical="center" wrapText="1"/>
    </xf>
    <xf numFmtId="0" fontId="5" fillId="55" borderId="6" xfId="89" applyNumberFormat="1" applyFont="1" applyFill="1" applyBorder="1" applyAlignment="1" applyProtection="1">
      <alignment horizontal="center" vertical="center" wrapText="1"/>
    </xf>
    <xf numFmtId="0" fontId="113" fillId="36" borderId="25" xfId="22" applyFont="1" applyFill="1" applyBorder="1" applyAlignment="1">
      <alignment horizontal="center" vertical="center"/>
    </xf>
    <xf numFmtId="0" fontId="113" fillId="36" borderId="41" xfId="22" applyFont="1" applyFill="1" applyBorder="1" applyAlignment="1">
      <alignment horizontal="center" vertical="center"/>
    </xf>
    <xf numFmtId="0" fontId="113" fillId="36" borderId="70" xfId="22" applyFont="1" applyFill="1" applyBorder="1" applyAlignment="1">
      <alignment horizontal="center" vertical="center"/>
    </xf>
    <xf numFmtId="0" fontId="5" fillId="55" borderId="25" xfId="89" applyNumberFormat="1" applyFont="1" applyFill="1" applyBorder="1" applyAlignment="1" applyProtection="1">
      <alignment horizontal="center" vertical="center" wrapText="1"/>
    </xf>
    <xf numFmtId="0" fontId="48" fillId="24" borderId="34" xfId="25" applyFont="1" applyFill="1" applyBorder="1" applyAlignment="1">
      <alignment horizontal="center"/>
    </xf>
    <xf numFmtId="0" fontId="48" fillId="24" borderId="35" xfId="25" applyFont="1" applyFill="1" applyBorder="1" applyAlignment="1">
      <alignment horizontal="center"/>
    </xf>
    <xf numFmtId="0" fontId="171" fillId="55" borderId="34" xfId="89" applyNumberFormat="1" applyFont="1" applyFill="1" applyBorder="1" applyAlignment="1" applyProtection="1">
      <alignment horizontal="center" vertical="center" wrapText="1"/>
    </xf>
    <xf numFmtId="0" fontId="171" fillId="55" borderId="35" xfId="89" applyNumberFormat="1" applyFont="1" applyFill="1" applyBorder="1" applyAlignment="1" applyProtection="1">
      <alignment horizontal="center" vertical="center" wrapText="1"/>
    </xf>
    <xf numFmtId="0" fontId="171" fillId="55" borderId="36" xfId="89" applyNumberFormat="1" applyFont="1" applyFill="1" applyBorder="1" applyAlignment="1" applyProtection="1">
      <alignment horizontal="center" vertical="center" wrapText="1"/>
    </xf>
    <xf numFmtId="0" fontId="171" fillId="55" borderId="37" xfId="89" applyNumberFormat="1" applyFont="1" applyFill="1" applyBorder="1" applyAlignment="1" applyProtection="1">
      <alignment horizontal="center" vertical="center" wrapText="1"/>
    </xf>
    <xf numFmtId="0" fontId="171" fillId="55" borderId="0" xfId="89" applyNumberFormat="1" applyFont="1" applyFill="1" applyBorder="1" applyAlignment="1" applyProtection="1">
      <alignment horizontal="center" vertical="center" wrapText="1"/>
    </xf>
    <xf numFmtId="0" fontId="171" fillId="55" borderId="38" xfId="89" applyNumberFormat="1" applyFont="1" applyFill="1" applyBorder="1" applyAlignment="1" applyProtection="1">
      <alignment horizontal="center" vertical="center" wrapText="1"/>
    </xf>
    <xf numFmtId="0" fontId="46" fillId="2" borderId="71" xfId="89" applyNumberFormat="1" applyFont="1" applyFill="1" applyBorder="1" applyAlignment="1" applyProtection="1">
      <alignment horizontal="center" vertical="center" wrapText="1"/>
    </xf>
    <xf numFmtId="0" fontId="46" fillId="2" borderId="69" xfId="89" applyNumberFormat="1" applyFont="1" applyFill="1" applyBorder="1" applyAlignment="1" applyProtection="1">
      <alignment horizontal="center" vertical="center" wrapText="1"/>
    </xf>
    <xf numFmtId="0" fontId="46" fillId="2" borderId="72" xfId="89" applyNumberFormat="1" applyFont="1" applyFill="1" applyBorder="1" applyAlignment="1" applyProtection="1">
      <alignment horizontal="center" vertical="center" wrapText="1"/>
    </xf>
    <xf numFmtId="0" fontId="46" fillId="2" borderId="65" xfId="89" applyNumberFormat="1" applyFont="1" applyFill="1" applyBorder="1" applyAlignment="1" applyProtection="1">
      <alignment horizontal="center" vertical="center" wrapText="1"/>
    </xf>
    <xf numFmtId="0" fontId="46" fillId="2" borderId="66" xfId="89" applyNumberFormat="1" applyFont="1" applyFill="1" applyBorder="1" applyAlignment="1" applyProtection="1">
      <alignment horizontal="center" vertical="center" wrapText="1"/>
    </xf>
    <xf numFmtId="0" fontId="10" fillId="2" borderId="1" xfId="89" applyNumberFormat="1" applyFont="1" applyFill="1" applyBorder="1" applyAlignment="1" applyProtection="1">
      <alignment horizontal="center" vertical="center" wrapText="1"/>
    </xf>
    <xf numFmtId="167" fontId="10" fillId="2" borderId="2" xfId="14" applyFont="1" applyFill="1" applyBorder="1" applyAlignment="1" applyProtection="1">
      <alignment horizontal="center" vertical="center" wrapText="1"/>
    </xf>
    <xf numFmtId="0" fontId="6" fillId="17" borderId="47" xfId="25" applyFont="1" applyFill="1" applyBorder="1" applyAlignment="1">
      <alignment horizontal="center" vertical="center" wrapText="1"/>
    </xf>
    <xf numFmtId="0" fontId="6" fillId="17" borderId="0" xfId="25" applyFont="1" applyFill="1" applyAlignment="1">
      <alignment horizontal="center" vertical="center" wrapText="1"/>
    </xf>
    <xf numFmtId="0" fontId="6" fillId="17" borderId="43" xfId="25" applyFont="1" applyFill="1" applyBorder="1" applyAlignment="1">
      <alignment horizontal="center" vertical="center" wrapText="1"/>
    </xf>
    <xf numFmtId="0" fontId="6" fillId="17" borderId="19" xfId="25" applyFont="1" applyFill="1" applyBorder="1" applyAlignment="1">
      <alignment horizontal="center" vertical="center" wrapText="1"/>
    </xf>
    <xf numFmtId="0" fontId="6" fillId="17" borderId="22" xfId="25" applyFont="1" applyFill="1" applyBorder="1" applyAlignment="1">
      <alignment horizontal="center" vertical="center" wrapText="1"/>
    </xf>
    <xf numFmtId="0" fontId="6" fillId="17" borderId="21" xfId="25" applyFont="1" applyFill="1" applyBorder="1" applyAlignment="1">
      <alignment horizontal="center" vertical="center" wrapText="1"/>
    </xf>
    <xf numFmtId="0" fontId="8" fillId="3" borderId="1" xfId="25" applyFont="1" applyFill="1" applyBorder="1" applyAlignment="1">
      <alignment horizontal="center" vertical="center" wrapText="1"/>
    </xf>
    <xf numFmtId="0" fontId="9" fillId="56" borderId="28" xfId="89" applyNumberFormat="1" applyFont="1" applyFill="1" applyBorder="1" applyAlignment="1" applyProtection="1">
      <alignment horizontal="center" vertical="center" wrapText="1"/>
    </xf>
    <xf numFmtId="0" fontId="10" fillId="2" borderId="8" xfId="89" applyNumberFormat="1" applyFont="1" applyFill="1" applyBorder="1" applyAlignment="1" applyProtection="1">
      <alignment horizontal="center" vertical="center" wrapText="1"/>
    </xf>
    <xf numFmtId="0" fontId="48" fillId="51" borderId="29" xfId="25" applyFont="1" applyFill="1" applyBorder="1" applyAlignment="1">
      <alignment horizontal="center" vertical="center"/>
    </xf>
    <xf numFmtId="0" fontId="48" fillId="51" borderId="28" xfId="25" applyFont="1" applyFill="1" applyBorder="1" applyAlignment="1">
      <alignment horizontal="center" vertical="center"/>
    </xf>
    <xf numFmtId="0" fontId="12" fillId="6" borderId="0" xfId="46" applyFont="1" applyFill="1" applyAlignment="1">
      <alignment horizontal="center"/>
    </xf>
    <xf numFmtId="0" fontId="9" fillId="6" borderId="0" xfId="46" applyFont="1" applyFill="1" applyAlignment="1">
      <alignment horizontal="left" vertical="center" wrapText="1"/>
    </xf>
    <xf numFmtId="0" fontId="92" fillId="6" borderId="0" xfId="46" applyFont="1" applyFill="1" applyAlignment="1">
      <alignment horizontal="left" vertical="center" wrapText="1"/>
    </xf>
    <xf numFmtId="0" fontId="9" fillId="6" borderId="0" xfId="46" applyFont="1" applyFill="1" applyAlignment="1">
      <alignment horizontal="left" wrapText="1"/>
    </xf>
    <xf numFmtId="0" fontId="9" fillId="45" borderId="0" xfId="46" applyFont="1" applyFill="1" applyAlignment="1">
      <alignment horizontal="left" vertical="center" wrapText="1"/>
    </xf>
    <xf numFmtId="0" fontId="3" fillId="6" borderId="0" xfId="46" quotePrefix="1" applyFont="1" applyFill="1" applyAlignment="1">
      <alignment horizontal="left" vertical="center" wrapText="1"/>
    </xf>
    <xf numFmtId="0" fontId="83" fillId="17" borderId="47" xfId="22" applyFill="1" applyBorder="1" applyAlignment="1">
      <alignment horizontal="left" vertical="center"/>
    </xf>
    <xf numFmtId="0" fontId="106" fillId="0" borderId="39" xfId="22" applyFont="1" applyBorder="1" applyAlignment="1">
      <alignment horizontal="right" vertical="center"/>
    </xf>
    <xf numFmtId="0" fontId="106" fillId="0" borderId="40" xfId="22" applyFont="1" applyBorder="1" applyAlignment="1">
      <alignment horizontal="right" vertical="center"/>
    </xf>
    <xf numFmtId="0" fontId="172" fillId="17" borderId="50" xfId="22" applyFont="1" applyFill="1" applyBorder="1" applyAlignment="1">
      <alignment horizontal="center" vertical="center"/>
    </xf>
    <xf numFmtId="0" fontId="83" fillId="17" borderId="1" xfId="22" applyFill="1" applyBorder="1" applyAlignment="1">
      <alignment vertical="center" wrapText="1"/>
    </xf>
    <xf numFmtId="0" fontId="83" fillId="0" borderId="1" xfId="22" applyBorder="1"/>
    <xf numFmtId="0" fontId="106" fillId="18" borderId="1" xfId="22" applyFont="1" applyFill="1" applyBorder="1" applyAlignment="1">
      <alignment horizontal="center" vertical="center" wrapText="1"/>
    </xf>
    <xf numFmtId="0" fontId="83" fillId="0" borderId="1" xfId="22" applyBorder="1" applyAlignment="1">
      <alignment vertical="center" wrapText="1"/>
    </xf>
    <xf numFmtId="0" fontId="83" fillId="17" borderId="50" xfId="22" quotePrefix="1" applyFill="1" applyBorder="1" applyAlignment="1">
      <alignment vertical="center"/>
    </xf>
    <xf numFmtId="0" fontId="83" fillId="17" borderId="50" xfId="22" applyFill="1" applyBorder="1" applyAlignment="1">
      <alignment vertical="center"/>
    </xf>
    <xf numFmtId="0" fontId="83" fillId="0" borderId="1" xfId="22" applyBorder="1" applyAlignment="1">
      <alignment horizontal="left" vertical="top" wrapText="1"/>
    </xf>
    <xf numFmtId="0" fontId="83" fillId="17" borderId="16" xfId="22" applyFill="1" applyBorder="1" applyAlignment="1">
      <alignment vertical="center"/>
    </xf>
    <xf numFmtId="0" fontId="83" fillId="17" borderId="47" xfId="22" quotePrefix="1" applyFill="1" applyBorder="1" applyAlignment="1">
      <alignment horizontal="left" vertical="center"/>
    </xf>
    <xf numFmtId="0" fontId="83" fillId="17" borderId="0" xfId="22" applyFill="1" applyAlignment="1">
      <alignment horizontal="left" vertical="center"/>
    </xf>
    <xf numFmtId="0" fontId="83" fillId="17" borderId="43" xfId="22" applyFill="1" applyBorder="1" applyAlignment="1">
      <alignment horizontal="left" vertical="center"/>
    </xf>
    <xf numFmtId="0" fontId="83" fillId="17" borderId="18" xfId="22" applyFill="1" applyBorder="1" applyAlignment="1">
      <alignment vertical="center" wrapText="1"/>
    </xf>
    <xf numFmtId="0" fontId="83" fillId="17" borderId="50" xfId="22" applyFill="1" applyBorder="1" applyAlignment="1">
      <alignment vertical="center" wrapText="1"/>
    </xf>
    <xf numFmtId="182" fontId="0" fillId="0" borderId="50" xfId="0" applyNumberFormat="1" applyBorder="1" applyAlignment="1">
      <alignment horizontal="left" vertical="top" wrapText="1"/>
    </xf>
    <xf numFmtId="182" fontId="0" fillId="0" borderId="18" xfId="0" applyNumberFormat="1" applyBorder="1" applyAlignment="1">
      <alignment horizontal="left" vertical="top" wrapText="1"/>
    </xf>
    <xf numFmtId="0" fontId="27" fillId="0" borderId="3" xfId="25" applyFont="1" applyBorder="1" applyAlignment="1">
      <alignment horizontal="center" vertical="center" wrapText="1"/>
    </xf>
    <xf numFmtId="0" fontId="27" fillId="0" borderId="1" xfId="25" applyFont="1" applyBorder="1" applyAlignment="1">
      <alignment horizontal="center" vertical="center" wrapText="1"/>
    </xf>
    <xf numFmtId="0" fontId="48" fillId="2" borderId="32" xfId="89" applyNumberFormat="1" applyFont="1" applyFill="1" applyBorder="1" applyAlignment="1" applyProtection="1">
      <alignment horizontal="center" vertical="center"/>
    </xf>
    <xf numFmtId="0" fontId="48" fillId="2" borderId="33" xfId="89" applyNumberFormat="1" applyFont="1" applyFill="1" applyBorder="1" applyAlignment="1" applyProtection="1">
      <alignment horizontal="center" vertical="center"/>
    </xf>
    <xf numFmtId="0" fontId="171" fillId="55" borderId="4" xfId="89" applyNumberFormat="1" applyFont="1" applyFill="1" applyBorder="1" applyAlignment="1" applyProtection="1">
      <alignment horizontal="center" vertical="center" wrapText="1"/>
    </xf>
    <xf numFmtId="0" fontId="171" fillId="55" borderId="6" xfId="89" applyNumberFormat="1" applyFont="1" applyFill="1" applyBorder="1" applyAlignment="1" applyProtection="1">
      <alignment horizontal="center" vertical="center" wrapText="1"/>
    </xf>
    <xf numFmtId="0" fontId="46" fillId="2" borderId="3" xfId="89" applyNumberFormat="1" applyFont="1" applyFill="1" applyBorder="1" applyAlignment="1" applyProtection="1">
      <alignment horizontal="center" vertical="center" wrapText="1"/>
    </xf>
    <xf numFmtId="0" fontId="46" fillId="2" borderId="1" xfId="89" applyNumberFormat="1" applyFont="1" applyFill="1" applyBorder="1" applyAlignment="1" applyProtection="1">
      <alignment horizontal="center" vertical="center" wrapText="1"/>
    </xf>
    <xf numFmtId="0" fontId="53" fillId="2" borderId="3" xfId="89" applyNumberFormat="1" applyFont="1" applyFill="1" applyBorder="1" applyAlignment="1" applyProtection="1">
      <alignment horizontal="center" vertical="center"/>
    </xf>
    <xf numFmtId="0" fontId="53" fillId="2" borderId="1" xfId="89" applyNumberFormat="1" applyFont="1" applyFill="1" applyBorder="1" applyAlignment="1" applyProtection="1">
      <alignment horizontal="center" vertical="center"/>
    </xf>
    <xf numFmtId="0" fontId="117" fillId="35" borderId="3" xfId="0" applyFont="1" applyFill="1" applyBorder="1" applyAlignment="1">
      <alignment horizontal="center" vertical="center" wrapText="1"/>
    </xf>
    <xf numFmtId="0" fontId="117" fillId="35" borderId="1" xfId="0" applyFont="1" applyFill="1" applyBorder="1" applyAlignment="1">
      <alignment horizontal="center" vertical="center" wrapText="1"/>
    </xf>
    <xf numFmtId="0" fontId="117" fillId="35" borderId="7" xfId="0" applyFont="1" applyFill="1" applyBorder="1" applyAlignment="1">
      <alignment horizontal="center" vertical="center" wrapText="1"/>
    </xf>
    <xf numFmtId="0" fontId="173" fillId="0" borderId="39" xfId="0" applyFont="1" applyBorder="1" applyAlignment="1">
      <alignment horizontal="center" vertical="center"/>
    </xf>
    <xf numFmtId="0" fontId="173" fillId="0" borderId="40" xfId="0" applyFont="1" applyBorder="1" applyAlignment="1">
      <alignment horizontal="center" vertical="center"/>
    </xf>
    <xf numFmtId="0" fontId="173" fillId="0" borderId="63" xfId="0" applyFont="1" applyBorder="1" applyAlignment="1">
      <alignment horizontal="center" vertical="center"/>
    </xf>
    <xf numFmtId="0" fontId="174" fillId="55" borderId="4" xfId="89" applyNumberFormat="1" applyFont="1" applyFill="1" applyBorder="1" applyAlignment="1" applyProtection="1">
      <alignment horizontal="center" vertical="center" wrapText="1"/>
    </xf>
    <xf numFmtId="0" fontId="174" fillId="55" borderId="6" xfId="89" applyNumberFormat="1" applyFont="1" applyFill="1" applyBorder="1" applyAlignment="1" applyProtection="1">
      <alignment horizontal="center" vertical="center" wrapText="1"/>
    </xf>
    <xf numFmtId="0" fontId="174" fillId="55" borderId="5" xfId="89" applyNumberFormat="1" applyFont="1" applyFill="1" applyBorder="1" applyAlignment="1" applyProtection="1">
      <alignment horizontal="center" vertical="center" wrapText="1"/>
    </xf>
    <xf numFmtId="0" fontId="5" fillId="7" borderId="13" xfId="0" applyFont="1" applyFill="1" applyBorder="1" applyAlignment="1">
      <alignment horizontal="center" vertical="center" wrapText="1"/>
    </xf>
    <xf numFmtId="0" fontId="3" fillId="7" borderId="34" xfId="25" applyFont="1" applyFill="1" applyBorder="1" applyAlignment="1">
      <alignment horizontal="center" vertical="center" wrapText="1"/>
    </xf>
    <xf numFmtId="0" fontId="3" fillId="7" borderId="35" xfId="25" applyFont="1" applyFill="1" applyBorder="1" applyAlignment="1">
      <alignment horizontal="center" vertical="center" wrapText="1"/>
    </xf>
    <xf numFmtId="0" fontId="3" fillId="7" borderId="36" xfId="25" applyFont="1" applyFill="1" applyBorder="1" applyAlignment="1">
      <alignment horizontal="center" vertical="center" wrapText="1"/>
    </xf>
    <xf numFmtId="0" fontId="53" fillId="2" borderId="8" xfId="89" applyNumberFormat="1" applyFont="1" applyFill="1" applyBorder="1" applyAlignment="1" applyProtection="1">
      <alignment horizontal="center" vertical="center"/>
    </xf>
    <xf numFmtId="0" fontId="53" fillId="2" borderId="2" xfId="89" applyNumberFormat="1" applyFont="1" applyFill="1" applyBorder="1" applyAlignment="1" applyProtection="1">
      <alignment horizontal="center" vertical="center"/>
    </xf>
    <xf numFmtId="0" fontId="173" fillId="0" borderId="10" xfId="0" applyFont="1" applyBorder="1" applyAlignment="1">
      <alignment horizontal="center" vertical="center"/>
    </xf>
    <xf numFmtId="0" fontId="173" fillId="0" borderId="65" xfId="0" applyFont="1" applyBorder="1" applyAlignment="1">
      <alignment horizontal="center" vertical="center"/>
    </xf>
    <xf numFmtId="0" fontId="173" fillId="0" borderId="75" xfId="0" applyFont="1" applyBorder="1" applyAlignment="1">
      <alignment horizontal="center" vertical="center"/>
    </xf>
    <xf numFmtId="0" fontId="53" fillId="2" borderId="4" xfId="89" applyNumberFormat="1" applyFont="1" applyFill="1" applyBorder="1" applyAlignment="1" applyProtection="1">
      <alignment horizontal="center" vertical="center"/>
    </xf>
    <xf numFmtId="0" fontId="53" fillId="2" borderId="6" xfId="89" applyNumberFormat="1" applyFont="1" applyFill="1" applyBorder="1" applyAlignment="1" applyProtection="1">
      <alignment horizontal="center" vertical="center"/>
    </xf>
    <xf numFmtId="0" fontId="25" fillId="7" borderId="13" xfId="0" applyFont="1" applyFill="1" applyBorder="1" applyAlignment="1">
      <alignment horizontal="left" vertical="center" wrapText="1" indent="15"/>
    </xf>
    <xf numFmtId="0" fontId="5" fillId="7" borderId="55" xfId="25" applyFont="1" applyFill="1" applyBorder="1" applyAlignment="1">
      <alignment horizontal="center" vertical="center" wrapText="1"/>
    </xf>
    <xf numFmtId="0" fontId="5" fillId="7" borderId="57"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23" fillId="7" borderId="32"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45" fillId="7" borderId="52" xfId="0" applyFont="1" applyFill="1" applyBorder="1" applyAlignment="1">
      <alignment horizontal="center" vertical="center" wrapText="1"/>
    </xf>
    <xf numFmtId="0" fontId="46" fillId="7" borderId="36" xfId="0" applyFont="1" applyFill="1" applyBorder="1" applyAlignment="1">
      <alignment horizontal="center" vertical="center" wrapText="1"/>
    </xf>
    <xf numFmtId="171" fontId="48" fillId="48" borderId="36" xfId="0" applyNumberFormat="1" applyFont="1" applyFill="1" applyBorder="1" applyAlignment="1">
      <alignment horizontal="center" vertical="center" wrapText="1"/>
    </xf>
    <xf numFmtId="171" fontId="48" fillId="48" borderId="38" xfId="0" applyNumberFormat="1" applyFont="1" applyFill="1" applyBorder="1" applyAlignment="1">
      <alignment horizontal="center" vertical="center" wrapText="1"/>
    </xf>
    <xf numFmtId="171" fontId="48" fillId="48" borderId="56" xfId="0" applyNumberFormat="1" applyFont="1" applyFill="1" applyBorder="1" applyAlignment="1">
      <alignment horizontal="center" vertical="center" wrapText="1"/>
    </xf>
    <xf numFmtId="0" fontId="0" fillId="17" borderId="45" xfId="0" applyFill="1" applyBorder="1"/>
    <xf numFmtId="0" fontId="6" fillId="0" borderId="1" xfId="0" applyFont="1" applyBorder="1" applyAlignment="1">
      <alignment horizontal="center" vertical="center" wrapText="1"/>
    </xf>
    <xf numFmtId="0" fontId="6" fillId="0" borderId="57" xfId="0" applyFont="1" applyBorder="1" applyAlignment="1">
      <alignment horizontal="center" vertical="top" wrapText="1"/>
    </xf>
    <xf numFmtId="0" fontId="20" fillId="0" borderId="52" xfId="0" applyFont="1" applyBorder="1" applyAlignment="1">
      <alignment horizontal="center" vertical="center" wrapText="1"/>
    </xf>
    <xf numFmtId="0" fontId="20" fillId="0" borderId="13" xfId="0" applyFont="1" applyBorder="1" applyAlignment="1">
      <alignment horizontal="center" vertical="center" wrapText="1"/>
    </xf>
    <xf numFmtId="0" fontId="21" fillId="7" borderId="31" xfId="0" applyFont="1" applyFill="1" applyBorder="1" applyAlignment="1">
      <alignment horizontal="center" vertical="center" wrapText="1"/>
    </xf>
    <xf numFmtId="0" fontId="51" fillId="7" borderId="34" xfId="0" applyFont="1" applyFill="1" applyBorder="1" applyAlignment="1">
      <alignment horizontal="center" vertical="center" wrapText="1"/>
    </xf>
    <xf numFmtId="0" fontId="51" fillId="7" borderId="35" xfId="0" applyFont="1" applyFill="1" applyBorder="1" applyAlignment="1">
      <alignment horizontal="center" vertical="center" wrapText="1"/>
    </xf>
    <xf numFmtId="0" fontId="51" fillId="7" borderId="37" xfId="0" applyFont="1" applyFill="1" applyBorder="1" applyAlignment="1">
      <alignment horizontal="center" vertical="center" wrapText="1"/>
    </xf>
    <xf numFmtId="0" fontId="51" fillId="7" borderId="0" xfId="0" applyFont="1" applyFill="1" applyAlignment="1">
      <alignment horizontal="center" vertical="center" wrapText="1"/>
    </xf>
    <xf numFmtId="0" fontId="51" fillId="7" borderId="24" xfId="0" applyFont="1" applyFill="1" applyBorder="1" applyAlignment="1">
      <alignment horizontal="center" vertical="center" wrapText="1"/>
    </xf>
    <xf numFmtId="0" fontId="51" fillId="7" borderId="22"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37" xfId="0" applyFont="1" applyFill="1" applyBorder="1" applyAlignment="1">
      <alignment horizontal="center" vertical="center" textRotation="90"/>
    </xf>
    <xf numFmtId="0" fontId="5" fillId="7" borderId="34" xfId="0" applyFont="1" applyFill="1" applyBorder="1" applyAlignment="1">
      <alignment horizontal="center" vertical="center" textRotation="90"/>
    </xf>
    <xf numFmtId="0" fontId="7" fillId="7" borderId="37"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37" xfId="0" applyFont="1" applyFill="1" applyBorder="1" applyAlignment="1">
      <alignment horizontal="center" vertical="center"/>
    </xf>
    <xf numFmtId="0" fontId="7" fillId="7" borderId="34" xfId="0" applyFont="1" applyFill="1" applyBorder="1" applyAlignment="1">
      <alignment horizontal="center" vertical="center"/>
    </xf>
    <xf numFmtId="0" fontId="7" fillId="7" borderId="31" xfId="0" applyFont="1" applyFill="1" applyBorder="1" applyAlignment="1">
      <alignment horizontal="center" vertical="center" wrapText="1"/>
    </xf>
    <xf numFmtId="0" fontId="9" fillId="8" borderId="52" xfId="0" applyFont="1" applyFill="1" applyBorder="1" applyAlignment="1">
      <alignment horizontal="center" vertical="center" textRotation="90"/>
    </xf>
    <xf numFmtId="0" fontId="9" fillId="8" borderId="73" xfId="0" applyFont="1" applyFill="1" applyBorder="1" applyAlignment="1">
      <alignment horizontal="center" vertical="center" textRotation="90"/>
    </xf>
    <xf numFmtId="0" fontId="9" fillId="8" borderId="57" xfId="0" applyFont="1" applyFill="1" applyBorder="1" applyAlignment="1">
      <alignment horizontal="center" vertical="center" textRotation="90"/>
    </xf>
    <xf numFmtId="0" fontId="3" fillId="7" borderId="24" xfId="0" applyFont="1" applyFill="1" applyBorder="1" applyAlignment="1">
      <alignment horizontal="center" vertical="center" wrapText="1"/>
    </xf>
    <xf numFmtId="0" fontId="5" fillId="7" borderId="74" xfId="0" applyFont="1" applyFill="1" applyBorder="1" applyAlignment="1">
      <alignment horizontal="center" vertical="center" wrapText="1"/>
    </xf>
    <xf numFmtId="0" fontId="5" fillId="52" borderId="4" xfId="88" applyNumberFormat="1" applyFont="1" applyFill="1" applyBorder="1" applyAlignment="1">
      <alignment horizontal="center" vertical="center" wrapText="1"/>
    </xf>
    <xf numFmtId="0" fontId="5" fillId="52" borderId="6" xfId="88" applyNumberFormat="1" applyFont="1" applyFill="1" applyBorder="1" applyAlignment="1">
      <alignment horizontal="center" vertical="center" wrapText="1"/>
    </xf>
    <xf numFmtId="0" fontId="5" fillId="52" borderId="5" xfId="88" applyNumberFormat="1" applyFont="1" applyFill="1" applyBorder="1" applyAlignment="1">
      <alignment horizontal="center" vertical="center" wrapText="1"/>
    </xf>
    <xf numFmtId="0" fontId="12" fillId="44" borderId="1" xfId="0" applyFont="1" applyFill="1" applyBorder="1" applyAlignment="1" applyProtection="1">
      <alignment horizontal="center" vertical="center" wrapText="1"/>
      <protection locked="0"/>
    </xf>
    <xf numFmtId="0" fontId="12" fillId="57" borderId="1" xfId="0" applyFont="1" applyFill="1" applyBorder="1" applyAlignment="1" applyProtection="1">
      <alignment horizontal="center" vertical="center" wrapText="1"/>
      <protection locked="0"/>
    </xf>
    <xf numFmtId="0" fontId="3" fillId="7" borderId="39"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22" borderId="39" xfId="0" applyFont="1" applyFill="1" applyBorder="1" applyAlignment="1">
      <alignment horizontal="left" wrapText="1"/>
    </xf>
    <xf numFmtId="0" fontId="3" fillId="22" borderId="40" xfId="0" applyFont="1" applyFill="1" applyBorder="1" applyAlignment="1">
      <alignment horizontal="left" wrapText="1"/>
    </xf>
    <xf numFmtId="0" fontId="3" fillId="22" borderId="49" xfId="0" applyFont="1" applyFill="1" applyBorder="1" applyAlignment="1">
      <alignment horizontal="left" wrapText="1"/>
    </xf>
    <xf numFmtId="0" fontId="9" fillId="7" borderId="1" xfId="0" applyFont="1" applyFill="1" applyBorder="1" applyAlignment="1">
      <alignment horizontal="center" vertical="center"/>
    </xf>
    <xf numFmtId="0" fontId="3" fillId="0" borderId="1" xfId="0" applyFont="1" applyBorder="1" applyAlignment="1">
      <alignment horizontal="left" vertical="center"/>
    </xf>
    <xf numFmtId="0" fontId="27" fillId="22" borderId="1" xfId="0" applyFont="1" applyFill="1" applyBorder="1" applyAlignment="1" applyProtection="1">
      <alignment horizontal="left" vertical="center" wrapText="1"/>
      <protection locked="0"/>
    </xf>
    <xf numFmtId="0" fontId="3" fillId="0" borderId="1" xfId="25" applyFont="1" applyBorder="1" applyAlignment="1">
      <alignment horizontal="left" vertical="center"/>
    </xf>
    <xf numFmtId="0" fontId="9" fillId="3" borderId="1" xfId="25" applyFont="1" applyFill="1" applyBorder="1" applyAlignment="1" applyProtection="1">
      <alignment horizontal="center" vertical="center"/>
      <protection locked="0"/>
    </xf>
    <xf numFmtId="0" fontId="3" fillId="6" borderId="1" xfId="25" applyFont="1" applyFill="1" applyBorder="1" applyAlignment="1" applyProtection="1">
      <alignment horizontal="left" vertical="center"/>
      <protection locked="0"/>
    </xf>
    <xf numFmtId="170" fontId="3" fillId="0" borderId="35" xfId="0" applyNumberFormat="1" applyFont="1" applyBorder="1" applyAlignment="1">
      <alignment horizontal="center" vertical="center" wrapText="1"/>
    </xf>
    <xf numFmtId="170" fontId="3" fillId="0" borderId="36" xfId="0" applyNumberFormat="1" applyFont="1" applyBorder="1" applyAlignment="1">
      <alignment horizontal="center" vertical="center" wrapText="1"/>
    </xf>
    <xf numFmtId="170" fontId="3" fillId="0" borderId="0" xfId="0" applyNumberFormat="1" applyFont="1" applyAlignment="1">
      <alignment horizontal="center" vertical="center" wrapText="1"/>
    </xf>
    <xf numFmtId="170" fontId="3" fillId="0" borderId="38" xfId="0" applyNumberFormat="1" applyFont="1" applyBorder="1" applyAlignment="1">
      <alignment horizontal="center" vertical="center" wrapText="1"/>
    </xf>
    <xf numFmtId="170" fontId="3" fillId="0" borderId="58" xfId="0" applyNumberFormat="1" applyFont="1" applyBorder="1" applyAlignment="1">
      <alignment horizontal="center" vertical="center" wrapText="1"/>
    </xf>
    <xf numFmtId="170" fontId="3" fillId="0" borderId="56" xfId="0" applyNumberFormat="1" applyFont="1" applyBorder="1" applyAlignment="1">
      <alignment horizontal="center" vertical="center" wrapText="1"/>
    </xf>
    <xf numFmtId="0" fontId="9" fillId="8" borderId="34" xfId="0" applyFont="1" applyFill="1" applyBorder="1" applyAlignment="1">
      <alignment horizontal="center" vertical="center" textRotation="90"/>
    </xf>
    <xf numFmtId="0" fontId="9" fillId="8" borderId="37" xfId="0" applyFont="1" applyFill="1" applyBorder="1" applyAlignment="1">
      <alignment horizontal="center" vertical="center" textRotation="90"/>
    </xf>
    <xf numFmtId="0" fontId="9" fillId="8" borderId="59" xfId="0" applyFont="1" applyFill="1" applyBorder="1" applyAlignment="1">
      <alignment horizontal="center" vertical="center" textRotation="90"/>
    </xf>
    <xf numFmtId="0" fontId="9" fillId="7" borderId="1" xfId="25" applyFont="1" applyFill="1" applyBorder="1" applyAlignment="1">
      <alignment horizontal="center" vertical="center" wrapText="1"/>
    </xf>
    <xf numFmtId="0" fontId="27" fillId="0" borderId="47" xfId="25" applyFont="1" applyBorder="1" applyAlignment="1">
      <alignment horizontal="left" vertical="center" wrapText="1"/>
    </xf>
    <xf numFmtId="171" fontId="9" fillId="3" borderId="1" xfId="25" applyNumberFormat="1" applyFont="1" applyFill="1" applyBorder="1" applyAlignment="1" applyProtection="1">
      <alignment horizontal="center" vertical="center"/>
      <protection locked="0"/>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3" fillId="0" borderId="10" xfId="0" applyFont="1" applyBorder="1" applyAlignment="1">
      <alignment horizontal="center" vertical="center"/>
    </xf>
    <xf numFmtId="0" fontId="3" fillId="0" borderId="65" xfId="0" applyFont="1" applyBorder="1" applyAlignment="1">
      <alignment horizontal="center" vertical="center"/>
    </xf>
    <xf numFmtId="0" fontId="9" fillId="0" borderId="6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9" fillId="7" borderId="1" xfId="25" applyFont="1" applyFill="1" applyBorder="1" applyAlignment="1">
      <alignment horizontal="center" vertical="center"/>
    </xf>
    <xf numFmtId="0" fontId="48" fillId="15" borderId="1" xfId="25" applyFont="1" applyFill="1" applyBorder="1" applyAlignment="1" applyProtection="1">
      <alignment horizontal="center" vertical="center"/>
      <protection locked="0"/>
    </xf>
    <xf numFmtId="0" fontId="48" fillId="15" borderId="39" xfId="25" applyFont="1" applyFill="1" applyBorder="1" applyAlignment="1" applyProtection="1">
      <alignment horizontal="center" vertical="center"/>
      <protection locked="0"/>
    </xf>
    <xf numFmtId="0" fontId="48" fillId="15" borderId="40" xfId="25" applyFont="1" applyFill="1" applyBorder="1" applyAlignment="1" applyProtection="1">
      <alignment horizontal="center" vertical="center"/>
      <protection locked="0"/>
    </xf>
    <xf numFmtId="0" fontId="48" fillId="15" borderId="49" xfId="25" applyFont="1" applyFill="1" applyBorder="1" applyAlignment="1" applyProtection="1">
      <alignment horizontal="center" vertical="center"/>
      <protection locked="0"/>
    </xf>
    <xf numFmtId="0" fontId="27" fillId="0" borderId="1" xfId="20" applyFont="1" applyBorder="1" applyAlignment="1">
      <alignment horizontal="left" vertical="center"/>
    </xf>
    <xf numFmtId="0" fontId="9" fillId="7" borderId="1" xfId="0" applyFont="1" applyFill="1" applyBorder="1" applyAlignment="1">
      <alignment horizontal="left" vertical="center" wrapText="1"/>
    </xf>
    <xf numFmtId="0" fontId="27" fillId="0" borderId="39" xfId="0" applyFont="1" applyBorder="1" applyAlignment="1">
      <alignment horizontal="left" vertical="center" wrapText="1"/>
    </xf>
    <xf numFmtId="0" fontId="27" fillId="0" borderId="40" xfId="0" applyFont="1" applyBorder="1" applyAlignment="1">
      <alignment horizontal="left" vertical="center" wrapText="1"/>
    </xf>
    <xf numFmtId="0" fontId="27" fillId="0" borderId="49" xfId="0" applyFont="1" applyBorder="1" applyAlignment="1">
      <alignment horizontal="left" vertical="center" wrapText="1"/>
    </xf>
    <xf numFmtId="0" fontId="48"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5" fillId="0" borderId="3" xfId="0" applyFont="1" applyBorder="1" applyAlignment="1">
      <alignment horizontal="left" vertical="center"/>
    </xf>
    <xf numFmtId="0" fontId="96" fillId="7" borderId="8" xfId="0" applyFont="1" applyFill="1" applyBorder="1" applyAlignment="1">
      <alignment horizontal="left" vertical="center"/>
    </xf>
    <xf numFmtId="0" fontId="100" fillId="11" borderId="57" xfId="0" applyFont="1" applyFill="1" applyBorder="1" applyAlignment="1">
      <alignment horizontal="center" vertical="center" wrapText="1"/>
    </xf>
    <xf numFmtId="0" fontId="22" fillId="0" borderId="1" xfId="19" applyFont="1" applyBorder="1" applyAlignment="1">
      <alignment horizontal="center" vertical="center" wrapText="1"/>
    </xf>
    <xf numFmtId="0" fontId="10" fillId="0" borderId="3" xfId="0" applyFont="1" applyBorder="1" applyAlignment="1">
      <alignment horizontal="left" vertical="center"/>
    </xf>
    <xf numFmtId="0" fontId="96" fillId="7" borderId="23" xfId="0" applyFont="1" applyFill="1" applyBorder="1" applyAlignment="1">
      <alignment horizontal="left" vertical="center"/>
    </xf>
    <xf numFmtId="0" fontId="96" fillId="7" borderId="7" xfId="0" applyFont="1" applyFill="1" applyBorder="1" applyAlignment="1">
      <alignment horizontal="left" vertical="center"/>
    </xf>
    <xf numFmtId="0" fontId="10" fillId="10" borderId="1" xfId="19" applyFont="1" applyFill="1" applyBorder="1" applyAlignment="1">
      <alignment horizontal="center" vertical="center" wrapText="1"/>
    </xf>
    <xf numFmtId="0" fontId="5" fillId="0" borderId="3" xfId="0" applyFont="1" applyBorder="1" applyAlignment="1">
      <alignment horizontal="left" vertical="center" wrapText="1"/>
    </xf>
    <xf numFmtId="0" fontId="96" fillId="0" borderId="3" xfId="0" applyFont="1" applyBorder="1" applyAlignment="1">
      <alignment horizontal="left" vertical="center"/>
    </xf>
    <xf numFmtId="0" fontId="30" fillId="6" borderId="23" xfId="0" applyFont="1" applyFill="1" applyBorder="1" applyAlignment="1">
      <alignment horizontal="center" vertical="center"/>
    </xf>
    <xf numFmtId="0" fontId="31" fillId="6" borderId="23" xfId="0" applyFont="1" applyFill="1" applyBorder="1" applyAlignment="1">
      <alignment horizontal="center" vertical="center"/>
    </xf>
    <xf numFmtId="0" fontId="96" fillId="7" borderId="74" xfId="0" applyFont="1" applyFill="1" applyBorder="1" applyAlignment="1">
      <alignment horizontal="center" vertical="center"/>
    </xf>
    <xf numFmtId="0" fontId="96" fillId="6" borderId="3" xfId="0" applyFont="1" applyFill="1" applyBorder="1" applyAlignment="1">
      <alignment horizontal="left" vertical="center"/>
    </xf>
    <xf numFmtId="0" fontId="170" fillId="2" borderId="1" xfId="89" applyNumberFormat="1" applyFont="1" applyFill="1" applyBorder="1" applyAlignment="1" applyProtection="1">
      <alignment horizontal="center" vertical="center" wrapText="1"/>
    </xf>
    <xf numFmtId="0" fontId="122" fillId="38" borderId="64" xfId="0" applyFont="1" applyFill="1" applyBorder="1" applyAlignment="1">
      <alignment horizontal="center" vertical="center" wrapText="1"/>
    </xf>
    <xf numFmtId="0" fontId="122" fillId="38" borderId="40" xfId="0" applyFont="1" applyFill="1" applyBorder="1" applyAlignment="1">
      <alignment horizontal="center" vertical="center" wrapText="1"/>
    </xf>
    <xf numFmtId="0" fontId="122" fillId="38" borderId="63" xfId="0" applyFont="1" applyFill="1" applyBorder="1" applyAlignment="1">
      <alignment horizontal="center" vertical="center" wrapText="1"/>
    </xf>
    <xf numFmtId="0" fontId="9" fillId="0" borderId="57" xfId="0" applyFont="1" applyBorder="1" applyAlignment="1">
      <alignment horizontal="center" vertical="center"/>
    </xf>
    <xf numFmtId="0" fontId="10" fillId="6" borderId="25" xfId="0" applyFont="1" applyFill="1" applyBorder="1" applyAlignment="1">
      <alignment horizontal="center" vertical="center" wrapText="1"/>
    </xf>
    <xf numFmtId="0" fontId="122" fillId="0" borderId="57" xfId="0" applyFont="1" applyBorder="1" applyAlignment="1">
      <alignment horizontal="center" vertical="center" wrapText="1"/>
    </xf>
    <xf numFmtId="4" fontId="9" fillId="6" borderId="16" xfId="0" applyNumberFormat="1" applyFont="1" applyFill="1" applyBorder="1" applyAlignment="1">
      <alignment horizontal="center" vertical="center"/>
    </xf>
    <xf numFmtId="0" fontId="122" fillId="0" borderId="73" xfId="0" applyFont="1" applyBorder="1" applyAlignment="1">
      <alignment horizontal="center" vertical="center"/>
    </xf>
    <xf numFmtId="0" fontId="10" fillId="6" borderId="1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22" fillId="38" borderId="24" xfId="0" applyFont="1" applyFill="1" applyBorder="1" applyAlignment="1">
      <alignment horizontal="center" vertical="center"/>
    </xf>
    <xf numFmtId="0" fontId="122" fillId="38" borderId="22" xfId="0" applyFont="1" applyFill="1" applyBorder="1" applyAlignment="1">
      <alignment horizontal="center" vertical="center"/>
    </xf>
    <xf numFmtId="0" fontId="122" fillId="38" borderId="62" xfId="0" applyFont="1" applyFill="1" applyBorder="1" applyAlignment="1">
      <alignment horizontal="center" vertical="center"/>
    </xf>
    <xf numFmtId="4" fontId="9" fillId="6" borderId="1" xfId="0" applyNumberFormat="1" applyFont="1" applyFill="1" applyBorder="1" applyAlignment="1">
      <alignment horizontal="center" vertical="center"/>
    </xf>
    <xf numFmtId="0" fontId="122" fillId="38" borderId="59" xfId="0" applyFont="1" applyFill="1" applyBorder="1" applyAlignment="1">
      <alignment horizontal="center" vertical="center"/>
    </xf>
    <xf numFmtId="0" fontId="122" fillId="38" borderId="58" xfId="0" applyFont="1" applyFill="1" applyBorder="1" applyAlignment="1">
      <alignment horizontal="center" vertical="center"/>
    </xf>
    <xf numFmtId="0" fontId="122" fillId="38" borderId="56" xfId="0" applyFont="1" applyFill="1" applyBorder="1" applyAlignment="1">
      <alignment horizontal="center" vertical="center"/>
    </xf>
    <xf numFmtId="0" fontId="10" fillId="6" borderId="46"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6" fillId="12" borderId="40" xfId="48" applyFont="1" applyFill="1" applyBorder="1" applyAlignment="1">
      <alignment horizontal="center" vertical="center" wrapText="1"/>
    </xf>
    <xf numFmtId="0" fontId="31" fillId="6" borderId="53"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48" fillId="6" borderId="52" xfId="0" applyFont="1" applyFill="1" applyBorder="1" applyAlignment="1">
      <alignment horizontal="center" vertical="center" wrapText="1"/>
    </xf>
    <xf numFmtId="0" fontId="102" fillId="13" borderId="1" xfId="0" applyFont="1" applyFill="1" applyBorder="1" applyAlignment="1">
      <alignment horizontal="right" vertical="center" wrapText="1"/>
    </xf>
    <xf numFmtId="0" fontId="9" fillId="6" borderId="1" xfId="0" applyFont="1" applyFill="1" applyBorder="1" applyAlignment="1">
      <alignment horizontal="center" vertical="center"/>
    </xf>
    <xf numFmtId="0" fontId="19" fillId="6" borderId="39" xfId="0" applyFont="1" applyFill="1" applyBorder="1" applyAlignment="1">
      <alignment horizontal="center" vertical="center"/>
    </xf>
    <xf numFmtId="0" fontId="19" fillId="6" borderId="1" xfId="0" applyFont="1" applyFill="1" applyBorder="1" applyAlignment="1">
      <alignment horizontal="center" vertical="center"/>
    </xf>
    <xf numFmtId="0" fontId="102" fillId="7" borderId="1" xfId="0" applyFont="1" applyFill="1" applyBorder="1" applyAlignment="1">
      <alignment horizontal="center" vertical="center" wrapText="1"/>
    </xf>
    <xf numFmtId="0" fontId="102" fillId="7" borderId="1" xfId="0" applyFont="1" applyFill="1" applyBorder="1" applyAlignment="1">
      <alignment horizontal="center" vertical="center"/>
    </xf>
    <xf numFmtId="0" fontId="102" fillId="7" borderId="44" xfId="0" applyFont="1" applyFill="1" applyBorder="1" applyAlignment="1">
      <alignment horizontal="center" vertical="center" wrapText="1"/>
    </xf>
    <xf numFmtId="0" fontId="102" fillId="7" borderId="47" xfId="0" applyFont="1" applyFill="1" applyBorder="1" applyAlignment="1">
      <alignment horizontal="center" vertical="center" wrapText="1"/>
    </xf>
    <xf numFmtId="0" fontId="102" fillId="7" borderId="19" xfId="0" applyFont="1" applyFill="1" applyBorder="1" applyAlignment="1">
      <alignment horizontal="center" vertical="center" wrapText="1"/>
    </xf>
    <xf numFmtId="0" fontId="102" fillId="7" borderId="16" xfId="0" applyFont="1" applyFill="1" applyBorder="1" applyAlignment="1">
      <alignment horizontal="center" vertical="center" wrapText="1"/>
    </xf>
    <xf numFmtId="0" fontId="102" fillId="7" borderId="50" xfId="0" applyFont="1" applyFill="1" applyBorder="1" applyAlignment="1">
      <alignment horizontal="center" vertical="center" wrapText="1"/>
    </xf>
    <xf numFmtId="0" fontId="102" fillId="7" borderId="18" xfId="0" applyFont="1" applyFill="1" applyBorder="1" applyAlignment="1">
      <alignment horizontal="center" vertical="center" wrapText="1"/>
    </xf>
    <xf numFmtId="0" fontId="102" fillId="13" borderId="1" xfId="0" applyFont="1" applyFill="1" applyBorder="1" applyAlignment="1">
      <alignment horizontal="center" vertical="center" wrapText="1"/>
    </xf>
    <xf numFmtId="0" fontId="68" fillId="54" borderId="1" xfId="16" applyFont="1" applyFill="1" applyBorder="1" applyAlignment="1">
      <alignment horizontal="right" vertical="center"/>
    </xf>
    <xf numFmtId="0" fontId="68" fillId="0" borderId="1" xfId="16" applyFont="1" applyBorder="1" applyAlignment="1">
      <alignment horizontal="right" vertical="center"/>
    </xf>
    <xf numFmtId="0" fontId="68" fillId="8" borderId="1" xfId="16" applyFont="1" applyFill="1" applyBorder="1" applyAlignment="1">
      <alignment horizontal="center" vertical="center" wrapText="1"/>
    </xf>
    <xf numFmtId="0" fontId="62" fillId="6" borderId="16" xfId="16" applyFont="1" applyFill="1" applyBorder="1" applyAlignment="1">
      <alignment vertical="center" wrapText="1"/>
    </xf>
    <xf numFmtId="0" fontId="62" fillId="6" borderId="1" xfId="16" applyFont="1" applyFill="1" applyBorder="1" applyAlignment="1">
      <alignment horizontal="center" vertical="center" wrapText="1"/>
    </xf>
    <xf numFmtId="0" fontId="82" fillId="6" borderId="1" xfId="23" applyFill="1" applyBorder="1" applyAlignment="1">
      <alignment horizontal="center" vertical="center"/>
    </xf>
    <xf numFmtId="0" fontId="175" fillId="6" borderId="47" xfId="23" applyFont="1" applyFill="1" applyBorder="1" applyAlignment="1">
      <alignment horizontal="center" vertical="center"/>
    </xf>
    <xf numFmtId="0" fontId="175" fillId="6" borderId="0" xfId="23" applyFont="1" applyFill="1" applyAlignment="1">
      <alignment horizontal="center" vertical="center"/>
    </xf>
    <xf numFmtId="0" fontId="175" fillId="6" borderId="43" xfId="23" applyFont="1" applyFill="1" applyBorder="1" applyAlignment="1">
      <alignment horizontal="center" vertical="center"/>
    </xf>
    <xf numFmtId="0" fontId="108" fillId="6" borderId="47" xfId="23" applyFont="1" applyFill="1" applyBorder="1" applyAlignment="1">
      <alignment horizontal="center" vertical="center"/>
    </xf>
    <xf numFmtId="0" fontId="108" fillId="6" borderId="0" xfId="23" applyFont="1" applyFill="1" applyAlignment="1">
      <alignment horizontal="center" vertical="center"/>
    </xf>
    <xf numFmtId="0" fontId="108" fillId="6" borderId="43" xfId="23" applyFont="1" applyFill="1" applyBorder="1" applyAlignment="1">
      <alignment horizontal="center" vertical="center"/>
    </xf>
    <xf numFmtId="0" fontId="96" fillId="6" borderId="21" xfId="23" applyFont="1" applyFill="1" applyBorder="1" applyAlignment="1">
      <alignment horizontal="center" vertical="center" wrapText="1"/>
    </xf>
    <xf numFmtId="0" fontId="38" fillId="19" borderId="39" xfId="23" applyFont="1" applyFill="1" applyBorder="1" applyAlignment="1">
      <alignment horizontal="center" vertical="center"/>
    </xf>
    <xf numFmtId="0" fontId="38" fillId="19" borderId="40" xfId="23" applyFont="1" applyFill="1" applyBorder="1" applyAlignment="1">
      <alignment horizontal="center" vertical="center"/>
    </xf>
    <xf numFmtId="0" fontId="38" fillId="19" borderId="49" xfId="23" applyFont="1" applyFill="1" applyBorder="1" applyAlignment="1">
      <alignment horizontal="center" vertical="center"/>
    </xf>
    <xf numFmtId="0" fontId="82" fillId="19" borderId="1" xfId="23" applyFill="1" applyBorder="1" applyAlignment="1">
      <alignment horizontal="center" vertical="center"/>
    </xf>
    <xf numFmtId="0" fontId="157" fillId="6" borderId="1" xfId="23" applyFont="1" applyFill="1" applyBorder="1" applyAlignment="1">
      <alignment horizontal="center" vertical="center" wrapText="1"/>
    </xf>
    <xf numFmtId="176" fontId="110" fillId="21" borderId="31" xfId="23" applyNumberFormat="1" applyFont="1" applyFill="1" applyBorder="1" applyAlignment="1">
      <alignment horizontal="center" vertical="center" wrapText="1"/>
    </xf>
    <xf numFmtId="0" fontId="140" fillId="0" borderId="44" xfId="24" applyFont="1" applyBorder="1" applyAlignment="1">
      <alignment horizontal="center"/>
    </xf>
    <xf numFmtId="0" fontId="140" fillId="0" borderId="45" xfId="24" applyFont="1" applyBorder="1" applyAlignment="1">
      <alignment horizontal="center"/>
    </xf>
    <xf numFmtId="0" fontId="140" fillId="0" borderId="46" xfId="24" applyFont="1" applyBorder="1" applyAlignment="1">
      <alignment horizontal="center"/>
    </xf>
    <xf numFmtId="0" fontId="175" fillId="0" borderId="52" xfId="23" applyFont="1" applyBorder="1" applyAlignment="1">
      <alignment horizontal="center" vertical="center" wrapText="1"/>
    </xf>
    <xf numFmtId="0" fontId="110" fillId="6" borderId="34" xfId="24" applyFont="1" applyFill="1" applyBorder="1" applyAlignment="1">
      <alignment horizontal="left" vertical="center" wrapText="1"/>
    </xf>
    <xf numFmtId="0" fontId="110" fillId="6" borderId="37" xfId="23" applyFont="1" applyFill="1" applyBorder="1" applyAlignment="1">
      <alignment horizontal="left" vertical="center" wrapText="1"/>
    </xf>
    <xf numFmtId="0" fontId="96" fillId="0" borderId="37" xfId="23" applyFont="1" applyBorder="1" applyAlignment="1">
      <alignment horizontal="left" vertical="top" wrapText="1"/>
    </xf>
    <xf numFmtId="0" fontId="96" fillId="0" borderId="59" xfId="23" applyFont="1" applyBorder="1" applyAlignment="1">
      <alignment horizontal="left" vertical="top" wrapText="1"/>
    </xf>
    <xf numFmtId="0" fontId="10" fillId="20" borderId="19" xfId="23" applyFont="1" applyFill="1" applyBorder="1" applyAlignment="1">
      <alignment horizontal="right" vertical="center" wrapText="1"/>
    </xf>
    <xf numFmtId="0" fontId="152" fillId="0" borderId="41" xfId="24" applyFont="1" applyBorder="1" applyAlignment="1">
      <alignment vertical="center"/>
    </xf>
    <xf numFmtId="0" fontId="152" fillId="0" borderId="50" xfId="24" applyFont="1" applyBorder="1" applyAlignment="1">
      <alignment vertical="center" wrapText="1"/>
    </xf>
    <xf numFmtId="178" fontId="176" fillId="0" borderId="50" xfId="24" applyNumberFormat="1" applyFont="1" applyBorder="1" applyAlignment="1">
      <alignment horizontal="center" vertical="center"/>
    </xf>
    <xf numFmtId="4" fontId="149" fillId="0" borderId="50" xfId="24" applyNumberFormat="1" applyFont="1" applyBorder="1" applyAlignment="1">
      <alignment horizontal="right" vertical="center"/>
    </xf>
    <xf numFmtId="0" fontId="148" fillId="20" borderId="64" xfId="24" applyFont="1" applyFill="1" applyBorder="1" applyAlignment="1">
      <alignment horizontal="right" vertical="center"/>
    </xf>
    <xf numFmtId="0" fontId="150" fillId="0" borderId="41" xfId="24" applyFont="1" applyBorder="1" applyAlignment="1">
      <alignment horizontal="right" vertical="center"/>
    </xf>
    <xf numFmtId="0" fontId="150" fillId="17" borderId="50" xfId="24" applyFont="1" applyFill="1" applyBorder="1" applyAlignment="1">
      <alignment horizontal="left" vertical="center" wrapText="1"/>
    </xf>
    <xf numFmtId="180" fontId="145" fillId="0" borderId="50" xfId="24" applyNumberFormat="1" applyFont="1" applyBorder="1" applyAlignment="1">
      <alignment horizontal="center" vertical="center"/>
    </xf>
    <xf numFmtId="4" fontId="145" fillId="44" borderId="50" xfId="24" applyNumberFormat="1" applyFont="1" applyFill="1" applyBorder="1" applyAlignment="1">
      <alignment horizontal="center" vertical="center"/>
    </xf>
    <xf numFmtId="0" fontId="145" fillId="0" borderId="41" xfId="24" applyFont="1" applyBorder="1" applyAlignment="1">
      <alignment horizontal="right" vertical="center"/>
    </xf>
    <xf numFmtId="0" fontId="145" fillId="17" borderId="50" xfId="24" applyFont="1" applyFill="1" applyBorder="1" applyAlignment="1">
      <alignment horizontal="left" vertical="center" wrapText="1"/>
    </xf>
    <xf numFmtId="4" fontId="145" fillId="0" borderId="50" xfId="24" applyNumberFormat="1" applyFont="1" applyBorder="1" applyAlignment="1">
      <alignment horizontal="center" vertical="center"/>
    </xf>
    <xf numFmtId="0" fontId="145" fillId="0" borderId="1" xfId="24" applyFont="1" applyBorder="1" applyAlignment="1">
      <alignment vertical="center"/>
    </xf>
    <xf numFmtId="0" fontId="145" fillId="0" borderId="1" xfId="24" applyFont="1" applyBorder="1" applyAlignment="1">
      <alignment horizontal="center" vertical="center"/>
    </xf>
    <xf numFmtId="0" fontId="145" fillId="59" borderId="16" xfId="24" applyFont="1" applyFill="1" applyBorder="1" applyAlignment="1">
      <alignment vertical="center"/>
    </xf>
    <xf numFmtId="0" fontId="145" fillId="0" borderId="17" xfId="24" applyFont="1" applyBorder="1" applyAlignment="1">
      <alignment vertical="center"/>
    </xf>
    <xf numFmtId="0" fontId="145" fillId="0" borderId="19" xfId="24" applyFont="1" applyBorder="1" applyAlignment="1">
      <alignment vertical="center"/>
    </xf>
    <xf numFmtId="178" fontId="145" fillId="0" borderId="18" xfId="24" applyNumberFormat="1" applyFont="1" applyBorder="1" applyAlignment="1">
      <alignment horizontal="center" vertical="center"/>
    </xf>
    <xf numFmtId="0" fontId="145" fillId="0" borderId="23" xfId="24" applyFont="1" applyBorder="1" applyAlignment="1">
      <alignment horizontal="left" vertical="center"/>
    </xf>
    <xf numFmtId="0" fontId="145" fillId="0" borderId="3" xfId="24" applyFont="1" applyBorder="1" applyAlignment="1">
      <alignment vertical="center"/>
    </xf>
    <xf numFmtId="4" fontId="149" fillId="0" borderId="18" xfId="24" applyNumberFormat="1" applyFont="1" applyBorder="1" applyAlignment="1">
      <alignment horizontal="right" vertical="center"/>
    </xf>
    <xf numFmtId="0" fontId="145" fillId="0" borderId="23" xfId="24" applyFont="1" applyBorder="1" applyAlignment="1">
      <alignment vertical="center"/>
    </xf>
    <xf numFmtId="0" fontId="145" fillId="0" borderId="64" xfId="24" applyFont="1" applyBorder="1" applyAlignment="1">
      <alignment vertical="center"/>
    </xf>
    <xf numFmtId="0" fontId="145" fillId="0" borderId="16" xfId="24" applyFont="1" applyBorder="1" applyAlignment="1">
      <alignment horizontal="center" vertical="center"/>
    </xf>
    <xf numFmtId="0" fontId="145" fillId="0" borderId="14" xfId="24" applyFont="1" applyBorder="1" applyAlignment="1">
      <alignment vertical="center"/>
    </xf>
    <xf numFmtId="0" fontId="145" fillId="0" borderId="16" xfId="24" applyFont="1" applyBorder="1" applyAlignment="1">
      <alignment horizontal="center" vertical="center" wrapText="1"/>
    </xf>
    <xf numFmtId="178" fontId="145" fillId="0" borderId="44" xfId="24" applyNumberFormat="1" applyFont="1" applyBorder="1" applyAlignment="1">
      <alignment horizontal="center" vertical="center"/>
    </xf>
    <xf numFmtId="0" fontId="167" fillId="0" borderId="1" xfId="24" applyFont="1" applyBorder="1" applyAlignment="1">
      <alignment horizontal="center" vertical="center" wrapText="1" readingOrder="1"/>
    </xf>
    <xf numFmtId="0" fontId="167" fillId="0" borderId="39" xfId="24" applyFont="1" applyBorder="1" applyAlignment="1">
      <alignment horizontal="center" vertical="center" wrapText="1" readingOrder="1"/>
    </xf>
    <xf numFmtId="0" fontId="167" fillId="0" borderId="63" xfId="24" applyFont="1" applyBorder="1" applyAlignment="1">
      <alignment horizontal="left" vertical="center" wrapText="1" readingOrder="1"/>
    </xf>
    <xf numFmtId="0" fontId="145" fillId="59" borderId="37" xfId="24" applyFont="1" applyFill="1" applyBorder="1" applyAlignment="1">
      <alignment vertical="center"/>
    </xf>
    <xf numFmtId="170" fontId="145" fillId="0" borderId="16" xfId="24" applyNumberFormat="1" applyFont="1" applyBorder="1" applyAlignment="1">
      <alignment horizontal="center" vertical="center"/>
    </xf>
    <xf numFmtId="0" fontId="145" fillId="59" borderId="14" xfId="24" applyFont="1" applyFill="1" applyBorder="1" applyAlignment="1">
      <alignment vertical="center"/>
    </xf>
    <xf numFmtId="0" fontId="145" fillId="59" borderId="15" xfId="24" applyFont="1" applyFill="1" applyBorder="1" applyAlignment="1">
      <alignment vertical="center"/>
    </xf>
    <xf numFmtId="4" fontId="145" fillId="44" borderId="16" xfId="24" applyNumberFormat="1" applyFont="1" applyFill="1" applyBorder="1" applyAlignment="1">
      <alignment horizontal="center" vertical="center"/>
    </xf>
    <xf numFmtId="0" fontId="148" fillId="59" borderId="17" xfId="24" applyFont="1" applyFill="1" applyBorder="1" applyAlignment="1">
      <alignment vertical="center"/>
    </xf>
    <xf numFmtId="0" fontId="148" fillId="59" borderId="18" xfId="24" applyFont="1" applyFill="1" applyBorder="1" applyAlignment="1">
      <alignment vertical="center"/>
    </xf>
    <xf numFmtId="0" fontId="148" fillId="59" borderId="20" xfId="24" applyFont="1" applyFill="1" applyBorder="1" applyAlignment="1">
      <alignment vertical="center"/>
    </xf>
    <xf numFmtId="0" fontId="54" fillId="58" borderId="52" xfId="24" applyFont="1" applyFill="1" applyBorder="1" applyAlignment="1">
      <alignment horizontal="center" vertical="center" wrapText="1"/>
    </xf>
    <xf numFmtId="0" fontId="145" fillId="17" borderId="50" xfId="24" applyFont="1" applyFill="1" applyBorder="1" applyAlignment="1">
      <alignment horizontal="left" vertical="center"/>
    </xf>
    <xf numFmtId="170" fontId="145" fillId="0" borderId="50" xfId="24" applyNumberFormat="1" applyFont="1" applyBorder="1" applyAlignment="1">
      <alignment horizontal="center" vertical="center"/>
    </xf>
    <xf numFmtId="0" fontId="145" fillId="0" borderId="18" xfId="24" applyFont="1" applyBorder="1" applyAlignment="1">
      <alignment vertical="center"/>
    </xf>
    <xf numFmtId="0" fontId="145" fillId="0" borderId="18" xfId="24" applyFont="1" applyBorder="1" applyAlignment="1">
      <alignment horizontal="center" vertical="center"/>
    </xf>
    <xf numFmtId="179" fontId="145" fillId="0" borderId="18" xfId="24" applyNumberFormat="1" applyFont="1" applyBorder="1" applyAlignment="1">
      <alignment horizontal="center" vertical="center"/>
    </xf>
    <xf numFmtId="0" fontId="145" fillId="0" borderId="50" xfId="24" applyFont="1" applyBorder="1" applyAlignment="1">
      <alignment horizontal="left" vertical="center"/>
    </xf>
    <xf numFmtId="170" fontId="145" fillId="0" borderId="47" xfId="24" applyNumberFormat="1" applyFont="1" applyBorder="1" applyAlignment="1">
      <alignment horizontal="center" vertical="center"/>
    </xf>
    <xf numFmtId="0" fontId="145" fillId="0" borderId="14" xfId="24" applyFont="1" applyBorder="1" applyAlignment="1">
      <alignment horizontal="right" vertical="center"/>
    </xf>
    <xf numFmtId="0" fontId="145" fillId="17" borderId="16" xfId="24" applyFont="1" applyFill="1" applyBorder="1" applyAlignment="1">
      <alignment horizontal="left" vertical="center" wrapText="1"/>
    </xf>
    <xf numFmtId="0" fontId="145" fillId="0" borderId="39" xfId="24" applyFont="1" applyBorder="1" applyAlignment="1">
      <alignment horizontal="center" vertical="center"/>
    </xf>
    <xf numFmtId="0" fontId="145" fillId="0" borderId="16" xfId="24" applyFont="1" applyBorder="1" applyAlignment="1">
      <alignment vertical="center"/>
    </xf>
    <xf numFmtId="4" fontId="145" fillId="0" borderId="16" xfId="24" applyNumberFormat="1" applyFont="1" applyBorder="1" applyAlignment="1">
      <alignment horizontal="center" vertical="center"/>
    </xf>
    <xf numFmtId="0" fontId="145" fillId="0" borderId="19" xfId="24" applyFont="1" applyBorder="1" applyAlignment="1">
      <alignment horizontal="center" vertical="center"/>
    </xf>
    <xf numFmtId="0" fontId="148" fillId="59" borderId="18" xfId="24" applyFont="1" applyFill="1" applyBorder="1" applyAlignment="1">
      <alignment vertical="center" wrapText="1"/>
    </xf>
    <xf numFmtId="0" fontId="145" fillId="0" borderId="41" xfId="24" applyFont="1" applyBorder="1" applyAlignment="1">
      <alignment horizontal="center" vertical="center"/>
    </xf>
    <xf numFmtId="4" fontId="145" fillId="0" borderId="47" xfId="24" applyNumberFormat="1" applyFont="1" applyBorder="1" applyAlignment="1">
      <alignment horizontal="center" vertical="center"/>
    </xf>
    <xf numFmtId="0" fontId="145" fillId="0" borderId="14" xfId="24" applyFont="1" applyBorder="1" applyAlignment="1">
      <alignment horizontal="center" vertical="center"/>
    </xf>
    <xf numFmtId="0" fontId="145" fillId="0" borderId="50" xfId="24" applyFont="1" applyBorder="1" applyAlignment="1">
      <alignment horizontal="left" vertical="center" wrapText="1"/>
    </xf>
    <xf numFmtId="170" fontId="176" fillId="0" borderId="50" xfId="24" applyNumberFormat="1" applyFont="1" applyBorder="1" applyAlignment="1">
      <alignment horizontal="center" vertical="center"/>
    </xf>
    <xf numFmtId="0" fontId="54" fillId="58" borderId="55" xfId="24" applyFont="1" applyFill="1" applyBorder="1" applyAlignment="1">
      <alignment horizontal="center" vertical="center" wrapText="1"/>
    </xf>
    <xf numFmtId="0" fontId="54" fillId="58" borderId="74" xfId="24" applyFont="1" applyFill="1" applyBorder="1" applyAlignment="1">
      <alignment horizontal="center" vertical="center" wrapText="1"/>
    </xf>
    <xf numFmtId="178" fontId="145" fillId="0" borderId="47" xfId="24" applyNumberFormat="1" applyFont="1" applyBorder="1" applyAlignment="1">
      <alignment horizontal="center" vertical="center"/>
    </xf>
    <xf numFmtId="0" fontId="148" fillId="20" borderId="1" xfId="24" applyFont="1" applyFill="1" applyBorder="1" applyAlignment="1">
      <alignment horizontal="right" vertical="center"/>
    </xf>
    <xf numFmtId="0" fontId="145" fillId="0" borderId="41" xfId="24" applyFont="1" applyBorder="1" applyAlignment="1">
      <alignment vertical="center"/>
    </xf>
    <xf numFmtId="0" fontId="145" fillId="0" borderId="50" xfId="24" applyFont="1" applyBorder="1" applyAlignment="1">
      <alignment vertical="center"/>
    </xf>
    <xf numFmtId="0" fontId="145" fillId="0" borderId="47" xfId="24" applyFont="1" applyBorder="1" applyAlignment="1">
      <alignment horizontal="center" vertical="center"/>
    </xf>
    <xf numFmtId="179" fontId="145" fillId="0" borderId="50" xfId="24" applyNumberFormat="1" applyFont="1" applyBorder="1" applyAlignment="1">
      <alignment horizontal="center" vertical="center"/>
    </xf>
    <xf numFmtId="0" fontId="145" fillId="17" borderId="16" xfId="24" applyFont="1" applyFill="1" applyBorder="1" applyAlignment="1">
      <alignment horizontal="left" vertical="center"/>
    </xf>
    <xf numFmtId="170" fontId="152" fillId="0" borderId="50" xfId="24" applyNumberFormat="1" applyFont="1" applyBorder="1" applyAlignment="1">
      <alignment horizontal="center" vertical="center"/>
    </xf>
    <xf numFmtId="4" fontId="152" fillId="0" borderId="50" xfId="24" applyNumberFormat="1" applyFont="1" applyBorder="1" applyAlignment="1">
      <alignment horizontal="center" vertical="center"/>
    </xf>
    <xf numFmtId="0" fontId="145" fillId="0" borderId="21" xfId="24" applyFont="1" applyBorder="1" applyAlignment="1">
      <alignment vertical="center"/>
    </xf>
    <xf numFmtId="178" fontId="145" fillId="0" borderId="50" xfId="24" applyNumberFormat="1" applyFont="1" applyBorder="1" applyAlignment="1">
      <alignment horizontal="center" vertical="center"/>
    </xf>
    <xf numFmtId="0" fontId="148" fillId="20" borderId="24" xfId="24" applyFont="1" applyFill="1" applyBorder="1" applyAlignment="1">
      <alignment horizontal="right" vertical="center"/>
    </xf>
    <xf numFmtId="0" fontId="148" fillId="59" borderId="24" xfId="24" applyFont="1" applyFill="1" applyBorder="1" applyAlignment="1">
      <alignment vertical="center"/>
    </xf>
    <xf numFmtId="0" fontId="145" fillId="0" borderId="61" xfId="24" applyFont="1" applyBorder="1" applyAlignment="1">
      <alignment vertical="center"/>
    </xf>
    <xf numFmtId="0" fontId="145" fillId="0" borderId="14" xfId="24" applyFont="1" applyBorder="1" applyAlignment="1">
      <alignment horizontal="right" vertical="center" wrapText="1"/>
    </xf>
    <xf numFmtId="0" fontId="145" fillId="17" borderId="16" xfId="24" applyFont="1" applyFill="1" applyBorder="1" applyAlignment="1">
      <alignment vertical="center" wrapText="1"/>
    </xf>
    <xf numFmtId="0" fontId="178" fillId="0" borderId="1" xfId="16" applyFont="1" applyBorder="1" applyAlignment="1">
      <alignment horizontal="center" vertical="center" wrapText="1"/>
    </xf>
    <xf numFmtId="0" fontId="178" fillId="0" borderId="16" xfId="16" applyFont="1" applyBorder="1" applyAlignment="1">
      <alignment horizontal="center" vertical="center" wrapText="1"/>
    </xf>
    <xf numFmtId="0" fontId="178" fillId="0" borderId="16" xfId="16" applyFont="1" applyBorder="1" applyAlignment="1">
      <alignment horizontal="center" vertical="center"/>
    </xf>
    <xf numFmtId="0" fontId="131" fillId="17" borderId="44" xfId="16" applyFont="1" applyFill="1" applyBorder="1" applyAlignment="1">
      <alignment horizontal="left" vertical="center" wrapText="1"/>
    </xf>
    <xf numFmtId="0" fontId="131" fillId="17" borderId="45" xfId="16" applyFont="1" applyFill="1" applyBorder="1" applyAlignment="1">
      <alignment horizontal="left" vertical="center" wrapText="1"/>
    </xf>
    <xf numFmtId="0" fontId="131" fillId="17" borderId="46" xfId="16" applyFont="1" applyFill="1" applyBorder="1" applyAlignment="1">
      <alignment horizontal="left" vertical="center" wrapText="1"/>
    </xf>
    <xf numFmtId="0" fontId="179" fillId="17" borderId="47" xfId="16" applyFont="1" applyFill="1" applyBorder="1" applyAlignment="1">
      <alignment horizontal="left" vertical="center"/>
    </xf>
    <xf numFmtId="0" fontId="179" fillId="17" borderId="19" xfId="16" applyFont="1" applyFill="1" applyBorder="1" applyAlignment="1">
      <alignment horizontal="left" vertical="center"/>
    </xf>
    <xf numFmtId="0" fontId="126" fillId="17" borderId="0" xfId="16" applyFont="1" applyFill="1" applyAlignment="1">
      <alignment horizontal="left" vertical="center"/>
    </xf>
    <xf numFmtId="0" fontId="180" fillId="60" borderId="39" xfId="16" applyFont="1" applyFill="1" applyBorder="1" applyAlignment="1">
      <alignment horizontal="left" vertical="center" wrapText="1"/>
    </xf>
    <xf numFmtId="0" fontId="180" fillId="60" borderId="40" xfId="16" applyFont="1" applyFill="1" applyBorder="1" applyAlignment="1">
      <alignment horizontal="left" vertical="center" wrapText="1"/>
    </xf>
    <xf numFmtId="0" fontId="126" fillId="17" borderId="0" xfId="16" applyFont="1" applyFill="1" applyAlignment="1">
      <alignment horizontal="left" vertical="center" wrapText="1"/>
    </xf>
    <xf numFmtId="0" fontId="126" fillId="17" borderId="43" xfId="16" applyFont="1" applyFill="1" applyBorder="1" applyAlignment="1">
      <alignment horizontal="left" vertical="center" wrapText="1"/>
    </xf>
    <xf numFmtId="0" fontId="137" fillId="0" borderId="0" xfId="16" applyFont="1" applyAlignment="1">
      <alignment horizontal="left" vertical="center"/>
    </xf>
    <xf numFmtId="0" fontId="137" fillId="0" borderId="0" xfId="16" applyFont="1" applyAlignment="1">
      <alignment horizontal="left" vertical="center" wrapText="1"/>
    </xf>
    <xf numFmtId="0" fontId="177" fillId="0" borderId="1" xfId="16" applyFont="1" applyBorder="1" applyAlignment="1">
      <alignment horizontal="center" vertical="center" wrapText="1"/>
    </xf>
    <xf numFmtId="0" fontId="177" fillId="0" borderId="1" xfId="16" applyFont="1" applyBorder="1" applyAlignment="1">
      <alignment horizontal="left" vertical="center" wrapText="1"/>
    </xf>
    <xf numFmtId="0" fontId="129" fillId="41" borderId="39" xfId="16" applyFont="1" applyFill="1" applyBorder="1" applyAlignment="1">
      <alignment horizontal="center" vertical="center" wrapText="1"/>
    </xf>
    <xf numFmtId="0" fontId="129" fillId="41" borderId="40" xfId="16" applyFont="1" applyFill="1" applyBorder="1" applyAlignment="1">
      <alignment horizontal="center" vertical="center" wrapText="1"/>
    </xf>
    <xf numFmtId="0" fontId="129" fillId="41" borderId="49" xfId="16" applyFont="1" applyFill="1" applyBorder="1" applyAlignment="1">
      <alignment horizontal="center" vertical="center" wrapText="1"/>
    </xf>
    <xf numFmtId="0" fontId="129" fillId="41" borderId="39" xfId="16" applyFont="1" applyFill="1" applyBorder="1" applyAlignment="1">
      <alignment horizontal="center" vertical="center"/>
    </xf>
    <xf numFmtId="0" fontId="129" fillId="41" borderId="40" xfId="16" applyFont="1" applyFill="1" applyBorder="1" applyAlignment="1">
      <alignment horizontal="center" vertical="center"/>
    </xf>
    <xf numFmtId="0" fontId="129" fillId="41" borderId="49" xfId="16" applyFont="1" applyFill="1" applyBorder="1" applyAlignment="1">
      <alignment horizontal="center" vertical="center"/>
    </xf>
    <xf numFmtId="0" fontId="128" fillId="0" borderId="1" xfId="16" applyFont="1" applyBorder="1" applyAlignment="1">
      <alignment horizontal="left" vertical="top" wrapText="1"/>
    </xf>
    <xf numFmtId="0" fontId="178" fillId="0" borderId="1" xfId="16" applyFont="1" applyBorder="1" applyAlignment="1">
      <alignment horizontal="center" vertical="center"/>
    </xf>
    <xf numFmtId="0" fontId="129" fillId="41" borderId="1" xfId="16" applyFont="1" applyFill="1" applyBorder="1" applyAlignment="1">
      <alignment horizontal="center" vertical="center"/>
    </xf>
    <xf numFmtId="0" fontId="49" fillId="61" borderId="22" xfId="23" applyFont="1" applyFill="1" applyBorder="1" applyAlignment="1">
      <alignment vertical="center" wrapText="1"/>
    </xf>
    <xf numFmtId="0" fontId="154" fillId="17" borderId="0" xfId="23" applyFont="1" applyFill="1" applyAlignment="1">
      <alignment horizontal="left" wrapText="1"/>
    </xf>
    <xf numFmtId="0" fontId="154" fillId="17" borderId="43" xfId="23" applyFont="1" applyFill="1" applyBorder="1" applyAlignment="1">
      <alignment horizontal="left" wrapText="1"/>
    </xf>
    <xf numFmtId="0" fontId="56" fillId="6" borderId="1" xfId="23" applyFont="1" applyFill="1" applyBorder="1" applyAlignment="1" applyProtection="1">
      <alignment horizontal="center" vertical="center" wrapText="1"/>
      <protection locked="0"/>
    </xf>
    <xf numFmtId="0" fontId="57" fillId="6" borderId="50" xfId="23" applyFont="1" applyFill="1" applyBorder="1" applyAlignment="1" applyProtection="1">
      <alignment horizontal="center" vertical="center"/>
      <protection locked="0"/>
    </xf>
    <xf numFmtId="0" fontId="57" fillId="19" borderId="1" xfId="23" applyFont="1" applyFill="1" applyBorder="1" applyAlignment="1" applyProtection="1">
      <alignment horizontal="center" vertical="center"/>
      <protection locked="0"/>
    </xf>
    <xf numFmtId="0" fontId="58" fillId="6" borderId="1" xfId="23" applyFont="1" applyFill="1" applyBorder="1" applyAlignment="1">
      <alignment horizontal="center" vertical="center"/>
    </xf>
    <xf numFmtId="0" fontId="58" fillId="6" borderId="1" xfId="23" applyFont="1" applyFill="1" applyBorder="1" applyAlignment="1">
      <alignment vertical="center"/>
    </xf>
    <xf numFmtId="0" fontId="49" fillId="45" borderId="40" xfId="23" applyFont="1" applyFill="1" applyBorder="1" applyAlignment="1">
      <alignment vertical="center"/>
    </xf>
    <xf numFmtId="0" fontId="56" fillId="6" borderId="40" xfId="23" applyFont="1" applyFill="1" applyBorder="1" applyAlignment="1">
      <alignment vertical="center"/>
    </xf>
    <xf numFmtId="0" fontId="49" fillId="6" borderId="22" xfId="23" applyFont="1" applyFill="1" applyBorder="1" applyAlignment="1">
      <alignment vertical="center"/>
    </xf>
    <xf numFmtId="0" fontId="49" fillId="6" borderId="0" xfId="23" applyFont="1" applyFill="1" applyAlignment="1">
      <alignment vertical="center"/>
    </xf>
    <xf numFmtId="0" fontId="49" fillId="0" borderId="40" xfId="23" applyFont="1" applyBorder="1" applyAlignment="1">
      <alignment horizontal="left" vertical="center" wrapText="1"/>
    </xf>
    <xf numFmtId="0" fontId="59" fillId="6" borderId="22" xfId="23" applyFont="1" applyFill="1" applyBorder="1" applyAlignment="1">
      <alignment vertical="center" wrapText="1"/>
    </xf>
    <xf numFmtId="0" fontId="49" fillId="45" borderId="40" xfId="23" applyFont="1" applyFill="1" applyBorder="1" applyAlignment="1">
      <alignment vertical="center" wrapText="1"/>
    </xf>
    <xf numFmtId="0" fontId="49" fillId="17" borderId="40" xfId="23" applyFont="1" applyFill="1" applyBorder="1" applyAlignment="1">
      <alignment vertical="center"/>
    </xf>
    <xf numFmtId="0" fontId="49" fillId="17" borderId="40" xfId="23" applyFont="1" applyFill="1" applyBorder="1" applyAlignment="1">
      <alignment vertical="center" wrapText="1"/>
    </xf>
    <xf numFmtId="0" fontId="56" fillId="45" borderId="45" xfId="37" quotePrefix="1" applyFont="1" applyFill="1" applyBorder="1" applyAlignment="1">
      <alignment horizontal="left" vertical="center" wrapText="1"/>
    </xf>
    <xf numFmtId="0" fontId="56" fillId="45" borderId="45" xfId="37" applyFont="1" applyFill="1" applyBorder="1" applyAlignment="1">
      <alignment horizontal="left" vertical="center" wrapText="1"/>
    </xf>
    <xf numFmtId="0" fontId="49" fillId="45" borderId="22" xfId="37" quotePrefix="1" applyFont="1" applyFill="1" applyBorder="1" applyAlignment="1">
      <alignment horizontal="left" vertical="center" wrapText="1"/>
    </xf>
    <xf numFmtId="0" fontId="49" fillId="45" borderId="22" xfId="37" applyFont="1" applyFill="1" applyBorder="1" applyAlignment="1">
      <alignment horizontal="left" vertical="center" wrapText="1"/>
    </xf>
    <xf numFmtId="0" fontId="49" fillId="45" borderId="45" xfId="37" quotePrefix="1" applyFont="1" applyFill="1" applyBorder="1" applyAlignment="1">
      <alignment horizontal="left" vertical="center" wrapText="1"/>
    </xf>
    <xf numFmtId="0" fontId="49" fillId="45" borderId="45" xfId="37" applyFont="1" applyFill="1" applyBorder="1" applyAlignment="1">
      <alignment horizontal="left" vertical="center" wrapText="1"/>
    </xf>
    <xf numFmtId="0" fontId="168" fillId="17" borderId="22" xfId="0" applyFont="1" applyFill="1" applyBorder="1" applyAlignment="1">
      <alignment horizontal="left" vertical="center" wrapText="1"/>
    </xf>
    <xf numFmtId="0" fontId="49" fillId="45" borderId="0" xfId="37" quotePrefix="1" applyFont="1" applyFill="1" applyAlignment="1">
      <alignment horizontal="left" vertical="center" wrapText="1"/>
    </xf>
    <xf numFmtId="0" fontId="49" fillId="45" borderId="0" xfId="37" applyFont="1" applyFill="1" applyAlignment="1">
      <alignment horizontal="left" vertical="center" wrapText="1"/>
    </xf>
    <xf numFmtId="0" fontId="49" fillId="6" borderId="46" xfId="37" applyFont="1" applyFill="1" applyBorder="1" applyAlignment="1">
      <alignment horizontal="left" vertical="center" wrapText="1"/>
    </xf>
    <xf numFmtId="0" fontId="49" fillId="6" borderId="0" xfId="37" applyFont="1" applyFill="1" applyAlignment="1">
      <alignment horizontal="left" vertical="center" wrapText="1"/>
    </xf>
    <xf numFmtId="0" fontId="181" fillId="6" borderId="0" xfId="37" quotePrefix="1" applyFont="1" applyFill="1" applyAlignment="1">
      <alignment horizontal="left" vertical="center" wrapText="1"/>
    </xf>
    <xf numFmtId="0" fontId="181" fillId="6" borderId="0" xfId="37" applyFont="1" applyFill="1" applyAlignment="1">
      <alignment horizontal="left" vertical="center" wrapText="1"/>
    </xf>
    <xf numFmtId="0" fontId="183" fillId="0" borderId="1" xfId="16" applyFont="1" applyBorder="1" applyAlignment="1">
      <alignment horizontal="center" vertical="center"/>
    </xf>
    <xf numFmtId="0" fontId="183" fillId="0" borderId="16" xfId="16" applyFont="1" applyBorder="1" applyAlignment="1">
      <alignment horizontal="center" vertical="center"/>
    </xf>
    <xf numFmtId="0" fontId="110" fillId="17" borderId="44" xfId="16" applyFont="1" applyFill="1" applyBorder="1" applyAlignment="1">
      <alignment horizontal="left" vertical="center" wrapText="1"/>
    </xf>
    <xf numFmtId="0" fontId="110" fillId="17" borderId="45" xfId="16" applyFont="1" applyFill="1" applyBorder="1" applyAlignment="1">
      <alignment horizontal="left" vertical="center" wrapText="1"/>
    </xf>
    <xf numFmtId="0" fontId="110" fillId="17" borderId="46" xfId="16" applyFont="1" applyFill="1" applyBorder="1" applyAlignment="1">
      <alignment horizontal="left" vertical="center" wrapText="1"/>
    </xf>
    <xf numFmtId="0" fontId="155" fillId="17" borderId="0" xfId="16" applyFont="1" applyFill="1" applyAlignment="1">
      <alignment horizontal="left" vertical="center"/>
    </xf>
    <xf numFmtId="0" fontId="155" fillId="17" borderId="0" xfId="16" applyFont="1" applyFill="1" applyAlignment="1">
      <alignment horizontal="left" vertical="center" wrapText="1"/>
    </xf>
    <xf numFmtId="0" fontId="177" fillId="0" borderId="39" xfId="16" applyFont="1" applyBorder="1" applyAlignment="1">
      <alignment horizontal="center" vertical="center" wrapText="1"/>
    </xf>
    <xf numFmtId="0" fontId="177" fillId="0" borderId="49" xfId="16" applyFont="1" applyBorder="1" applyAlignment="1">
      <alignment horizontal="center" vertical="center" wrapText="1"/>
    </xf>
    <xf numFmtId="0" fontId="56" fillId="0" borderId="39" xfId="16" applyFont="1" applyBorder="1" applyAlignment="1">
      <alignment horizontal="center" vertical="center"/>
    </xf>
    <xf numFmtId="0" fontId="56" fillId="0" borderId="40" xfId="16" applyFont="1" applyBorder="1" applyAlignment="1">
      <alignment horizontal="center" vertical="center"/>
    </xf>
    <xf numFmtId="0" fontId="56" fillId="0" borderId="49" xfId="16" applyFont="1" applyBorder="1" applyAlignment="1">
      <alignment horizontal="center" vertical="center"/>
    </xf>
    <xf numFmtId="0" fontId="135" fillId="40" borderId="22" xfId="16" applyFont="1" applyFill="1" applyBorder="1" applyAlignment="1">
      <alignment horizontal="center" vertical="center"/>
    </xf>
    <xf numFmtId="0" fontId="135" fillId="40" borderId="21" xfId="16" applyFont="1" applyFill="1" applyBorder="1" applyAlignment="1">
      <alignment horizontal="center" vertical="center"/>
    </xf>
    <xf numFmtId="0" fontId="129" fillId="41" borderId="1" xfId="16" applyFont="1" applyFill="1" applyBorder="1" applyAlignment="1">
      <alignment horizontal="center" vertical="center" wrapText="1"/>
    </xf>
    <xf numFmtId="0" fontId="182" fillId="60" borderId="0" xfId="16" applyFont="1" applyFill="1" applyAlignment="1">
      <alignment horizontal="left" vertical="center" wrapText="1"/>
    </xf>
    <xf numFmtId="0" fontId="182" fillId="60" borderId="43" xfId="16" applyFont="1" applyFill="1" applyBorder="1" applyAlignment="1">
      <alignment horizontal="left" vertical="center" wrapText="1"/>
    </xf>
    <xf numFmtId="0" fontId="180" fillId="60" borderId="0" xfId="16" applyFont="1" applyFill="1" applyAlignment="1">
      <alignment horizontal="left" vertical="center" wrapText="1"/>
    </xf>
    <xf numFmtId="0" fontId="180" fillId="60" borderId="43" xfId="16" applyFont="1" applyFill="1" applyBorder="1" applyAlignment="1">
      <alignment horizontal="left" vertical="center" wrapText="1"/>
    </xf>
    <xf numFmtId="0" fontId="49" fillId="45" borderId="40" xfId="23" applyFont="1" applyFill="1" applyBorder="1" applyAlignment="1">
      <alignment horizontal="left" vertical="center" wrapText="1"/>
    </xf>
    <xf numFmtId="0" fontId="49" fillId="45" borderId="46" xfId="37" applyFont="1" applyFill="1" applyBorder="1" applyAlignment="1">
      <alignment horizontal="left" vertical="center" wrapText="1"/>
    </xf>
    <xf numFmtId="0" fontId="71" fillId="6" borderId="50" xfId="23" applyFont="1" applyFill="1" applyBorder="1" applyAlignment="1" applyProtection="1">
      <alignment horizontal="center" vertical="center"/>
      <protection locked="0"/>
    </xf>
    <xf numFmtId="0" fontId="49" fillId="6" borderId="40" xfId="23" applyFont="1" applyFill="1" applyBorder="1" applyAlignment="1">
      <alignment vertical="center" wrapText="1"/>
    </xf>
    <xf numFmtId="0" fontId="46" fillId="36" borderId="6" xfId="0" applyFont="1" applyFill="1" applyBorder="1" applyAlignment="1">
      <alignment horizontal="center" vertical="center" wrapText="1"/>
    </xf>
    <xf numFmtId="0" fontId="46" fillId="36" borderId="5" xfId="0" applyFont="1" applyFill="1" applyBorder="1" applyAlignment="1">
      <alignment horizontal="center" vertical="center" wrapText="1"/>
    </xf>
    <xf numFmtId="0" fontId="110" fillId="64" borderId="4" xfId="0" applyFont="1" applyFill="1" applyBorder="1" applyAlignment="1">
      <alignment horizontal="center" vertical="center" wrapText="1"/>
    </xf>
    <xf numFmtId="0" fontId="110" fillId="64" borderId="3" xfId="0" applyFont="1" applyFill="1" applyBorder="1" applyAlignment="1">
      <alignment horizontal="center" vertical="center"/>
    </xf>
    <xf numFmtId="0" fontId="70" fillId="32" borderId="6" xfId="0" applyFont="1" applyFill="1" applyBorder="1" applyAlignment="1">
      <alignment horizontal="center" vertical="center" wrapText="1"/>
    </xf>
    <xf numFmtId="0" fontId="5" fillId="0" borderId="1" xfId="0" applyFont="1" applyBorder="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4" fontId="24" fillId="0" borderId="1" xfId="0" applyNumberFormat="1" applyFont="1" applyBorder="1" applyAlignment="1">
      <alignment horizontal="center" vertical="center"/>
    </xf>
    <xf numFmtId="4" fontId="24" fillId="0" borderId="7" xfId="0" applyNumberFormat="1" applyFont="1" applyBorder="1" applyAlignment="1">
      <alignment horizontal="center" vertical="center"/>
    </xf>
    <xf numFmtId="0" fontId="10" fillId="7" borderId="3" xfId="0" applyFont="1" applyFill="1" applyBorder="1" applyAlignment="1">
      <alignment horizontal="left" vertical="center"/>
    </xf>
    <xf numFmtId="0" fontId="10" fillId="7" borderId="1" xfId="0" applyFont="1" applyFill="1" applyBorder="1" applyAlignment="1">
      <alignment horizontal="left" vertical="center"/>
    </xf>
    <xf numFmtId="0" fontId="5" fillId="0" borderId="1" xfId="0" applyFont="1" applyBorder="1" applyAlignment="1" applyProtection="1">
      <alignment horizontal="center" vertical="center" wrapText="1"/>
      <protection locked="0"/>
    </xf>
    <xf numFmtId="0" fontId="5" fillId="7" borderId="8" xfId="0" applyFont="1" applyFill="1" applyBorder="1" applyAlignment="1">
      <alignment vertical="center"/>
    </xf>
    <xf numFmtId="0" fontId="5" fillId="7" borderId="2" xfId="0" applyFont="1" applyFill="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xf>
    <xf numFmtId="0" fontId="10" fillId="6" borderId="3" xfId="0" applyFont="1" applyFill="1" applyBorder="1" applyAlignment="1">
      <alignment horizontal="left" vertical="center"/>
    </xf>
    <xf numFmtId="0" fontId="10" fillId="6" borderId="1" xfId="0" applyFont="1" applyFill="1" applyBorder="1" applyAlignment="1">
      <alignment horizontal="left" vertical="center"/>
    </xf>
    <xf numFmtId="0" fontId="10" fillId="6" borderId="7" xfId="0" applyFont="1" applyFill="1" applyBorder="1" applyAlignment="1">
      <alignment horizontal="left" vertical="center"/>
    </xf>
    <xf numFmtId="0" fontId="10" fillId="7" borderId="3" xfId="0" applyFont="1" applyFill="1" applyBorder="1" applyAlignment="1">
      <alignment vertical="center"/>
    </xf>
    <xf numFmtId="0" fontId="10" fillId="7" borderId="1" xfId="0" applyFont="1" applyFill="1" applyBorder="1" applyAlignment="1">
      <alignment vertical="center"/>
    </xf>
    <xf numFmtId="0" fontId="19" fillId="7" borderId="3" xfId="0" applyFont="1" applyFill="1" applyBorder="1" applyAlignment="1">
      <alignment vertical="center"/>
    </xf>
    <xf numFmtId="0" fontId="19" fillId="7" borderId="1" xfId="0" applyFont="1" applyFill="1" applyBorder="1" applyAlignment="1">
      <alignment vertical="center"/>
    </xf>
    <xf numFmtId="0" fontId="109" fillId="7" borderId="76" xfId="0" applyFont="1" applyFill="1" applyBorder="1" applyAlignment="1">
      <alignment horizontal="center" vertical="center" wrapText="1"/>
    </xf>
    <xf numFmtId="0" fontId="109" fillId="7" borderId="13" xfId="0" applyFont="1" applyFill="1" applyBorder="1" applyAlignment="1">
      <alignment horizontal="center" vertical="center" wrapText="1"/>
    </xf>
    <xf numFmtId="0" fontId="109" fillId="7" borderId="13" xfId="0" applyFont="1" applyFill="1" applyBorder="1" applyAlignment="1">
      <alignment horizontal="center" vertical="center"/>
    </xf>
    <xf numFmtId="0" fontId="10" fillId="6" borderId="1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2" borderId="18" xfId="0" applyFont="1" applyFill="1" applyBorder="1" applyAlignment="1">
      <alignment horizontal="center" vertical="center" wrapText="1"/>
    </xf>
    <xf numFmtId="0" fontId="10" fillId="62" borderId="1" xfId="0" applyFont="1" applyFill="1" applyBorder="1" applyAlignment="1">
      <alignment horizontal="center" vertical="center" wrapText="1"/>
    </xf>
    <xf numFmtId="0" fontId="169" fillId="63" borderId="20" xfId="0" applyFont="1" applyFill="1" applyBorder="1" applyAlignment="1">
      <alignment horizontal="center" vertical="center" wrapText="1"/>
    </xf>
    <xf numFmtId="0" fontId="169" fillId="63" borderId="7"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4" fillId="0" borderId="1" xfId="0" applyFont="1" applyBorder="1" applyAlignment="1">
      <alignment horizontal="center" vertical="center"/>
    </xf>
    <xf numFmtId="0" fontId="10" fillId="0" borderId="7"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pplyProtection="1">
      <alignment horizontal="left" vertical="center" wrapText="1"/>
      <protection locked="0"/>
    </xf>
    <xf numFmtId="0" fontId="10" fillId="6" borderId="3"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40" fillId="64" borderId="4" xfId="0" applyFont="1" applyFill="1" applyBorder="1" applyAlignment="1">
      <alignment horizontal="center" vertical="center" wrapText="1"/>
    </xf>
    <xf numFmtId="0" fontId="140" fillId="64" borderId="3" xfId="0" applyFont="1" applyFill="1" applyBorder="1" applyAlignment="1">
      <alignment horizontal="center" vertical="center"/>
    </xf>
    <xf numFmtId="0" fontId="184" fillId="64" borderId="4" xfId="0" applyFont="1" applyFill="1" applyBorder="1" applyAlignment="1">
      <alignment horizontal="center" vertical="center" wrapText="1"/>
    </xf>
    <xf numFmtId="0" fontId="184" fillId="64" borderId="3" xfId="0" applyFont="1" applyFill="1" applyBorder="1" applyAlignment="1">
      <alignment horizontal="center" vertical="center"/>
    </xf>
    <xf numFmtId="0" fontId="2" fillId="7" borderId="8" xfId="0" applyFont="1" applyFill="1" applyBorder="1" applyAlignment="1">
      <alignment vertical="center"/>
    </xf>
    <xf numFmtId="0" fontId="2" fillId="7" borderId="2" xfId="0" applyFont="1" applyFill="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38" fillId="7" borderId="3" xfId="0" applyFont="1" applyFill="1" applyBorder="1" applyAlignment="1">
      <alignment horizontal="left" vertical="center"/>
    </xf>
    <xf numFmtId="0" fontId="38" fillId="7" borderId="1" xfId="0" applyFont="1" applyFill="1" applyBorder="1" applyAlignment="1">
      <alignment horizontal="left" vertical="center"/>
    </xf>
    <xf numFmtId="0" fontId="38" fillId="6" borderId="3" xfId="0" applyFont="1" applyFill="1" applyBorder="1" applyAlignment="1">
      <alignment horizontal="left" vertical="center"/>
    </xf>
    <xf numFmtId="0" fontId="38" fillId="6" borderId="1" xfId="0" applyFont="1" applyFill="1" applyBorder="1" applyAlignment="1">
      <alignment horizontal="left" vertical="center"/>
    </xf>
    <xf numFmtId="0" fontId="38" fillId="6" borderId="7" xfId="0" applyFont="1" applyFill="1" applyBorder="1" applyAlignment="1">
      <alignment horizontal="left" vertical="center"/>
    </xf>
    <xf numFmtId="0" fontId="38" fillId="7" borderId="3" xfId="0" applyFont="1" applyFill="1" applyBorder="1" applyAlignment="1">
      <alignment vertical="center"/>
    </xf>
    <xf numFmtId="0" fontId="38" fillId="7" borderId="1" xfId="0" applyFont="1" applyFill="1" applyBorder="1" applyAlignment="1">
      <alignment vertical="center"/>
    </xf>
    <xf numFmtId="0" fontId="40" fillId="7" borderId="3" xfId="0" applyFont="1" applyFill="1" applyBorder="1" applyAlignment="1">
      <alignment vertical="center"/>
    </xf>
    <xf numFmtId="0" fontId="40" fillId="7" borderId="1" xfId="0" applyFont="1" applyFill="1" applyBorder="1" applyAlignment="1">
      <alignmen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38" fillId="0" borderId="3" xfId="0" applyFont="1" applyBorder="1" applyAlignment="1">
      <alignment horizontal="center" vertical="center"/>
    </xf>
    <xf numFmtId="0" fontId="38" fillId="0" borderId="1" xfId="0" applyFont="1" applyBorder="1" applyAlignment="1">
      <alignment horizontal="center" vertical="center"/>
    </xf>
    <xf numFmtId="0" fontId="39" fillId="0" borderId="1" xfId="0" applyFont="1" applyBorder="1" applyAlignment="1">
      <alignment horizontal="center" vertical="center"/>
    </xf>
    <xf numFmtId="4" fontId="39" fillId="0" borderId="1" xfId="0" applyNumberFormat="1" applyFont="1" applyBorder="1" applyAlignment="1">
      <alignment horizontal="center" vertical="center"/>
    </xf>
    <xf numFmtId="4" fontId="39" fillId="0" borderId="7" xfId="0" applyNumberFormat="1" applyFont="1" applyBorder="1" applyAlignment="1">
      <alignment horizontal="center" vertical="center"/>
    </xf>
    <xf numFmtId="0" fontId="38" fillId="0" borderId="7" xfId="0" applyFont="1" applyBorder="1" applyAlignment="1">
      <alignment horizontal="center" vertical="center"/>
    </xf>
    <xf numFmtId="0" fontId="185" fillId="7" borderId="76" xfId="0" applyFont="1" applyFill="1" applyBorder="1" applyAlignment="1">
      <alignment horizontal="center" vertical="center" wrapText="1"/>
    </xf>
    <xf numFmtId="0" fontId="185" fillId="7" borderId="13" xfId="0" applyFont="1" applyFill="1" applyBorder="1" applyAlignment="1">
      <alignment horizontal="center" vertical="center" wrapText="1"/>
    </xf>
    <xf numFmtId="0" fontId="185" fillId="7" borderId="13" xfId="0" applyFont="1" applyFill="1" applyBorder="1" applyAlignment="1">
      <alignment horizontal="center" vertical="center"/>
    </xf>
    <xf numFmtId="0" fontId="16" fillId="6" borderId="18"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2" borderId="18" xfId="0" applyFont="1" applyFill="1" applyBorder="1" applyAlignment="1">
      <alignment horizontal="center" vertical="center" wrapText="1"/>
    </xf>
    <xf numFmtId="0" fontId="16" fillId="62" borderId="1" xfId="0" applyFont="1" applyFill="1" applyBorder="1" applyAlignment="1">
      <alignment horizontal="center" vertical="center" wrapText="1"/>
    </xf>
    <xf numFmtId="0" fontId="186" fillId="63" borderId="20" xfId="0" applyFont="1" applyFill="1" applyBorder="1" applyAlignment="1">
      <alignment horizontal="center" vertical="center" wrapText="1"/>
    </xf>
    <xf numFmtId="0" fontId="186" fillId="63" borderId="7" xfId="0" applyFont="1" applyFill="1" applyBorder="1" applyAlignment="1">
      <alignment horizontal="center" vertical="center" wrapText="1"/>
    </xf>
    <xf numFmtId="0" fontId="38" fillId="6" borderId="3" xfId="0" applyFont="1" applyFill="1" applyBorder="1" applyAlignment="1">
      <alignment horizontal="left" vertical="center" wrapText="1"/>
    </xf>
    <xf numFmtId="0" fontId="38" fillId="6" borderId="1" xfId="0" applyFont="1" applyFill="1" applyBorder="1" applyAlignment="1">
      <alignment horizontal="left"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96" fillId="0" borderId="1" xfId="46" applyFont="1" applyBorder="1" applyAlignment="1">
      <alignment horizontal="left" vertical="center"/>
    </xf>
    <xf numFmtId="0" fontId="5" fillId="0" borderId="1" xfId="46" applyFont="1" applyBorder="1" applyAlignment="1">
      <alignment horizontal="left" vertical="center" wrapText="1"/>
    </xf>
    <xf numFmtId="0" fontId="10" fillId="0" borderId="1" xfId="46" applyFont="1" applyBorder="1" applyAlignment="1">
      <alignment horizontal="left" vertical="center" wrapText="1"/>
    </xf>
    <xf numFmtId="0" fontId="5" fillId="0" borderId="1" xfId="46" applyFont="1" applyBorder="1" applyAlignment="1">
      <alignment horizontal="left" vertical="center"/>
    </xf>
    <xf numFmtId="0" fontId="96" fillId="0" borderId="3" xfId="46" applyFont="1" applyBorder="1" applyAlignment="1">
      <alignment horizontal="left" vertical="center"/>
    </xf>
    <xf numFmtId="0" fontId="96" fillId="7" borderId="1" xfId="46" applyFont="1" applyFill="1" applyBorder="1" applyAlignment="1">
      <alignment horizontal="left" vertical="center" wrapText="1"/>
    </xf>
    <xf numFmtId="0" fontId="109" fillId="7" borderId="57" xfId="46" applyFont="1" applyFill="1" applyBorder="1" applyAlignment="1">
      <alignment horizontal="center" vertical="center" wrapText="1"/>
    </xf>
    <xf numFmtId="0" fontId="24" fillId="6" borderId="18" xfId="46" applyFont="1" applyFill="1" applyBorder="1" applyAlignment="1">
      <alignment horizontal="center" vertical="center"/>
    </xf>
    <xf numFmtId="10" fontId="96" fillId="6" borderId="18" xfId="46" applyNumberFormat="1" applyFont="1" applyFill="1" applyBorder="1" applyAlignment="1">
      <alignment horizontal="center" vertical="center"/>
    </xf>
    <xf numFmtId="0" fontId="96" fillId="6" borderId="1" xfId="46" applyFont="1" applyFill="1" applyBorder="1" applyAlignment="1">
      <alignment horizontal="left" vertical="center" wrapText="1"/>
    </xf>
    <xf numFmtId="0" fontId="94" fillId="6" borderId="39" xfId="0" applyFont="1" applyFill="1" applyBorder="1" applyAlignment="1">
      <alignment horizontal="center" vertical="center"/>
    </xf>
    <xf numFmtId="0" fontId="169" fillId="38" borderId="1" xfId="46" applyFont="1" applyFill="1" applyBorder="1" applyAlignment="1">
      <alignment horizontal="left" vertical="center"/>
    </xf>
    <xf numFmtId="0" fontId="5" fillId="0" borderId="18" xfId="46" applyFont="1" applyBorder="1" applyAlignment="1">
      <alignment horizontal="left" vertical="center"/>
    </xf>
    <xf numFmtId="0" fontId="96" fillId="0" borderId="3" xfId="46" applyFont="1" applyBorder="1" applyAlignment="1">
      <alignment horizontal="left" vertical="center" wrapText="1"/>
    </xf>
    <xf numFmtId="0" fontId="42" fillId="14" borderId="1" xfId="19" applyFont="1" applyFill="1" applyBorder="1" applyAlignment="1">
      <alignment horizontal="center" vertical="center"/>
    </xf>
    <xf numFmtId="0" fontId="38" fillId="14" borderId="1" xfId="19" applyFont="1" applyFill="1" applyBorder="1" applyAlignment="1">
      <alignment horizontal="center" vertical="center" wrapText="1"/>
    </xf>
    <xf numFmtId="0" fontId="39" fillId="0" borderId="49" xfId="19" applyFont="1" applyBorder="1" applyAlignment="1">
      <alignment horizontal="left" vertical="center"/>
    </xf>
    <xf numFmtId="0" fontId="41" fillId="14" borderId="1" xfId="19" applyFont="1" applyFill="1" applyBorder="1" applyAlignment="1">
      <alignment horizontal="center" vertical="center" wrapText="1"/>
    </xf>
    <xf numFmtId="2" fontId="27" fillId="46" borderId="1" xfId="0" applyNumberFormat="1" applyFont="1" applyFill="1" applyBorder="1" applyAlignment="1" applyProtection="1">
      <alignment horizontal="center" vertical="center" wrapText="1"/>
    </xf>
  </cellXfs>
  <cellStyles count="101">
    <cellStyle name="Excel Built-in Explanatory Text" xfId="1" xr:uid="{B0B0C14D-B03E-4C9C-B277-BF6A40AA74FE}"/>
    <cellStyle name="Moeda" xfId="2" builtinId="4"/>
    <cellStyle name="Moeda 10" xfId="3" xr:uid="{770026BE-2006-4162-97CA-E02685EEFEE3}"/>
    <cellStyle name="Moeda 2" xfId="4" xr:uid="{86767ECD-0326-4616-B52F-F626B15544DE}"/>
    <cellStyle name="Moeda 2 2" xfId="5" xr:uid="{172DA094-5346-40E0-9D57-5F3B5BE3EFBD}"/>
    <cellStyle name="Moeda 2 3" xfId="6" xr:uid="{685D80C2-F398-49EC-8712-D7843535DB18}"/>
    <cellStyle name="Moeda 3" xfId="7" xr:uid="{D1A39CE1-7C1A-42D1-ADAA-D5C5093B6B99}"/>
    <cellStyle name="Moeda 4" xfId="8" xr:uid="{05C41B39-7DFC-4840-A9A7-EE06B55221C4}"/>
    <cellStyle name="Moeda 4 2" xfId="9" xr:uid="{8C777268-FF6D-4D1C-92AF-843923A848C0}"/>
    <cellStyle name="Moeda 4 3" xfId="10" xr:uid="{49347CEC-C294-468F-86B5-5908DC52CC6B}"/>
    <cellStyle name="Moeda 5" xfId="11" xr:uid="{669AAB03-0125-4634-A29E-A6A42D910597}"/>
    <cellStyle name="Moeda 6" xfId="12" xr:uid="{BDED2E57-7574-42EA-97A0-71FBA06493C1}"/>
    <cellStyle name="Moeda 7" xfId="13" xr:uid="{53673439-C960-46D7-8DCC-14CC7BD251BD}"/>
    <cellStyle name="Moeda 8" xfId="14" xr:uid="{D598E6CD-24E1-4A99-8739-0B23A504BE0F}"/>
    <cellStyle name="Moeda 9" xfId="15" xr:uid="{775305D1-6E2B-4DE9-86EB-857A3B63328F}"/>
    <cellStyle name="Normal" xfId="0" builtinId="0"/>
    <cellStyle name="Normal 10" xfId="16" xr:uid="{BE6E688C-8555-4A78-86D2-8556FB78A391}"/>
    <cellStyle name="Normal 10 2" xfId="17" xr:uid="{985C96CA-7AD1-4C4C-998E-1E6B978C328E}"/>
    <cellStyle name="Normal 11" xfId="18" xr:uid="{88E4F623-114D-40FB-8E09-3C6C6A839679}"/>
    <cellStyle name="Normal 12" xfId="19" xr:uid="{BDE3FDF6-F6A0-4399-A917-DCA7DA1B4C3F}"/>
    <cellStyle name="Normal 13" xfId="20" xr:uid="{38C7041D-FC1A-4862-94F0-A3F27AC88E17}"/>
    <cellStyle name="Normal 13 2" xfId="21" xr:uid="{19F93957-A34F-489E-A073-274B26F516F8}"/>
    <cellStyle name="Normal 14" xfId="22" xr:uid="{B507BE90-3AD2-437C-A522-13177A37DC6F}"/>
    <cellStyle name="Normal 14 2" xfId="23" xr:uid="{40347552-AC5E-44D5-8DEF-E93A231EBD20}"/>
    <cellStyle name="Normal 15" xfId="24" xr:uid="{07F52E43-7C0A-486D-935E-19EB2744C3CE}"/>
    <cellStyle name="Normal 2" xfId="25" xr:uid="{7160DF3C-259F-47A1-AA78-2F724E71109B}"/>
    <cellStyle name="Normal 2 2" xfId="26" xr:uid="{6B815162-E763-4810-8E2F-A9A4851631E7}"/>
    <cellStyle name="Normal 2 2 2" xfId="27" xr:uid="{5374C39D-E459-4290-A643-E2A5629054A9}"/>
    <cellStyle name="Normal 2 3" xfId="28" xr:uid="{1C9968C9-59E4-44AC-AEAB-ABF84005C383}"/>
    <cellStyle name="Normal 2 3 2" xfId="29" xr:uid="{6D6387AF-1CFA-4AAA-9E30-7FC48DFB4ECF}"/>
    <cellStyle name="Normal 2 3 2 2" xfId="30" xr:uid="{8D4F56F4-E918-4F13-8D02-0553529FE341}"/>
    <cellStyle name="Normal 2 3 3" xfId="31" xr:uid="{57A97A60-D51D-4DE6-8808-73A96A15AA0A}"/>
    <cellStyle name="Normal 2 3 3 2" xfId="32" xr:uid="{7F952C47-1028-444E-BEF0-EF67744E53BA}"/>
    <cellStyle name="Normal 2 3 4" xfId="33" xr:uid="{A7929DE2-BBF7-4C95-9246-909F4A8BA764}"/>
    <cellStyle name="Normal 3" xfId="34" xr:uid="{078E71E9-6AF5-4558-AAB4-8A74DF7B2E36}"/>
    <cellStyle name="Normal 3 2" xfId="35" xr:uid="{E963A262-0160-4458-8FE2-F576F719E97E}"/>
    <cellStyle name="Normal 3 3" xfId="36" xr:uid="{50E80216-70FD-4DC9-B2A3-C433B55D3DB6}"/>
    <cellStyle name="Normal 3 4" xfId="37" xr:uid="{166FA1AD-1B4F-4F4B-9D73-74B531D1113B}"/>
    <cellStyle name="Normal 4" xfId="38" xr:uid="{5A474B41-8031-4F9D-B10C-05703C328C97}"/>
    <cellStyle name="Normal 4 2" xfId="39" xr:uid="{248AD5AD-E8DA-4093-AF2A-F7943C5EA89F}"/>
    <cellStyle name="Normal 5" xfId="40" xr:uid="{57213271-1E57-4A48-9DA7-399542E7D9AE}"/>
    <cellStyle name="Normal 5 2" xfId="41" xr:uid="{7F6311ED-16DA-4EA3-8BBE-02845E21FB6E}"/>
    <cellStyle name="Normal 6" xfId="42" xr:uid="{D64F19F8-7600-4320-AD7C-15D56CB8D5CE}"/>
    <cellStyle name="Normal 6 2" xfId="43" xr:uid="{7C196C53-3A60-41EB-B7E3-8773996FE34B}"/>
    <cellStyle name="Normal 7" xfId="44" xr:uid="{1BAF86E8-0765-494E-BA91-FAF215A2BF17}"/>
    <cellStyle name="Normal 7 2" xfId="45" xr:uid="{0D7CFE87-FF25-4B98-80EF-2C905C4045B6}"/>
    <cellStyle name="Normal 8" xfId="46" xr:uid="{737A6CE3-1399-49DE-83A6-C80412744162}"/>
    <cellStyle name="Normal 9" xfId="47" xr:uid="{A236135E-B334-4622-86FE-C865AA60FD5A}"/>
    <cellStyle name="Normal_Plan1" xfId="48" xr:uid="{B6B3EC9A-DDF0-41AA-A360-87052DA872FA}"/>
    <cellStyle name="Porcentagem" xfId="49" builtinId="5"/>
    <cellStyle name="Porcentagem 10" xfId="50" xr:uid="{54D630DB-35B0-4F07-AE2C-943C077B2A03}"/>
    <cellStyle name="Porcentagem 11" xfId="51" xr:uid="{941ADF77-783E-4CC8-BE7E-C0F22967ECA4}"/>
    <cellStyle name="Porcentagem 12" xfId="52" xr:uid="{583A4CCC-DA56-4046-83CC-961B194D7BE9}"/>
    <cellStyle name="Porcentagem 12 2" xfId="53" xr:uid="{CCB64611-2634-42A5-A1DA-87308F792705}"/>
    <cellStyle name="Porcentagem 2" xfId="54" xr:uid="{C26B2E51-7BF3-42AD-A0EB-BEE9C74D1CE7}"/>
    <cellStyle name="Porcentagem 2 2" xfId="55" xr:uid="{96D70DB4-73F9-4411-80CB-2A96E3661434}"/>
    <cellStyle name="Porcentagem 2 3" xfId="56" xr:uid="{22274BBC-BC75-4B4A-9A03-60AE50E94CF1}"/>
    <cellStyle name="Porcentagem 3" xfId="57" xr:uid="{0ADB22A9-9491-47F7-95B4-7AE8FE50CB7F}"/>
    <cellStyle name="Porcentagem 4" xfId="58" xr:uid="{31B056BD-DAA9-4A99-8528-5412877138E2}"/>
    <cellStyle name="Porcentagem 4 2" xfId="59" xr:uid="{9E2C4FCE-94A3-444E-AE09-CB8187EA55CA}"/>
    <cellStyle name="Porcentagem 4 3" xfId="60" xr:uid="{2C45C0ED-95CC-44DA-A303-37C819F1766A}"/>
    <cellStyle name="Porcentagem 4 4" xfId="61" xr:uid="{D1C34142-525C-45A7-B1EC-72129D99247A}"/>
    <cellStyle name="Porcentagem 5" xfId="62" xr:uid="{DDBC02C2-5252-4426-AAAB-C2B0E607AFD1}"/>
    <cellStyle name="Porcentagem 6" xfId="63" xr:uid="{A17C6137-C3E1-482F-9545-5E28F9DB8FAF}"/>
    <cellStyle name="Porcentagem 7" xfId="64" xr:uid="{6A400D7D-B67D-4CF7-91A6-47F115F5A58F}"/>
    <cellStyle name="Porcentagem 8" xfId="65" xr:uid="{170917B9-961E-4301-AFA3-4C62EF336ABE}"/>
    <cellStyle name="Porcentagem 9" xfId="66" xr:uid="{473A71E7-6B2A-423F-A069-FE314BA5ACAF}"/>
    <cellStyle name="Separador de milhares 2" xfId="67" xr:uid="{A67A1F90-5BEF-453E-839A-6B6471A78378}"/>
    <cellStyle name="Separador de milhares 2 2" xfId="68" xr:uid="{19B678C9-AF19-4BDF-9C0F-6E406418C250}"/>
    <cellStyle name="Separador de milhares 2 2 2" xfId="69" xr:uid="{1CA90F57-BFCF-4D6B-8DE4-D2A2B1F45D3C}"/>
    <cellStyle name="Separador de milhares 2 3" xfId="70" xr:uid="{394E2F8A-A256-4159-9511-CCFDBC406A8F}"/>
    <cellStyle name="Separador de milhares 2 4" xfId="71" xr:uid="{CA47ABB9-1F3D-4BFF-BC2D-FC9C174BD175}"/>
    <cellStyle name="Separador de milhares 3" xfId="72" xr:uid="{9D54C83D-DC4D-4132-A903-20578A8E9C4B}"/>
    <cellStyle name="Separador de milhares 3 2" xfId="73" xr:uid="{46B8E5BF-6118-4994-96B4-7904E19B8644}"/>
    <cellStyle name="Separador de milhares 3 3" xfId="74" xr:uid="{B91E52FA-3DC9-496E-A69D-D584915D927D}"/>
    <cellStyle name="Separador de milhares 4" xfId="75" xr:uid="{F6762B12-6136-48A4-A371-9829B47E575A}"/>
    <cellStyle name="Separador de milhares 4 2" xfId="76" xr:uid="{B0B60D17-9506-4F75-AC21-D0EF558CAB17}"/>
    <cellStyle name="Separador de milhares 4 3" xfId="77" xr:uid="{7A05FF2C-6DE5-4E19-804B-15AE6A63A1B3}"/>
    <cellStyle name="Separador de milhares 4 4" xfId="78" xr:uid="{F88BA36A-8DDF-4D46-9F73-B4BEB212D34B}"/>
    <cellStyle name="Separador de milhares 5" xfId="79" xr:uid="{C5ECD851-DF65-49C0-B663-66734CDF1D03}"/>
    <cellStyle name="Separador de milhares 5 2" xfId="80" xr:uid="{5A346649-3910-44AF-B411-9FB3091A5228}"/>
    <cellStyle name="Separador de milhares 6" xfId="81" xr:uid="{0C4B0735-E183-45DC-8F78-F62FCBF6968D}"/>
    <cellStyle name="Separador de milhares 7" xfId="82" xr:uid="{591C07D3-008B-460C-A2EC-B598CD543F54}"/>
    <cellStyle name="Separador de milhares 8" xfId="83" xr:uid="{7B8A8855-B3FE-4C14-889D-C51A52217642}"/>
    <cellStyle name="Separador de milhares 9" xfId="84" xr:uid="{BB5C3750-56F2-42FD-8C79-23B5636591E8}"/>
    <cellStyle name="Separador de milhares 9 2" xfId="85" xr:uid="{943CE766-FF88-4F03-A7F4-D72709B6C955}"/>
    <cellStyle name="Texto Explicativo 2" xfId="86" xr:uid="{6F7D750D-0FBD-4B77-8AD5-D06DF651F48C}"/>
    <cellStyle name="Texto Explicativo 2 2" xfId="87" xr:uid="{1582E558-3F40-42C0-AF88-1A9E4D87B5DD}"/>
    <cellStyle name="Texto Explicativo 3" xfId="88" xr:uid="{2FB56F28-1912-418D-AF67-0B1FFE9BDB66}"/>
    <cellStyle name="Texto Explicativo 4" xfId="89" xr:uid="{5ED4F91E-4578-4F3F-A2B9-CD11820E883E}"/>
    <cellStyle name="Título 1 1" xfId="90" xr:uid="{5D0A06FE-9FD3-41FD-82C5-43EDC0A7E7D6}"/>
    <cellStyle name="Título 1 1 2" xfId="91" xr:uid="{737A7A06-3F57-4796-B46E-FB16012F33B7}"/>
    <cellStyle name="Vírgula" xfId="92" builtinId="3"/>
    <cellStyle name="Vírgula 2" xfId="93" xr:uid="{D74CACA5-F745-4DDB-BA81-70893FE1089A}"/>
    <cellStyle name="Vírgula 2 2" xfId="94" xr:uid="{16B5B73F-7035-4965-A95A-AE693D70E914}"/>
    <cellStyle name="Vírgula 2 3" xfId="95" xr:uid="{F3AF69F1-2C6B-4808-A77C-A0A12DFDCC51}"/>
    <cellStyle name="Vírgula 2 4" xfId="96" xr:uid="{67B2E30E-3F5C-4B2C-BD18-DA5235E10FCF}"/>
    <cellStyle name="Vírgula 3" xfId="97" xr:uid="{7D59DD24-A964-42D6-8E89-74EC19D1C828}"/>
    <cellStyle name="Vírgula 4" xfId="98" xr:uid="{5227F7FE-C155-4F71-A39B-2DD06585117B}"/>
    <cellStyle name="Vírgula 5" xfId="99" xr:uid="{A274D6A4-1712-490F-8C49-3BE96AF5C426}"/>
    <cellStyle name="Vírgula 6" xfId="100" xr:uid="{B27D4C5E-62C4-47A4-A4D3-2EE06F7413EA}"/>
  </cellStyles>
  <dxfs count="3">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00000"/>
      <rgbColor rgb="00008000"/>
      <rgbColor rgb="00000080"/>
      <rgbColor rgb="00808000"/>
      <rgbColor rgb="00800080"/>
      <rgbColor rgb="00008080"/>
      <rgbColor rgb="00C0C0C0"/>
      <rgbColor rgb="00808080"/>
      <rgbColor rgb="0095B3D7"/>
      <rgbColor rgb="00DC143C"/>
      <rgbColor rgb="00FFFFCC"/>
      <rgbColor rgb="00AFEEEE"/>
      <rgbColor rgb="00660066"/>
      <rgbColor rgb="00FF7F50"/>
      <rgbColor rgb="000066CC"/>
      <rgbColor rgb="00B4C7E7"/>
      <rgbColor rgb="00000080"/>
      <rgbColor rgb="00FF00FF"/>
      <rgbColor rgb="00DDDDDD"/>
      <rgbColor rgb="0000FFFF"/>
      <rgbColor rgb="00800080"/>
      <rgbColor rgb="00CC0000"/>
      <rgbColor rgb="00008080"/>
      <rgbColor rgb="000000FF"/>
      <rgbColor rgb="0000CCFF"/>
      <rgbColor rgb="00DCE6F2"/>
      <rgbColor rgb="00EEEEEE"/>
      <rgbColor rgb="00FFFF99"/>
      <rgbColor rgb="0083CAFF"/>
      <rgbColor rgb="00D3D3D3"/>
      <rgbColor rgb="00B4C7DC"/>
      <rgbColor rgb="00F8CBAD"/>
      <rgbColor rgb="003366FF"/>
      <rgbColor rgb="00DAE3F3"/>
      <rgbColor rgb="00D9D9D9"/>
      <rgbColor rgb="00F2DCDB"/>
      <rgbColor rgb="00F2F2F2"/>
      <rgbColor rgb="00FF6600"/>
      <rgbColor rgb="00606060"/>
      <rgbColor rgb="007F7F7F"/>
      <rgbColor rgb="0010243E"/>
      <rgbColor rgb="00339966"/>
      <rgbColor rgb="00003300"/>
      <rgbColor rgb="00333300"/>
      <rgbColor rgb="00993300"/>
      <rgbColor rgb="00993366"/>
      <rgbColor rgb="001F497D"/>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552450</xdr:colOff>
      <xdr:row>0</xdr:row>
      <xdr:rowOff>123825</xdr:rowOff>
    </xdr:from>
    <xdr:to>
      <xdr:col>1</xdr:col>
      <xdr:colOff>1362075</xdr:colOff>
      <xdr:row>4</xdr:row>
      <xdr:rowOff>104775</xdr:rowOff>
    </xdr:to>
    <xdr:pic>
      <xdr:nvPicPr>
        <xdr:cNvPr id="1029" name="Picture 1">
          <a:extLst>
            <a:ext uri="{FF2B5EF4-FFF2-40B4-BE49-F238E27FC236}">
              <a16:creationId xmlns:a16="http://schemas.microsoft.com/office/drawing/2014/main" id="{5E5ACB28-9029-2365-B128-270E67C66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123825"/>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971550</xdr:colOff>
      <xdr:row>0</xdr:row>
      <xdr:rowOff>104775</xdr:rowOff>
    </xdr:from>
    <xdr:to>
      <xdr:col>1</xdr:col>
      <xdr:colOff>1609725</xdr:colOff>
      <xdr:row>3</xdr:row>
      <xdr:rowOff>133350</xdr:rowOff>
    </xdr:to>
    <xdr:pic>
      <xdr:nvPicPr>
        <xdr:cNvPr id="10244" name="Imagem 1">
          <a:extLst>
            <a:ext uri="{FF2B5EF4-FFF2-40B4-BE49-F238E27FC236}">
              <a16:creationId xmlns:a16="http://schemas.microsoft.com/office/drawing/2014/main" id="{916C827A-696C-87D6-42CA-7C8C1C9985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104775"/>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457200</xdr:colOff>
      <xdr:row>3</xdr:row>
      <xdr:rowOff>0</xdr:rowOff>
    </xdr:to>
    <xdr:pic>
      <xdr:nvPicPr>
        <xdr:cNvPr id="11268" name="Imagem 1">
          <a:extLst>
            <a:ext uri="{FF2B5EF4-FFF2-40B4-BE49-F238E27FC236}">
              <a16:creationId xmlns:a16="http://schemas.microsoft.com/office/drawing/2014/main" id="{01E1C6B0-5659-3E16-4F19-AFC51B9662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200"/>
          <a:ext cx="3524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1</xdr:row>
      <xdr:rowOff>85725</xdr:rowOff>
    </xdr:from>
    <xdr:to>
      <xdr:col>2</xdr:col>
      <xdr:colOff>2152650</xdr:colOff>
      <xdr:row>5</xdr:row>
      <xdr:rowOff>85725</xdr:rowOff>
    </xdr:to>
    <xdr:pic>
      <xdr:nvPicPr>
        <xdr:cNvPr id="12292" name="Imagem 1">
          <a:extLst>
            <a:ext uri="{FF2B5EF4-FFF2-40B4-BE49-F238E27FC236}">
              <a16:creationId xmlns:a16="http://schemas.microsoft.com/office/drawing/2014/main" id="{939DA0FC-0372-86CE-13B9-E905E35FCC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76225"/>
          <a:ext cx="24955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152400</xdr:rowOff>
    </xdr:from>
    <xdr:to>
      <xdr:col>3</xdr:col>
      <xdr:colOff>180975</xdr:colOff>
      <xdr:row>5</xdr:row>
      <xdr:rowOff>57150</xdr:rowOff>
    </xdr:to>
    <xdr:pic>
      <xdr:nvPicPr>
        <xdr:cNvPr id="13316" name="Imagem 3">
          <a:extLst>
            <a:ext uri="{FF2B5EF4-FFF2-40B4-BE49-F238E27FC236}">
              <a16:creationId xmlns:a16="http://schemas.microsoft.com/office/drawing/2014/main" id="{D5773C9C-71F8-1EAC-2CCD-8B930252B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52400"/>
          <a:ext cx="16764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742950</xdr:colOff>
      <xdr:row>0</xdr:row>
      <xdr:rowOff>133350</xdr:rowOff>
    </xdr:from>
    <xdr:to>
      <xdr:col>1</xdr:col>
      <xdr:colOff>342900</xdr:colOff>
      <xdr:row>3</xdr:row>
      <xdr:rowOff>95250</xdr:rowOff>
    </xdr:to>
    <xdr:pic>
      <xdr:nvPicPr>
        <xdr:cNvPr id="14340" name="Figura 1">
          <a:extLst>
            <a:ext uri="{FF2B5EF4-FFF2-40B4-BE49-F238E27FC236}">
              <a16:creationId xmlns:a16="http://schemas.microsoft.com/office/drawing/2014/main" id="{BF9142FF-7902-7DFD-C188-8A8F6590D9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33350"/>
          <a:ext cx="6572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742950</xdr:colOff>
      <xdr:row>0</xdr:row>
      <xdr:rowOff>133350</xdr:rowOff>
    </xdr:from>
    <xdr:to>
      <xdr:col>1</xdr:col>
      <xdr:colOff>342900</xdr:colOff>
      <xdr:row>3</xdr:row>
      <xdr:rowOff>95250</xdr:rowOff>
    </xdr:to>
    <xdr:pic>
      <xdr:nvPicPr>
        <xdr:cNvPr id="15364" name="Figura 1">
          <a:extLst>
            <a:ext uri="{FF2B5EF4-FFF2-40B4-BE49-F238E27FC236}">
              <a16:creationId xmlns:a16="http://schemas.microsoft.com/office/drawing/2014/main" id="{2CA10676-E997-E55F-6283-295D32AEE6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133350"/>
          <a:ext cx="6572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1228725</xdr:colOff>
      <xdr:row>3</xdr:row>
      <xdr:rowOff>285750</xdr:rowOff>
    </xdr:to>
    <xdr:pic>
      <xdr:nvPicPr>
        <xdr:cNvPr id="16388" name="Imagem 3">
          <a:extLst>
            <a:ext uri="{FF2B5EF4-FFF2-40B4-BE49-F238E27FC236}">
              <a16:creationId xmlns:a16="http://schemas.microsoft.com/office/drawing/2014/main" id="{946778A7-221A-90A3-0DCB-834504C155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1450"/>
          <a:ext cx="1666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1228725</xdr:colOff>
      <xdr:row>3</xdr:row>
      <xdr:rowOff>285750</xdr:rowOff>
    </xdr:to>
    <xdr:pic>
      <xdr:nvPicPr>
        <xdr:cNvPr id="17412" name="Imagem 3">
          <a:extLst>
            <a:ext uri="{FF2B5EF4-FFF2-40B4-BE49-F238E27FC236}">
              <a16:creationId xmlns:a16="http://schemas.microsoft.com/office/drawing/2014/main" id="{4558FDBB-317F-D0EF-D9B5-0315A717C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1450"/>
          <a:ext cx="1666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647700</xdr:colOff>
      <xdr:row>3</xdr:row>
      <xdr:rowOff>95250</xdr:rowOff>
    </xdr:to>
    <xdr:pic>
      <xdr:nvPicPr>
        <xdr:cNvPr id="18445" name="Figura 2">
          <a:extLst>
            <a:ext uri="{FF2B5EF4-FFF2-40B4-BE49-F238E27FC236}">
              <a16:creationId xmlns:a16="http://schemas.microsoft.com/office/drawing/2014/main" id="{0500D68A-4AA5-6401-EB15-BAD857300B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66675"/>
          <a:ext cx="609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647700</xdr:colOff>
      <xdr:row>3</xdr:row>
      <xdr:rowOff>95250</xdr:rowOff>
    </xdr:to>
    <xdr:pic>
      <xdr:nvPicPr>
        <xdr:cNvPr id="19468" name="Figura 2">
          <a:extLst>
            <a:ext uri="{FF2B5EF4-FFF2-40B4-BE49-F238E27FC236}">
              <a16:creationId xmlns:a16="http://schemas.microsoft.com/office/drawing/2014/main" id="{3D040465-3D33-F66A-58FC-0ACCAA0509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66675"/>
          <a:ext cx="609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142875</xdr:rowOff>
    </xdr:from>
    <xdr:to>
      <xdr:col>4</xdr:col>
      <xdr:colOff>171450</xdr:colOff>
      <xdr:row>5</xdr:row>
      <xdr:rowOff>95250</xdr:rowOff>
    </xdr:to>
    <xdr:pic>
      <xdr:nvPicPr>
        <xdr:cNvPr id="2052" name="Imagem 1">
          <a:extLst>
            <a:ext uri="{FF2B5EF4-FFF2-40B4-BE49-F238E27FC236}">
              <a16:creationId xmlns:a16="http://schemas.microsoft.com/office/drawing/2014/main" id="{6DCBC18B-388C-17C3-4CF2-E5E762B77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304800"/>
          <a:ext cx="28670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2</xdr:col>
      <xdr:colOff>1228725</xdr:colOff>
      <xdr:row>3</xdr:row>
      <xdr:rowOff>323850</xdr:rowOff>
    </xdr:to>
    <xdr:pic>
      <xdr:nvPicPr>
        <xdr:cNvPr id="20484" name="Imagem 3">
          <a:extLst>
            <a:ext uri="{FF2B5EF4-FFF2-40B4-BE49-F238E27FC236}">
              <a16:creationId xmlns:a16="http://schemas.microsoft.com/office/drawing/2014/main" id="{CBC7BAAE-E3FA-DCA4-E68B-24BA15EEF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9550"/>
          <a:ext cx="1666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542925</xdr:colOff>
      <xdr:row>0</xdr:row>
      <xdr:rowOff>85725</xdr:rowOff>
    </xdr:from>
    <xdr:to>
      <xdr:col>1</xdr:col>
      <xdr:colOff>990600</xdr:colOff>
      <xdr:row>3</xdr:row>
      <xdr:rowOff>57150</xdr:rowOff>
    </xdr:to>
    <xdr:pic>
      <xdr:nvPicPr>
        <xdr:cNvPr id="21508" name="Picture 1">
          <a:extLst>
            <a:ext uri="{FF2B5EF4-FFF2-40B4-BE49-F238E27FC236}">
              <a16:creationId xmlns:a16="http://schemas.microsoft.com/office/drawing/2014/main" id="{579FA750-D42C-A21E-0773-0F704F7E18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85725"/>
          <a:ext cx="4476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514350</xdr:colOff>
      <xdr:row>0</xdr:row>
      <xdr:rowOff>47625</xdr:rowOff>
    </xdr:from>
    <xdr:to>
      <xdr:col>1</xdr:col>
      <xdr:colOff>990600</xdr:colOff>
      <xdr:row>3</xdr:row>
      <xdr:rowOff>57150</xdr:rowOff>
    </xdr:to>
    <xdr:pic>
      <xdr:nvPicPr>
        <xdr:cNvPr id="22532" name="Picture 1_0">
          <a:extLst>
            <a:ext uri="{FF2B5EF4-FFF2-40B4-BE49-F238E27FC236}">
              <a16:creationId xmlns:a16="http://schemas.microsoft.com/office/drawing/2014/main" id="{1A06A40F-5795-6AD7-2EA9-837816E2D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47625"/>
          <a:ext cx="476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304800</xdr:colOff>
      <xdr:row>0</xdr:row>
      <xdr:rowOff>47625</xdr:rowOff>
    </xdr:from>
    <xdr:to>
      <xdr:col>1</xdr:col>
      <xdr:colOff>771525</xdr:colOff>
      <xdr:row>3</xdr:row>
      <xdr:rowOff>66675</xdr:rowOff>
    </xdr:to>
    <xdr:pic>
      <xdr:nvPicPr>
        <xdr:cNvPr id="23556" name="Picture 1">
          <a:extLst>
            <a:ext uri="{FF2B5EF4-FFF2-40B4-BE49-F238E27FC236}">
              <a16:creationId xmlns:a16="http://schemas.microsoft.com/office/drawing/2014/main" id="{B98ABB0D-44EB-B4FB-5B6D-8288E3474F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47625"/>
          <a:ext cx="4667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542925</xdr:colOff>
      <xdr:row>0</xdr:row>
      <xdr:rowOff>38100</xdr:rowOff>
    </xdr:from>
    <xdr:to>
      <xdr:col>1</xdr:col>
      <xdr:colOff>1038225</xdr:colOff>
      <xdr:row>3</xdr:row>
      <xdr:rowOff>76200</xdr:rowOff>
    </xdr:to>
    <xdr:pic>
      <xdr:nvPicPr>
        <xdr:cNvPr id="24580" name="Figura 2">
          <a:extLst>
            <a:ext uri="{FF2B5EF4-FFF2-40B4-BE49-F238E27FC236}">
              <a16:creationId xmlns:a16="http://schemas.microsoft.com/office/drawing/2014/main" id="{1D2C978A-DE5E-A0E9-FD3C-F75FB7023E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38100"/>
          <a:ext cx="4953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361950</xdr:colOff>
      <xdr:row>0</xdr:row>
      <xdr:rowOff>47625</xdr:rowOff>
    </xdr:from>
    <xdr:to>
      <xdr:col>1</xdr:col>
      <xdr:colOff>828675</xdr:colOff>
      <xdr:row>3</xdr:row>
      <xdr:rowOff>57150</xdr:rowOff>
    </xdr:to>
    <xdr:pic>
      <xdr:nvPicPr>
        <xdr:cNvPr id="25604" name="Picture 1">
          <a:extLst>
            <a:ext uri="{FF2B5EF4-FFF2-40B4-BE49-F238E27FC236}">
              <a16:creationId xmlns:a16="http://schemas.microsoft.com/office/drawing/2014/main" id="{14AFD181-67E8-47E3-94E3-09F5CC9C90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47625"/>
          <a:ext cx="4667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485775</xdr:colOff>
      <xdr:row>0</xdr:row>
      <xdr:rowOff>47625</xdr:rowOff>
    </xdr:from>
    <xdr:to>
      <xdr:col>1</xdr:col>
      <xdr:colOff>952500</xdr:colOff>
      <xdr:row>3</xdr:row>
      <xdr:rowOff>66675</xdr:rowOff>
    </xdr:to>
    <xdr:pic>
      <xdr:nvPicPr>
        <xdr:cNvPr id="26628" name="Picture 1">
          <a:extLst>
            <a:ext uri="{FF2B5EF4-FFF2-40B4-BE49-F238E27FC236}">
              <a16:creationId xmlns:a16="http://schemas.microsoft.com/office/drawing/2014/main" id="{647FD292-E7E8-2115-E4B8-0615D0E9C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47625"/>
          <a:ext cx="4667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485775</xdr:colOff>
      <xdr:row>0</xdr:row>
      <xdr:rowOff>47625</xdr:rowOff>
    </xdr:from>
    <xdr:to>
      <xdr:col>1</xdr:col>
      <xdr:colOff>990600</xdr:colOff>
      <xdr:row>3</xdr:row>
      <xdr:rowOff>104775</xdr:rowOff>
    </xdr:to>
    <xdr:pic>
      <xdr:nvPicPr>
        <xdr:cNvPr id="27652" name="Picture 1">
          <a:extLst>
            <a:ext uri="{FF2B5EF4-FFF2-40B4-BE49-F238E27FC236}">
              <a16:creationId xmlns:a16="http://schemas.microsoft.com/office/drawing/2014/main" id="{339F4916-E68E-51EE-C6F4-950F25AEB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47625"/>
          <a:ext cx="504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514350</xdr:colOff>
      <xdr:row>0</xdr:row>
      <xdr:rowOff>47625</xdr:rowOff>
    </xdr:from>
    <xdr:to>
      <xdr:col>1</xdr:col>
      <xdr:colOff>1009650</xdr:colOff>
      <xdr:row>3</xdr:row>
      <xdr:rowOff>85725</xdr:rowOff>
    </xdr:to>
    <xdr:pic>
      <xdr:nvPicPr>
        <xdr:cNvPr id="28676" name="Picture 1">
          <a:extLst>
            <a:ext uri="{FF2B5EF4-FFF2-40B4-BE49-F238E27FC236}">
              <a16:creationId xmlns:a16="http://schemas.microsoft.com/office/drawing/2014/main" id="{0E294116-5BF7-037A-F01E-47C0FB18E9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47625"/>
          <a:ext cx="4953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485775</xdr:colOff>
      <xdr:row>0</xdr:row>
      <xdr:rowOff>47625</xdr:rowOff>
    </xdr:from>
    <xdr:to>
      <xdr:col>1</xdr:col>
      <xdr:colOff>990600</xdr:colOff>
      <xdr:row>3</xdr:row>
      <xdr:rowOff>104775</xdr:rowOff>
    </xdr:to>
    <xdr:pic>
      <xdr:nvPicPr>
        <xdr:cNvPr id="29700" name="Picture 2">
          <a:extLst>
            <a:ext uri="{FF2B5EF4-FFF2-40B4-BE49-F238E27FC236}">
              <a16:creationId xmlns:a16="http://schemas.microsoft.com/office/drawing/2014/main" id="{2D791454-011B-DCD7-6404-53160B1E47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47625"/>
          <a:ext cx="504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0</xdr:row>
      <xdr:rowOff>142875</xdr:rowOff>
    </xdr:from>
    <xdr:to>
      <xdr:col>1</xdr:col>
      <xdr:colOff>1038225</xdr:colOff>
      <xdr:row>5</xdr:row>
      <xdr:rowOff>19050</xdr:rowOff>
    </xdr:to>
    <xdr:pic>
      <xdr:nvPicPr>
        <xdr:cNvPr id="3076" name="Picture 1">
          <a:extLst>
            <a:ext uri="{FF2B5EF4-FFF2-40B4-BE49-F238E27FC236}">
              <a16:creationId xmlns:a16="http://schemas.microsoft.com/office/drawing/2014/main" id="{944B742F-EE15-CEBC-BB71-A53E6A6E62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04775"/>
          <a:ext cx="5905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514350</xdr:colOff>
      <xdr:row>0</xdr:row>
      <xdr:rowOff>47625</xdr:rowOff>
    </xdr:from>
    <xdr:to>
      <xdr:col>1</xdr:col>
      <xdr:colOff>1019175</xdr:colOff>
      <xdr:row>3</xdr:row>
      <xdr:rowOff>95250</xdr:rowOff>
    </xdr:to>
    <xdr:pic>
      <xdr:nvPicPr>
        <xdr:cNvPr id="30724" name="Picture 3">
          <a:extLst>
            <a:ext uri="{FF2B5EF4-FFF2-40B4-BE49-F238E27FC236}">
              <a16:creationId xmlns:a16="http://schemas.microsoft.com/office/drawing/2014/main" id="{4B02930E-31AA-C5AC-C57F-5BD35E57E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47625"/>
          <a:ext cx="5048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571500</xdr:colOff>
      <xdr:row>0</xdr:row>
      <xdr:rowOff>47625</xdr:rowOff>
    </xdr:from>
    <xdr:to>
      <xdr:col>1</xdr:col>
      <xdr:colOff>1047750</xdr:colOff>
      <xdr:row>3</xdr:row>
      <xdr:rowOff>66675</xdr:rowOff>
    </xdr:to>
    <xdr:pic>
      <xdr:nvPicPr>
        <xdr:cNvPr id="31748" name="Picture 1">
          <a:extLst>
            <a:ext uri="{FF2B5EF4-FFF2-40B4-BE49-F238E27FC236}">
              <a16:creationId xmlns:a16="http://schemas.microsoft.com/office/drawing/2014/main" id="{BFF7D37F-E511-2831-DFF0-9B72BEFB9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47625"/>
          <a:ext cx="4762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447675</xdr:colOff>
      <xdr:row>0</xdr:row>
      <xdr:rowOff>47625</xdr:rowOff>
    </xdr:from>
    <xdr:to>
      <xdr:col>1</xdr:col>
      <xdr:colOff>962025</xdr:colOff>
      <xdr:row>3</xdr:row>
      <xdr:rowOff>95250</xdr:rowOff>
    </xdr:to>
    <xdr:pic>
      <xdr:nvPicPr>
        <xdr:cNvPr id="32772" name="Picture 1">
          <a:extLst>
            <a:ext uri="{FF2B5EF4-FFF2-40B4-BE49-F238E27FC236}">
              <a16:creationId xmlns:a16="http://schemas.microsoft.com/office/drawing/2014/main" id="{DB3EC331-9B7D-8EDF-7AC4-0FF46B957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47625"/>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447675</xdr:colOff>
      <xdr:row>0</xdr:row>
      <xdr:rowOff>47625</xdr:rowOff>
    </xdr:from>
    <xdr:to>
      <xdr:col>1</xdr:col>
      <xdr:colOff>962025</xdr:colOff>
      <xdr:row>3</xdr:row>
      <xdr:rowOff>114300</xdr:rowOff>
    </xdr:to>
    <xdr:pic>
      <xdr:nvPicPr>
        <xdr:cNvPr id="33796" name="Picture 1">
          <a:extLst>
            <a:ext uri="{FF2B5EF4-FFF2-40B4-BE49-F238E27FC236}">
              <a16:creationId xmlns:a16="http://schemas.microsoft.com/office/drawing/2014/main" id="{7B0DF3DF-0F93-C3A5-13F2-314F90816C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47625"/>
          <a:ext cx="5143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447675</xdr:colOff>
      <xdr:row>0</xdr:row>
      <xdr:rowOff>47625</xdr:rowOff>
    </xdr:from>
    <xdr:to>
      <xdr:col>1</xdr:col>
      <xdr:colOff>952500</xdr:colOff>
      <xdr:row>3</xdr:row>
      <xdr:rowOff>95250</xdr:rowOff>
    </xdr:to>
    <xdr:pic>
      <xdr:nvPicPr>
        <xdr:cNvPr id="34820" name="Picture 1">
          <a:extLst>
            <a:ext uri="{FF2B5EF4-FFF2-40B4-BE49-F238E27FC236}">
              <a16:creationId xmlns:a16="http://schemas.microsoft.com/office/drawing/2014/main" id="{5B7AF079-7758-BF71-FEAC-879EC75C10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47625"/>
          <a:ext cx="5048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542925</xdr:colOff>
      <xdr:row>0</xdr:row>
      <xdr:rowOff>47625</xdr:rowOff>
    </xdr:from>
    <xdr:to>
      <xdr:col>1</xdr:col>
      <xdr:colOff>1028700</xdr:colOff>
      <xdr:row>3</xdr:row>
      <xdr:rowOff>76200</xdr:rowOff>
    </xdr:to>
    <xdr:pic>
      <xdr:nvPicPr>
        <xdr:cNvPr id="35844" name="Picture 2">
          <a:extLst>
            <a:ext uri="{FF2B5EF4-FFF2-40B4-BE49-F238E27FC236}">
              <a16:creationId xmlns:a16="http://schemas.microsoft.com/office/drawing/2014/main" id="{ACC728D9-94DA-15BE-3856-F8C4465C0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5" y="47625"/>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447675</xdr:colOff>
      <xdr:row>0</xdr:row>
      <xdr:rowOff>47625</xdr:rowOff>
    </xdr:from>
    <xdr:to>
      <xdr:col>1</xdr:col>
      <xdr:colOff>952500</xdr:colOff>
      <xdr:row>3</xdr:row>
      <xdr:rowOff>95250</xdr:rowOff>
    </xdr:to>
    <xdr:pic>
      <xdr:nvPicPr>
        <xdr:cNvPr id="36868" name="Picture 2">
          <a:extLst>
            <a:ext uri="{FF2B5EF4-FFF2-40B4-BE49-F238E27FC236}">
              <a16:creationId xmlns:a16="http://schemas.microsoft.com/office/drawing/2014/main" id="{395C25A3-1222-BE70-7088-D80F114858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47625"/>
          <a:ext cx="5048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857250</xdr:colOff>
      <xdr:row>0</xdr:row>
      <xdr:rowOff>76200</xdr:rowOff>
    </xdr:from>
    <xdr:to>
      <xdr:col>1</xdr:col>
      <xdr:colOff>1343025</xdr:colOff>
      <xdr:row>3</xdr:row>
      <xdr:rowOff>104775</xdr:rowOff>
    </xdr:to>
    <xdr:pic>
      <xdr:nvPicPr>
        <xdr:cNvPr id="37892" name="Picture 1">
          <a:extLst>
            <a:ext uri="{FF2B5EF4-FFF2-40B4-BE49-F238E27FC236}">
              <a16:creationId xmlns:a16="http://schemas.microsoft.com/office/drawing/2014/main" id="{4B0B6E86-CCA7-74B4-62F0-A17BE8E72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3025" y="7620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942975</xdr:colOff>
      <xdr:row>0</xdr:row>
      <xdr:rowOff>133350</xdr:rowOff>
    </xdr:from>
    <xdr:to>
      <xdr:col>1</xdr:col>
      <xdr:colOff>1533525</xdr:colOff>
      <xdr:row>5</xdr:row>
      <xdr:rowOff>19050</xdr:rowOff>
    </xdr:to>
    <xdr:pic>
      <xdr:nvPicPr>
        <xdr:cNvPr id="4100" name="Picture 1">
          <a:extLst>
            <a:ext uri="{FF2B5EF4-FFF2-40B4-BE49-F238E27FC236}">
              <a16:creationId xmlns:a16="http://schemas.microsoft.com/office/drawing/2014/main" id="{3CF34332-C55D-FD32-5D4C-83C98B088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6375" y="133350"/>
          <a:ext cx="5905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762000</xdr:colOff>
      <xdr:row>0</xdr:row>
      <xdr:rowOff>57150</xdr:rowOff>
    </xdr:from>
    <xdr:to>
      <xdr:col>1</xdr:col>
      <xdr:colOff>1495425</xdr:colOff>
      <xdr:row>3</xdr:row>
      <xdr:rowOff>133350</xdr:rowOff>
    </xdr:to>
    <xdr:pic>
      <xdr:nvPicPr>
        <xdr:cNvPr id="5124" name="Figura 1">
          <a:extLst>
            <a:ext uri="{FF2B5EF4-FFF2-40B4-BE49-F238E27FC236}">
              <a16:creationId xmlns:a16="http://schemas.microsoft.com/office/drawing/2014/main" id="{B81CB363-40FE-261D-2125-432621DC1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 y="57150"/>
          <a:ext cx="7334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1152525</xdr:colOff>
      <xdr:row>0</xdr:row>
      <xdr:rowOff>47625</xdr:rowOff>
    </xdr:from>
    <xdr:to>
      <xdr:col>0</xdr:col>
      <xdr:colOff>1771650</xdr:colOff>
      <xdr:row>4</xdr:row>
      <xdr:rowOff>142875</xdr:rowOff>
    </xdr:to>
    <xdr:pic>
      <xdr:nvPicPr>
        <xdr:cNvPr id="6149" name="Picture 1">
          <a:extLst>
            <a:ext uri="{FF2B5EF4-FFF2-40B4-BE49-F238E27FC236}">
              <a16:creationId xmlns:a16="http://schemas.microsoft.com/office/drawing/2014/main" id="{2D0636AF-3157-0458-87FA-A5D475DE5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476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1209675</xdr:colOff>
      <xdr:row>0</xdr:row>
      <xdr:rowOff>114300</xdr:rowOff>
    </xdr:from>
    <xdr:to>
      <xdr:col>1</xdr:col>
      <xdr:colOff>1790700</xdr:colOff>
      <xdr:row>4</xdr:row>
      <xdr:rowOff>104775</xdr:rowOff>
    </xdr:to>
    <xdr:pic>
      <xdr:nvPicPr>
        <xdr:cNvPr id="7173" name="Picture 1">
          <a:extLst>
            <a:ext uri="{FF2B5EF4-FFF2-40B4-BE49-F238E27FC236}">
              <a16:creationId xmlns:a16="http://schemas.microsoft.com/office/drawing/2014/main" id="{09886B57-E0F5-1F84-D6CA-F6FB06DE10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114300"/>
          <a:ext cx="5810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0</xdr:row>
      <xdr:rowOff>171450</xdr:rowOff>
    </xdr:from>
    <xdr:to>
      <xdr:col>0</xdr:col>
      <xdr:colOff>647700</xdr:colOff>
      <xdr:row>3</xdr:row>
      <xdr:rowOff>19050</xdr:rowOff>
    </xdr:to>
    <xdr:pic>
      <xdr:nvPicPr>
        <xdr:cNvPr id="8196" name="Imagem 1">
          <a:extLst>
            <a:ext uri="{FF2B5EF4-FFF2-40B4-BE49-F238E27FC236}">
              <a16:creationId xmlns:a16="http://schemas.microsoft.com/office/drawing/2014/main" id="{51F85EBB-5DDB-1105-91C0-985DDFC0D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71450"/>
          <a:ext cx="3905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95250</xdr:rowOff>
    </xdr:from>
    <xdr:to>
      <xdr:col>0</xdr:col>
      <xdr:colOff>838200</xdr:colOff>
      <xdr:row>3</xdr:row>
      <xdr:rowOff>123825</xdr:rowOff>
    </xdr:to>
    <xdr:pic>
      <xdr:nvPicPr>
        <xdr:cNvPr id="9220" name="Imagem 1">
          <a:extLst>
            <a:ext uri="{FF2B5EF4-FFF2-40B4-BE49-F238E27FC236}">
              <a16:creationId xmlns:a16="http://schemas.microsoft.com/office/drawing/2014/main" id="{C85E615B-552F-25CF-9E1E-937776152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95250"/>
          <a:ext cx="4857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1AD71-4C15-4BDF-9077-2838D852E865}">
  <sheetPr>
    <tabColor rgb="FFFFCCCC"/>
    <pageSetUpPr fitToPage="1"/>
  </sheetPr>
  <dimension ref="A1:Y182"/>
  <sheetViews>
    <sheetView zoomScaleNormal="100" workbookViewId="0">
      <selection activeCell="E198" sqref="E198"/>
    </sheetView>
  </sheetViews>
  <sheetFormatPr defaultRowHeight="15" customHeight="1" x14ac:dyDescent="0.25"/>
  <cols>
    <col min="1" max="1" width="7.33203125" style="4" customWidth="1"/>
    <col min="2" max="2" width="48.33203125" style="4" customWidth="1"/>
    <col min="3" max="3" width="15.6640625" style="4" customWidth="1"/>
    <col min="4" max="4" width="19" style="4" customWidth="1"/>
    <col min="5" max="5" width="18.83203125" style="4" customWidth="1"/>
    <col min="6" max="8" width="19" style="4" customWidth="1"/>
    <col min="9" max="9" width="15.5" style="4" customWidth="1"/>
    <col min="10" max="11" width="19" style="4" customWidth="1"/>
    <col min="12" max="15" width="16.1640625" style="5" customWidth="1"/>
    <col min="16" max="16" width="15.1640625" style="5" customWidth="1"/>
    <col min="17" max="17" width="15.83203125" style="4" customWidth="1"/>
    <col min="18" max="18" width="18.33203125" style="4" customWidth="1"/>
    <col min="19" max="19" width="16.5" style="4" customWidth="1"/>
    <col min="20" max="20" width="14" style="4" customWidth="1"/>
    <col min="21" max="21" width="15.1640625" style="6" customWidth="1"/>
    <col min="22" max="22" width="16.83203125" style="6" customWidth="1"/>
    <col min="23" max="23" width="18.6640625" style="6" customWidth="1"/>
    <col min="24" max="25" width="12.33203125" style="6" customWidth="1"/>
    <col min="26" max="16384" width="9.33203125" style="4"/>
  </cols>
  <sheetData>
    <row r="1" spans="1:23" x14ac:dyDescent="0.25">
      <c r="A1" s="908"/>
      <c r="B1" s="909"/>
      <c r="C1" s="910" t="s">
        <v>0</v>
      </c>
      <c r="D1" s="911"/>
      <c r="E1" s="911"/>
      <c r="F1" s="911"/>
      <c r="G1" s="911"/>
      <c r="H1" s="911"/>
      <c r="I1" s="909"/>
      <c r="J1" s="909"/>
      <c r="K1" s="909"/>
      <c r="L1" s="912"/>
      <c r="M1" s="912"/>
      <c r="N1" s="912"/>
      <c r="O1" s="912"/>
      <c r="P1" s="912"/>
      <c r="Q1" s="909"/>
      <c r="R1" s="909"/>
      <c r="S1" s="909"/>
      <c r="T1" s="909"/>
      <c r="U1" s="913"/>
      <c r="V1" s="914"/>
      <c r="W1" s="902"/>
    </row>
    <row r="2" spans="1:23" x14ac:dyDescent="0.25">
      <c r="A2" s="915"/>
      <c r="B2" s="901"/>
      <c r="C2" s="884" t="s">
        <v>1</v>
      </c>
      <c r="D2" s="916"/>
      <c r="E2" s="916"/>
      <c r="F2" s="916"/>
      <c r="G2" s="916"/>
      <c r="H2" s="916"/>
      <c r="I2" s="901"/>
      <c r="J2" s="901"/>
      <c r="K2" s="901"/>
      <c r="L2" s="900"/>
      <c r="M2" s="900"/>
      <c r="N2" s="900"/>
      <c r="O2" s="900"/>
      <c r="P2" s="900"/>
      <c r="Q2" s="901"/>
      <c r="R2" s="901"/>
      <c r="S2" s="901"/>
      <c r="T2" s="901"/>
      <c r="U2" s="902"/>
      <c r="V2" s="917"/>
      <c r="W2" s="902"/>
    </row>
    <row r="3" spans="1:23" x14ac:dyDescent="0.25">
      <c r="A3" s="915"/>
      <c r="B3" s="901"/>
      <c r="C3" s="884" t="s">
        <v>2</v>
      </c>
      <c r="D3" s="916"/>
      <c r="E3" s="916"/>
      <c r="F3" s="916"/>
      <c r="G3" s="916"/>
      <c r="H3" s="916"/>
      <c r="I3" s="901"/>
      <c r="J3" s="901"/>
      <c r="K3" s="901"/>
      <c r="L3" s="900"/>
      <c r="M3" s="900"/>
      <c r="N3" s="900"/>
      <c r="O3" s="900"/>
      <c r="P3" s="900"/>
      <c r="Q3" s="901"/>
      <c r="R3" s="901"/>
      <c r="S3" s="901"/>
      <c r="T3" s="901"/>
      <c r="U3" s="902"/>
      <c r="V3" s="917"/>
      <c r="W3" s="902"/>
    </row>
    <row r="4" spans="1:23" s="8" customFormat="1" ht="23.25" customHeight="1" x14ac:dyDescent="0.2">
      <c r="A4" s="1234" t="s">
        <v>3</v>
      </c>
      <c r="B4" s="1235"/>
      <c r="C4" s="1235"/>
      <c r="D4" s="1235"/>
      <c r="E4" s="1235"/>
      <c r="F4" s="1235"/>
      <c r="G4" s="1235"/>
      <c r="H4" s="1235"/>
      <c r="I4" s="1235"/>
      <c r="J4" s="1235"/>
      <c r="K4" s="1235"/>
      <c r="L4" s="1235"/>
      <c r="M4" s="1235"/>
      <c r="N4" s="1235"/>
      <c r="O4" s="1235"/>
      <c r="P4" s="1235"/>
      <c r="Q4" s="1235"/>
      <c r="R4" s="1235"/>
      <c r="S4" s="1235"/>
      <c r="T4" s="1235"/>
      <c r="U4" s="1235"/>
      <c r="V4" s="1236"/>
      <c r="W4" s="907"/>
    </row>
    <row r="5" spans="1:23" s="8" customFormat="1" ht="18.75" hidden="1" customHeight="1" x14ac:dyDescent="0.2">
      <c r="A5" s="1237" t="s">
        <v>4</v>
      </c>
      <c r="B5" s="1238"/>
      <c r="C5" s="1238"/>
      <c r="D5" s="1238"/>
      <c r="E5" s="1238"/>
      <c r="F5" s="1238"/>
      <c r="G5" s="1238"/>
      <c r="H5" s="1238"/>
      <c r="I5" s="1238"/>
      <c r="J5" s="1238"/>
      <c r="K5" s="1238"/>
      <c r="L5" s="1238"/>
      <c r="M5" s="1238"/>
      <c r="N5" s="1238"/>
      <c r="O5" s="1238"/>
      <c r="P5" s="1238"/>
      <c r="Q5" s="1238"/>
      <c r="R5" s="1238"/>
      <c r="S5" s="1238"/>
      <c r="T5" s="1238"/>
      <c r="U5" s="1238"/>
      <c r="V5" s="1239"/>
      <c r="W5" s="907"/>
    </row>
    <row r="6" spans="1:23" s="8" customFormat="1" ht="23.25" hidden="1" x14ac:dyDescent="0.2">
      <c r="A6" s="903"/>
      <c r="B6" s="903"/>
      <c r="C6" s="903"/>
      <c r="D6" s="903"/>
      <c r="E6" s="903"/>
      <c r="F6" s="903"/>
      <c r="G6" s="903"/>
      <c r="H6" s="903"/>
      <c r="I6" s="903"/>
      <c r="J6" s="903"/>
      <c r="K6" s="903"/>
      <c r="L6" s="903"/>
      <c r="M6" s="903"/>
      <c r="N6" s="903"/>
      <c r="O6" s="903"/>
      <c r="P6" s="903"/>
      <c r="Q6" s="903"/>
      <c r="R6" s="904"/>
      <c r="S6" s="905"/>
      <c r="T6" s="905"/>
      <c r="U6" s="906"/>
      <c r="V6" s="906"/>
      <c r="W6" s="906"/>
    </row>
    <row r="7" spans="1:23" s="8" customFormat="1" ht="30.75" hidden="1" customHeight="1" x14ac:dyDescent="0.2">
      <c r="A7" s="1240" t="s">
        <v>5</v>
      </c>
      <c r="B7" s="1240"/>
      <c r="C7" s="1240"/>
      <c r="D7" s="3" t="s">
        <v>6</v>
      </c>
      <c r="E7" s="9">
        <f>VLOOKUP(D7,B160:C163,2,FALSE())</f>
        <v>30</v>
      </c>
      <c r="F7" s="918" t="str">
        <f>VLOOKUP(D7,B161:D163,3,FALSE())</f>
        <v>Obs: Desconto atualmente aplicado (30 dias corridos).</v>
      </c>
      <c r="G7" s="918"/>
      <c r="H7" s="918"/>
      <c r="I7" s="918"/>
      <c r="J7" s="918"/>
      <c r="K7" s="903"/>
      <c r="L7" s="903"/>
      <c r="M7" s="903"/>
      <c r="N7" s="903"/>
      <c r="O7" s="903"/>
      <c r="P7" s="903"/>
      <c r="Q7" s="903"/>
      <c r="R7" s="904"/>
      <c r="S7" s="905"/>
      <c r="T7" s="906"/>
      <c r="U7" s="906"/>
      <c r="V7" s="906"/>
    </row>
    <row r="8" spans="1:23" s="8" customFormat="1" ht="9" hidden="1" customHeight="1" thickBot="1" x14ac:dyDescent="0.25">
      <c r="A8" s="903"/>
      <c r="B8" s="903"/>
      <c r="C8" s="903"/>
      <c r="D8" s="903"/>
      <c r="E8" s="903"/>
      <c r="F8" s="903"/>
      <c r="G8" s="903"/>
      <c r="H8" s="903"/>
      <c r="I8" s="903"/>
      <c r="J8" s="903"/>
      <c r="K8" s="903"/>
      <c r="L8" s="903"/>
      <c r="M8" s="903"/>
      <c r="N8" s="903"/>
      <c r="O8" s="903"/>
      <c r="P8" s="903"/>
      <c r="Q8" s="903"/>
      <c r="R8" s="904"/>
      <c r="S8" s="905"/>
      <c r="T8" s="906"/>
      <c r="U8" s="906"/>
      <c r="V8" s="906"/>
    </row>
    <row r="9" spans="1:23" s="8" customFormat="1" ht="45" hidden="1" customHeight="1" thickBot="1" x14ac:dyDescent="0.25">
      <c r="A9" s="1213" t="s">
        <v>7</v>
      </c>
      <c r="B9" s="1213"/>
      <c r="C9" s="1213"/>
      <c r="D9" s="1214" t="s">
        <v>8</v>
      </c>
      <c r="E9" s="1214" t="s">
        <v>9</v>
      </c>
      <c r="F9" s="1214" t="s">
        <v>10</v>
      </c>
      <c r="G9" s="1214" t="s">
        <v>11</v>
      </c>
      <c r="H9" s="1214" t="s">
        <v>12</v>
      </c>
      <c r="I9" s="1214" t="s">
        <v>13</v>
      </c>
      <c r="J9" s="1214" t="s">
        <v>14</v>
      </c>
      <c r="K9" s="1214" t="s">
        <v>15</v>
      </c>
      <c r="L9" s="1214" t="s">
        <v>16</v>
      </c>
      <c r="M9" s="1214" t="s">
        <v>17</v>
      </c>
      <c r="N9" s="1212" t="s">
        <v>18</v>
      </c>
      <c r="O9" s="1214" t="s">
        <v>19</v>
      </c>
      <c r="P9" s="1214" t="s">
        <v>20</v>
      </c>
      <c r="Q9" s="1214" t="s">
        <v>21</v>
      </c>
      <c r="R9" s="1214" t="s">
        <v>22</v>
      </c>
      <c r="S9" s="1218" t="s">
        <v>23</v>
      </c>
      <c r="T9" s="1241" t="s">
        <v>24</v>
      </c>
      <c r="U9" s="1241"/>
      <c r="V9" s="1241"/>
    </row>
    <row r="10" spans="1:23" s="8" customFormat="1" ht="45" hidden="1" customHeight="1" thickBot="1" x14ac:dyDescent="0.25">
      <c r="A10" s="1213"/>
      <c r="B10" s="1213"/>
      <c r="C10" s="1213"/>
      <c r="D10" s="1214"/>
      <c r="E10" s="1214"/>
      <c r="F10" s="1214"/>
      <c r="G10" s="1214"/>
      <c r="H10" s="1214"/>
      <c r="I10" s="1214"/>
      <c r="J10" s="1214"/>
      <c r="K10" s="1214"/>
      <c r="L10" s="1214"/>
      <c r="M10" s="1214"/>
      <c r="N10" s="1212"/>
      <c r="O10" s="1214"/>
      <c r="P10" s="1214"/>
      <c r="Q10" s="1214"/>
      <c r="R10" s="1214"/>
      <c r="S10" s="1218"/>
      <c r="T10" s="1241"/>
      <c r="U10" s="1241"/>
      <c r="V10" s="1241"/>
    </row>
    <row r="11" spans="1:23" s="8" customFormat="1" ht="47.25" hidden="1" customHeight="1" thickBot="1" x14ac:dyDescent="0.25">
      <c r="A11" s="1213"/>
      <c r="B11" s="1213"/>
      <c r="C11" s="1213"/>
      <c r="D11" s="1214"/>
      <c r="E11" s="1214"/>
      <c r="F11" s="1214"/>
      <c r="G11" s="1214"/>
      <c r="H11" s="1214"/>
      <c r="I11" s="1214"/>
      <c r="J11" s="1214"/>
      <c r="K11" s="1214"/>
      <c r="L11" s="1214"/>
      <c r="M11" s="1214"/>
      <c r="N11" s="1212"/>
      <c r="O11" s="1214"/>
      <c r="P11" s="1214"/>
      <c r="Q11" s="1214"/>
      <c r="R11" s="1214"/>
      <c r="S11" s="1218"/>
      <c r="T11" s="1241"/>
      <c r="U11" s="1241"/>
      <c r="V11" s="1241"/>
    </row>
    <row r="12" spans="1:23" s="8" customFormat="1" ht="69" hidden="1" customHeight="1" x14ac:dyDescent="0.2">
      <c r="A12" s="10" t="s">
        <v>25</v>
      </c>
      <c r="B12" s="1" t="s">
        <v>26</v>
      </c>
      <c r="C12" s="1" t="s">
        <v>27</v>
      </c>
      <c r="D12" s="1" t="s">
        <v>28</v>
      </c>
      <c r="E12" s="1" t="s">
        <v>29</v>
      </c>
      <c r="F12" s="1" t="s">
        <v>30</v>
      </c>
      <c r="G12" s="1" t="s">
        <v>31</v>
      </c>
      <c r="H12" s="1" t="s">
        <v>32</v>
      </c>
      <c r="I12" s="1" t="s">
        <v>33</v>
      </c>
      <c r="J12" s="1" t="s">
        <v>34</v>
      </c>
      <c r="K12" s="1" t="s">
        <v>34</v>
      </c>
      <c r="L12" s="1" t="s">
        <v>35</v>
      </c>
      <c r="M12" s="1" t="s">
        <v>36</v>
      </c>
      <c r="N12" s="1036" t="s">
        <v>37</v>
      </c>
      <c r="O12" s="1" t="s">
        <v>38</v>
      </c>
      <c r="P12" s="1" t="s">
        <v>39</v>
      </c>
      <c r="Q12" s="1" t="s">
        <v>40</v>
      </c>
      <c r="R12" s="1" t="s">
        <v>41</v>
      </c>
      <c r="S12" s="11" t="s">
        <v>42</v>
      </c>
      <c r="T12" s="12" t="s">
        <v>43</v>
      </c>
      <c r="U12" s="11" t="s">
        <v>44</v>
      </c>
      <c r="V12" s="13" t="s">
        <v>45</v>
      </c>
    </row>
    <row r="13" spans="1:23" s="8" customFormat="1" ht="18" hidden="1" customHeight="1" x14ac:dyDescent="0.2">
      <c r="A13" s="14">
        <f>Dados!D11</f>
        <v>1</v>
      </c>
      <c r="B13" s="15" t="str">
        <f>'Resumo_1.1'!B13</f>
        <v>Engenheiro de Manutenção (Pleno)</v>
      </c>
      <c r="C13" s="16">
        <f>'Resumo_1.1'!C13</f>
        <v>220</v>
      </c>
      <c r="D13" s="17">
        <v>0</v>
      </c>
      <c r="E13" s="16" t="s">
        <v>46</v>
      </c>
      <c r="F13" s="16">
        <f>IF(E13="NÃO",0,D13*Dados!$G$47)</f>
        <v>0</v>
      </c>
      <c r="G13" s="17">
        <v>0</v>
      </c>
      <c r="H13" s="17">
        <v>0</v>
      </c>
      <c r="I13" s="18">
        <v>0</v>
      </c>
      <c r="J13" s="17">
        <v>0</v>
      </c>
      <c r="K13" s="19">
        <f t="shared" ref="K13:K28" si="0">I13+J13</f>
        <v>0</v>
      </c>
      <c r="L13" s="17">
        <v>0</v>
      </c>
      <c r="M13" s="17">
        <v>0</v>
      </c>
      <c r="N13" s="17">
        <v>0</v>
      </c>
      <c r="O13" s="20"/>
      <c r="P13" s="21">
        <f>'Resumo_1.1'!V13</f>
        <v>0</v>
      </c>
      <c r="Q13" s="20"/>
      <c r="R13" s="21">
        <f>'Resumo_1.1'!W13</f>
        <v>29342.02</v>
      </c>
      <c r="S13" s="14">
        <v>4</v>
      </c>
      <c r="T13" s="22">
        <f>ROUND((Encargos!$H$60*Dados!N11*A13),2)</f>
        <v>4423.75</v>
      </c>
      <c r="U13" s="23" t="s">
        <v>47</v>
      </c>
      <c r="V13" s="21">
        <f>SUMIF($S$13:$S$28,1,$R$13:$R$28)</f>
        <v>0</v>
      </c>
    </row>
    <row r="14" spans="1:23" s="8" customFormat="1" ht="18" hidden="1" customHeight="1" x14ac:dyDescent="0.2">
      <c r="A14" s="14">
        <f>Dados!D12</f>
        <v>1</v>
      </c>
      <c r="B14" s="15" t="str">
        <f>'Resumo_1.1'!B14</f>
        <v>Líder Técnico</v>
      </c>
      <c r="C14" s="16">
        <f>'Resumo_1.1'!C14</f>
        <v>220</v>
      </c>
      <c r="D14" s="17">
        <v>0</v>
      </c>
      <c r="E14" s="16" t="s">
        <v>46</v>
      </c>
      <c r="F14" s="16">
        <f>IF(E14="NÃO",0,D14*Dados!$G$47)</f>
        <v>0</v>
      </c>
      <c r="G14" s="17">
        <v>0</v>
      </c>
      <c r="H14" s="17">
        <v>0</v>
      </c>
      <c r="I14" s="18">
        <v>0</v>
      </c>
      <c r="J14" s="17">
        <v>0</v>
      </c>
      <c r="K14" s="19">
        <f t="shared" si="0"/>
        <v>0</v>
      </c>
      <c r="L14" s="17">
        <v>0</v>
      </c>
      <c r="M14" s="17">
        <v>0</v>
      </c>
      <c r="N14" s="17">
        <v>0</v>
      </c>
      <c r="O14" s="20"/>
      <c r="P14" s="21">
        <f>'Resumo_1.1'!V14</f>
        <v>0</v>
      </c>
      <c r="Q14" s="20"/>
      <c r="R14" s="21">
        <f>'Resumo_1.1'!W14</f>
        <v>18218.52</v>
      </c>
      <c r="S14" s="14">
        <v>4</v>
      </c>
      <c r="T14" s="22">
        <f>ROUND((Encargos!$H$60*Dados!N12*A14),2)</f>
        <v>2589.33</v>
      </c>
      <c r="U14" s="23" t="s">
        <v>48</v>
      </c>
      <c r="V14" s="21">
        <f>SUMIF($S$13:$S$28,2,$R$13:$R$28)</f>
        <v>0</v>
      </c>
    </row>
    <row r="15" spans="1:23" s="8" customFormat="1" ht="18" hidden="1" customHeight="1" x14ac:dyDescent="0.2">
      <c r="A15" s="14">
        <f>Dados!D15</f>
        <v>2</v>
      </c>
      <c r="B15" s="15" t="str">
        <f>'Resumo_1.1'!B15</f>
        <v>Assistente de Engenharia</v>
      </c>
      <c r="C15" s="16">
        <f>'Resumo_1.1'!C15</f>
        <v>220</v>
      </c>
      <c r="D15" s="17">
        <v>0</v>
      </c>
      <c r="E15" s="16" t="s">
        <v>46</v>
      </c>
      <c r="F15" s="16">
        <f>IF(E15="NÃO",0,D15*Dados!$G$47)</f>
        <v>0</v>
      </c>
      <c r="G15" s="17">
        <v>0</v>
      </c>
      <c r="H15" s="17">
        <v>0</v>
      </c>
      <c r="I15" s="18">
        <v>0</v>
      </c>
      <c r="J15" s="17">
        <v>0</v>
      </c>
      <c r="K15" s="19">
        <f t="shared" si="0"/>
        <v>0</v>
      </c>
      <c r="L15" s="17">
        <v>0</v>
      </c>
      <c r="M15" s="17">
        <v>0</v>
      </c>
      <c r="N15" s="17">
        <v>0</v>
      </c>
      <c r="O15" s="20"/>
      <c r="P15" s="21">
        <f>'Resumo_1.1'!V15</f>
        <v>0</v>
      </c>
      <c r="Q15" s="20"/>
      <c r="R15" s="21">
        <f>'Resumo_1.1'!W15</f>
        <v>9765.85</v>
      </c>
      <c r="S15" s="14">
        <v>4</v>
      </c>
      <c r="T15" s="22">
        <f>ROUND((Encargos!$H$60*Dados!N13*A15),2)</f>
        <v>2525.1</v>
      </c>
      <c r="U15" s="23" t="s">
        <v>49</v>
      </c>
      <c r="V15" s="21">
        <f>SUMIF($S$13:$S$28,3,$R$13:$R$28)</f>
        <v>0</v>
      </c>
    </row>
    <row r="16" spans="1:23" s="8" customFormat="1" ht="18" hidden="1" customHeight="1" x14ac:dyDescent="0.2">
      <c r="A16" s="14">
        <f>Dados!D16</f>
        <v>2</v>
      </c>
      <c r="B16" s="15" t="str">
        <f>'Resumo_1.1'!B16</f>
        <v>Técnico em Edificações</v>
      </c>
      <c r="C16" s="16">
        <f>'Resumo_1.1'!C16</f>
        <v>220</v>
      </c>
      <c r="D16" s="17">
        <v>0</v>
      </c>
      <c r="E16" s="16" t="s">
        <v>46</v>
      </c>
      <c r="F16" s="16">
        <f>IF(E16="NÃO",0,D16*Dados!$G$47)</f>
        <v>0</v>
      </c>
      <c r="G16" s="17">
        <v>0</v>
      </c>
      <c r="H16" s="17">
        <v>0</v>
      </c>
      <c r="I16" s="18">
        <v>0</v>
      </c>
      <c r="J16" s="17">
        <v>0</v>
      </c>
      <c r="K16" s="19">
        <f t="shared" si="0"/>
        <v>0</v>
      </c>
      <c r="L16" s="17">
        <v>0</v>
      </c>
      <c r="M16" s="17">
        <v>0</v>
      </c>
      <c r="N16" s="17">
        <v>0</v>
      </c>
      <c r="O16" s="20"/>
      <c r="P16" s="21">
        <f>'Resumo_1.1'!V16</f>
        <v>0</v>
      </c>
      <c r="Q16" s="20"/>
      <c r="R16" s="21">
        <f>'Resumo_1.1'!W16</f>
        <v>10873.93</v>
      </c>
      <c r="S16" s="14">
        <v>4</v>
      </c>
      <c r="T16" s="22">
        <f>ROUND((Encargos!$H$60*Dados!N14*A16),2)</f>
        <v>2869.03</v>
      </c>
      <c r="U16" s="23" t="s">
        <v>50</v>
      </c>
      <c r="V16" s="21">
        <f>SUMIF($S$13:$S$28,4,$R$13:$R$28)</f>
        <v>304651.04000000004</v>
      </c>
    </row>
    <row r="17" spans="1:23" s="8" customFormat="1" ht="29.25" hidden="1" customHeight="1" x14ac:dyDescent="0.2">
      <c r="A17" s="14">
        <f>Dados!D14</f>
        <v>1</v>
      </c>
      <c r="B17" s="15" t="str">
        <f>'Resumo_1.1'!B17</f>
        <v>Técnico Eletrotécnico (12x36 diurno) - (EPI Eletricista)</v>
      </c>
      <c r="C17" s="16">
        <f>'Resumo_1.1'!C17</f>
        <v>220</v>
      </c>
      <c r="D17" s="17">
        <v>0</v>
      </c>
      <c r="E17" s="16" t="s">
        <v>46</v>
      </c>
      <c r="F17" s="16">
        <f>IF(E17="NÃO",0,D17*Dados!$G$47)</f>
        <v>0</v>
      </c>
      <c r="G17" s="17">
        <v>0</v>
      </c>
      <c r="H17" s="17">
        <v>0</v>
      </c>
      <c r="I17" s="18">
        <v>0</v>
      </c>
      <c r="J17" s="17">
        <v>0</v>
      </c>
      <c r="K17" s="19">
        <f t="shared" si="0"/>
        <v>0</v>
      </c>
      <c r="L17" s="17">
        <v>0</v>
      </c>
      <c r="M17" s="17">
        <v>0</v>
      </c>
      <c r="N17" s="17">
        <v>0</v>
      </c>
      <c r="O17" s="20"/>
      <c r="P17" s="21">
        <f>'Resumo_1.1'!V17</f>
        <v>0</v>
      </c>
      <c r="Q17" s="20"/>
      <c r="R17" s="21">
        <f>'Resumo_1.1'!W17</f>
        <v>25521.98</v>
      </c>
      <c r="S17" s="14">
        <v>4</v>
      </c>
      <c r="T17" s="22">
        <f>ROUND((Encargos!$H$60*Dados!N15*A17),2)</f>
        <v>1771.65</v>
      </c>
      <c r="U17" s="23" t="s">
        <v>51</v>
      </c>
      <c r="V17" s="21">
        <f>SUMIF($S$13:$S$28,5,$R$13:$R$28)</f>
        <v>0</v>
      </c>
    </row>
    <row r="18" spans="1:23" s="8" customFormat="1" ht="29.25" hidden="1" customHeight="1" x14ac:dyDescent="0.2">
      <c r="A18" s="14">
        <f>Dados!D13</f>
        <v>1</v>
      </c>
      <c r="B18" s="15" t="str">
        <f>'Resumo_1.1'!B18</f>
        <v>Técnico Eletrotécnico (12x36 noturno) - (EPI Eletricista)</v>
      </c>
      <c r="C18" s="16">
        <f>'Resumo_1.1'!C18</f>
        <v>220</v>
      </c>
      <c r="D18" s="17">
        <v>0</v>
      </c>
      <c r="E18" s="16" t="s">
        <v>46</v>
      </c>
      <c r="F18" s="16">
        <f>IF(E18="NÃO",0,D18*Dados!$G$47)</f>
        <v>0</v>
      </c>
      <c r="G18" s="17">
        <v>0</v>
      </c>
      <c r="H18" s="17">
        <v>0</v>
      </c>
      <c r="I18" s="18">
        <v>0</v>
      </c>
      <c r="J18" s="17">
        <v>0</v>
      </c>
      <c r="K18" s="19">
        <f t="shared" si="0"/>
        <v>0</v>
      </c>
      <c r="L18" s="17">
        <v>0</v>
      </c>
      <c r="M18" s="17">
        <v>0</v>
      </c>
      <c r="N18" s="17">
        <v>0</v>
      </c>
      <c r="O18" s="20"/>
      <c r="P18" s="21">
        <f>'Resumo_1.1'!V18</f>
        <v>0</v>
      </c>
      <c r="Q18" s="20"/>
      <c r="R18" s="21">
        <f>'Resumo_1.1'!W18</f>
        <v>28331.24</v>
      </c>
      <c r="S18" s="14">
        <v>4</v>
      </c>
      <c r="T18" s="22">
        <f>ROUND((Encargos!$H$60*Dados!N16*A18),2)</f>
        <v>1992.53</v>
      </c>
      <c r="U18" s="23" t="s">
        <v>52</v>
      </c>
      <c r="V18" s="21">
        <f>SUMIF($S$13:$S$28,5,$R$13:$R$28)</f>
        <v>0</v>
      </c>
    </row>
    <row r="19" spans="1:23" s="8" customFormat="1" ht="18" hidden="1" customHeight="1" thickBot="1" x14ac:dyDescent="0.25">
      <c r="A19" s="14">
        <f>Dados!D21</f>
        <v>2</v>
      </c>
      <c r="B19" s="15" t="str">
        <f>'Resumo_1.1'!B19</f>
        <v>Oficial Eletricista - (EPI Eletricista)</v>
      </c>
      <c r="C19" s="16">
        <f>'Resumo_1.1'!C19</f>
        <v>220</v>
      </c>
      <c r="D19" s="17">
        <v>0</v>
      </c>
      <c r="E19" s="16" t="s">
        <v>46</v>
      </c>
      <c r="F19" s="16">
        <f>IF(E19="NÃO",0,D19*Dados!$G$47)</f>
        <v>0</v>
      </c>
      <c r="G19" s="17">
        <v>0</v>
      </c>
      <c r="H19" s="17">
        <v>0</v>
      </c>
      <c r="I19" s="18">
        <v>0</v>
      </c>
      <c r="J19" s="17">
        <v>0</v>
      </c>
      <c r="K19" s="19">
        <f t="shared" si="0"/>
        <v>0</v>
      </c>
      <c r="L19" s="17">
        <v>0</v>
      </c>
      <c r="M19" s="17">
        <v>0</v>
      </c>
      <c r="N19" s="17">
        <v>0</v>
      </c>
      <c r="O19" s="20"/>
      <c r="P19" s="21">
        <f>'Resumo_1.1'!V19</f>
        <v>0</v>
      </c>
      <c r="Q19" s="20"/>
      <c r="R19" s="21">
        <f>'Resumo_1.1'!W19</f>
        <v>27619.41</v>
      </c>
      <c r="S19" s="14">
        <v>4</v>
      </c>
      <c r="T19" s="22">
        <f>ROUND((Encargos!$H$60*Dados!N17*A19),2)</f>
        <v>2267.3200000000002</v>
      </c>
      <c r="U19" s="24"/>
      <c r="V19" s="2">
        <f>SUM(V13:V18)</f>
        <v>304651.04000000004</v>
      </c>
    </row>
    <row r="20" spans="1:23" s="8" customFormat="1" ht="18" hidden="1" customHeight="1" x14ac:dyDescent="0.2">
      <c r="A20" s="14">
        <f>Dados!D17</f>
        <v>3</v>
      </c>
      <c r="B20" s="15" t="str">
        <f>'Resumo_1.1'!B20</f>
        <v>Ajudante de Eletricista - (EPI Eletricista)</v>
      </c>
      <c r="C20" s="16">
        <f>'Resumo_1.1'!C20</f>
        <v>220</v>
      </c>
      <c r="D20" s="17">
        <v>0</v>
      </c>
      <c r="E20" s="16" t="s">
        <v>46</v>
      </c>
      <c r="F20" s="16">
        <f>IF(E20="NÃO",0,D20*Dados!$G$47)</f>
        <v>0</v>
      </c>
      <c r="G20" s="17">
        <v>0</v>
      </c>
      <c r="H20" s="17">
        <v>0</v>
      </c>
      <c r="I20" s="18">
        <v>0</v>
      </c>
      <c r="J20" s="17">
        <v>0</v>
      </c>
      <c r="K20" s="19">
        <f t="shared" si="0"/>
        <v>0</v>
      </c>
      <c r="L20" s="17">
        <v>0</v>
      </c>
      <c r="M20" s="17">
        <v>0</v>
      </c>
      <c r="N20" s="17">
        <v>0</v>
      </c>
      <c r="O20" s="20"/>
      <c r="P20" s="21">
        <f>'Resumo_1.1'!V20</f>
        <v>0</v>
      </c>
      <c r="Q20" s="20"/>
      <c r="R20" s="21">
        <f>'Resumo_1.1'!W20</f>
        <v>23982.36</v>
      </c>
      <c r="S20" s="14">
        <v>4</v>
      </c>
      <c r="T20" s="22">
        <f>ROUND((Encargos!$H$60*Dados!N18*A20),2)</f>
        <v>2851.74</v>
      </c>
      <c r="V20" s="26"/>
    </row>
    <row r="21" spans="1:23" s="8" customFormat="1" ht="18" hidden="1" customHeight="1" x14ac:dyDescent="0.2">
      <c r="A21" s="14">
        <f>Dados!D18</f>
        <v>3</v>
      </c>
      <c r="B21" s="15" t="str">
        <f>'Resumo_1.1'!B21</f>
        <v>Oficial de Manutenção - (EPI Eletricista)</v>
      </c>
      <c r="C21" s="16">
        <f>'Resumo_1.1'!C21</f>
        <v>220</v>
      </c>
      <c r="D21" s="17">
        <v>0</v>
      </c>
      <c r="E21" s="16" t="s">
        <v>46</v>
      </c>
      <c r="F21" s="16">
        <f>IF(E21="NÃO",0,D21*Dados!$G$47)</f>
        <v>0</v>
      </c>
      <c r="G21" s="17">
        <v>0</v>
      </c>
      <c r="H21" s="17">
        <v>0</v>
      </c>
      <c r="I21" s="18">
        <v>0</v>
      </c>
      <c r="J21" s="17">
        <v>0</v>
      </c>
      <c r="K21" s="19">
        <f t="shared" si="0"/>
        <v>0</v>
      </c>
      <c r="L21" s="17">
        <v>0</v>
      </c>
      <c r="M21" s="17">
        <v>0</v>
      </c>
      <c r="N21" s="17">
        <v>0</v>
      </c>
      <c r="O21" s="20"/>
      <c r="P21" s="21">
        <f>'Resumo_1.1'!V21</f>
        <v>0</v>
      </c>
      <c r="Q21" s="20"/>
      <c r="R21" s="21">
        <f>'Resumo_1.1'!W21</f>
        <v>19364.88</v>
      </c>
      <c r="S21" s="14">
        <v>4</v>
      </c>
      <c r="T21" s="22">
        <f>ROUND((Encargos!$H$60*Dados!N19*A21),2)</f>
        <v>3662.6</v>
      </c>
    </row>
    <row r="22" spans="1:23" s="8" customFormat="1" ht="18" hidden="1" customHeight="1" x14ac:dyDescent="0.2">
      <c r="A22" s="14">
        <f>Dados!D22</f>
        <v>2</v>
      </c>
      <c r="B22" s="15" t="str">
        <f>'Resumo_1.1'!B22</f>
        <v>Ajudante de Manutenção (meio oficial)</v>
      </c>
      <c r="C22" s="16">
        <f>'Resumo_1.1'!C22</f>
        <v>220</v>
      </c>
      <c r="D22" s="17">
        <v>0</v>
      </c>
      <c r="E22" s="16" t="s">
        <v>46</v>
      </c>
      <c r="F22" s="16">
        <f>IF(E22="NÃO",0,D22*Dados!$G$47)</f>
        <v>0</v>
      </c>
      <c r="G22" s="17">
        <v>0</v>
      </c>
      <c r="H22" s="17">
        <v>0</v>
      </c>
      <c r="I22" s="18">
        <v>0</v>
      </c>
      <c r="J22" s="17">
        <v>0</v>
      </c>
      <c r="K22" s="19">
        <f t="shared" si="0"/>
        <v>0</v>
      </c>
      <c r="L22" s="17">
        <v>0</v>
      </c>
      <c r="M22" s="17">
        <v>0</v>
      </c>
      <c r="N22" s="17">
        <v>0</v>
      </c>
      <c r="O22" s="20"/>
      <c r="P22" s="21">
        <f>'Resumo_1.1'!V22</f>
        <v>0</v>
      </c>
      <c r="Q22" s="20"/>
      <c r="R22" s="21">
        <f>'Resumo_1.1'!W22</f>
        <v>26041.32</v>
      </c>
      <c r="S22" s="14">
        <v>4</v>
      </c>
      <c r="T22" s="22">
        <f>ROUND((Encargos!$H$60*Dados!N20*A22),2)</f>
        <v>1462.43</v>
      </c>
    </row>
    <row r="23" spans="1:23" s="8" customFormat="1" ht="18" hidden="1" customHeight="1" x14ac:dyDescent="0.2">
      <c r="A23" s="14">
        <f>Dados!D23</f>
        <v>2</v>
      </c>
      <c r="B23" s="15" t="str">
        <f>'Resumo_1.1'!B23</f>
        <v>Oficial em Telecom / Eletrônica</v>
      </c>
      <c r="C23" s="16">
        <f>'Resumo_1.1'!C23</f>
        <v>220</v>
      </c>
      <c r="D23" s="17">
        <v>0</v>
      </c>
      <c r="E23" s="16" t="s">
        <v>46</v>
      </c>
      <c r="F23" s="16">
        <f>IF(E23="NÃO",0,D23*Dados!$G$47)</f>
        <v>0</v>
      </c>
      <c r="G23" s="17">
        <v>0</v>
      </c>
      <c r="H23" s="17">
        <v>0</v>
      </c>
      <c r="I23" s="18">
        <v>0</v>
      </c>
      <c r="J23" s="17">
        <v>0</v>
      </c>
      <c r="K23" s="19">
        <f t="shared" si="0"/>
        <v>0</v>
      </c>
      <c r="L23" s="17">
        <v>0</v>
      </c>
      <c r="M23" s="17">
        <v>0</v>
      </c>
      <c r="N23" s="17">
        <v>0</v>
      </c>
      <c r="O23" s="20"/>
      <c r="P23" s="21">
        <f>'Resumo_1.1'!V23</f>
        <v>0</v>
      </c>
      <c r="Q23" s="20"/>
      <c r="R23" s="21">
        <f>'Resumo_1.1'!W23</f>
        <v>14750.88</v>
      </c>
      <c r="S23" s="14">
        <v>4</v>
      </c>
      <c r="T23" s="22">
        <f>ROUND((Encargos!$H$60*Dados!N21*A23),2)</f>
        <v>1744.1</v>
      </c>
    </row>
    <row r="24" spans="1:23" s="8" customFormat="1" ht="18" hidden="1" customHeight="1" x14ac:dyDescent="0.2">
      <c r="A24" s="14">
        <f>Dados!D24</f>
        <v>2</v>
      </c>
      <c r="B24" s="15" t="str">
        <f>'Resumo_1.1'!B24</f>
        <v>Oficial Encanador / Bombeiro</v>
      </c>
      <c r="C24" s="16">
        <f>'Resumo_1.1'!C24</f>
        <v>220</v>
      </c>
      <c r="D24" s="17">
        <v>0</v>
      </c>
      <c r="E24" s="16" t="s">
        <v>46</v>
      </c>
      <c r="F24" s="16">
        <f>IF(E24="NÃO",0,D24*Dados!$G$47)</f>
        <v>0</v>
      </c>
      <c r="G24" s="17">
        <v>0</v>
      </c>
      <c r="H24" s="17">
        <v>0</v>
      </c>
      <c r="I24" s="18">
        <v>0</v>
      </c>
      <c r="J24" s="17">
        <v>0</v>
      </c>
      <c r="K24" s="19">
        <f t="shared" si="0"/>
        <v>0</v>
      </c>
      <c r="L24" s="17">
        <v>0</v>
      </c>
      <c r="M24" s="17">
        <v>0</v>
      </c>
      <c r="N24" s="17">
        <v>0</v>
      </c>
      <c r="O24" s="20"/>
      <c r="P24" s="21">
        <f>'Resumo_1.1'!V24</f>
        <v>0</v>
      </c>
      <c r="Q24" s="20"/>
      <c r="R24" s="21">
        <f>'Resumo_1.1'!W24</f>
        <v>17599.560000000001</v>
      </c>
      <c r="S24" s="14">
        <v>4</v>
      </c>
      <c r="T24" s="22">
        <f>ROUND((Encargos!$H$60*Dados!N22*A24),2)</f>
        <v>2173.89</v>
      </c>
    </row>
    <row r="25" spans="1:23" s="8" customFormat="1" ht="18" hidden="1" customHeight="1" x14ac:dyDescent="0.2">
      <c r="A25" s="14">
        <f>Dados!D25</f>
        <v>1</v>
      </c>
      <c r="B25" s="15" t="str">
        <f>'Resumo_1.1'!B25</f>
        <v>Oficial Marceneiro</v>
      </c>
      <c r="C25" s="16">
        <f>'Resumo_1.1'!C25</f>
        <v>220</v>
      </c>
      <c r="D25" s="17">
        <v>0</v>
      </c>
      <c r="E25" s="16" t="s">
        <v>46</v>
      </c>
      <c r="F25" s="16">
        <f>IF(E25="NÃO",0,D25*Dados!$G$47)</f>
        <v>0</v>
      </c>
      <c r="G25" s="17">
        <v>0</v>
      </c>
      <c r="H25" s="17">
        <v>0</v>
      </c>
      <c r="I25" s="18">
        <v>0</v>
      </c>
      <c r="J25" s="17">
        <v>0</v>
      </c>
      <c r="K25" s="19">
        <f t="shared" si="0"/>
        <v>0</v>
      </c>
      <c r="L25" s="17">
        <v>0</v>
      </c>
      <c r="M25" s="17">
        <v>0</v>
      </c>
      <c r="N25" s="17">
        <v>0</v>
      </c>
      <c r="O25" s="20"/>
      <c r="P25" s="21">
        <f>'Resumo_1.1'!V25</f>
        <v>0</v>
      </c>
      <c r="Q25" s="20"/>
      <c r="R25" s="21">
        <f>'Resumo_1.1'!W25</f>
        <v>16331.2</v>
      </c>
      <c r="S25" s="14">
        <v>4</v>
      </c>
      <c r="T25" s="22">
        <f>ROUND((Encargos!$H$60*Dados!N23*A25),2)</f>
        <v>979.5</v>
      </c>
    </row>
    <row r="26" spans="1:23" s="8" customFormat="1" ht="18" hidden="1" customHeight="1" x14ac:dyDescent="0.2">
      <c r="A26" s="14">
        <f>Dados!D19</f>
        <v>2</v>
      </c>
      <c r="B26" s="15" t="str">
        <f>'Resumo_1.1'!B26</f>
        <v>Pedreiro</v>
      </c>
      <c r="C26" s="16">
        <f>'Resumo_1.1'!C26</f>
        <v>220</v>
      </c>
      <c r="D26" s="17">
        <v>0</v>
      </c>
      <c r="E26" s="16" t="s">
        <v>46</v>
      </c>
      <c r="F26" s="16">
        <f>IF(E26="NÃO",0,D26*Dados!$G$47)</f>
        <v>0</v>
      </c>
      <c r="G26" s="17">
        <v>0</v>
      </c>
      <c r="H26" s="17">
        <v>0</v>
      </c>
      <c r="I26" s="18">
        <v>0</v>
      </c>
      <c r="J26" s="17">
        <v>0</v>
      </c>
      <c r="K26" s="19">
        <f t="shared" si="0"/>
        <v>0</v>
      </c>
      <c r="L26" s="17">
        <v>0</v>
      </c>
      <c r="M26" s="17">
        <v>0</v>
      </c>
      <c r="N26" s="17">
        <v>0</v>
      </c>
      <c r="O26" s="20"/>
      <c r="P26" s="21">
        <f>'Resumo_1.1'!V26</f>
        <v>0</v>
      </c>
      <c r="Q26" s="20"/>
      <c r="R26" s="21">
        <f>'Resumo_1.1'!W26</f>
        <v>14760.94</v>
      </c>
      <c r="S26" s="14">
        <v>4</v>
      </c>
      <c r="T26" s="22">
        <f>ROUND((Encargos!$H$60*Dados!N24*A26),2)</f>
        <v>1744.1</v>
      </c>
    </row>
    <row r="27" spans="1:23" s="8" customFormat="1" ht="18" hidden="1" customHeight="1" x14ac:dyDescent="0.2">
      <c r="A27" s="14">
        <f>Dados!D20</f>
        <v>4</v>
      </c>
      <c r="B27" s="15" t="str">
        <f>'Resumo_1.1'!B27</f>
        <v>Serralheiro</v>
      </c>
      <c r="C27" s="16">
        <f>'Resumo_1.1'!C27</f>
        <v>220</v>
      </c>
      <c r="D27" s="17">
        <v>0</v>
      </c>
      <c r="E27" s="16" t="s">
        <v>46</v>
      </c>
      <c r="F27" s="16">
        <f>IF(E27="NÃO",0,D27*Dados!$G$47)</f>
        <v>0</v>
      </c>
      <c r="G27" s="17">
        <v>0</v>
      </c>
      <c r="H27" s="17">
        <v>0</v>
      </c>
      <c r="I27" s="18">
        <v>0</v>
      </c>
      <c r="J27" s="17">
        <v>0</v>
      </c>
      <c r="K27" s="19">
        <f t="shared" si="0"/>
        <v>0</v>
      </c>
      <c r="L27" s="17">
        <v>0</v>
      </c>
      <c r="M27" s="17">
        <v>0</v>
      </c>
      <c r="N27" s="17">
        <v>0</v>
      </c>
      <c r="O27" s="20"/>
      <c r="P27" s="21">
        <f>'Resumo_1.1'!V27</f>
        <v>0</v>
      </c>
      <c r="Q27" s="20"/>
      <c r="R27" s="21">
        <f>'Resumo_1.1'!W27</f>
        <v>7396.07</v>
      </c>
      <c r="S27" s="14">
        <v>4</v>
      </c>
      <c r="T27" s="22">
        <f>ROUND((Encargos!$H$60*Dados!N25*A27),2)</f>
        <v>3488.19</v>
      </c>
    </row>
    <row r="28" spans="1:23" s="8" customFormat="1" ht="18" hidden="1" customHeight="1" x14ac:dyDescent="0.2">
      <c r="A28" s="14">
        <f>Dados!D26</f>
        <v>2</v>
      </c>
      <c r="B28" s="15" t="str">
        <f>'Resumo_1.1'!B28</f>
        <v>Pintor / Gesseiro</v>
      </c>
      <c r="C28" s="16">
        <f>'Resumo_1.1'!C28</f>
        <v>220</v>
      </c>
      <c r="D28" s="17">
        <v>0</v>
      </c>
      <c r="E28" s="16" t="s">
        <v>46</v>
      </c>
      <c r="F28" s="16">
        <f>IF(E28="NÃO",0,D28*Dados!$G$47)</f>
        <v>0</v>
      </c>
      <c r="G28" s="17">
        <v>0</v>
      </c>
      <c r="H28" s="17">
        <v>0</v>
      </c>
      <c r="I28" s="18">
        <v>0</v>
      </c>
      <c r="J28" s="17">
        <v>0</v>
      </c>
      <c r="K28" s="19">
        <f t="shared" si="0"/>
        <v>0</v>
      </c>
      <c r="L28" s="17">
        <v>0</v>
      </c>
      <c r="M28" s="17">
        <v>0</v>
      </c>
      <c r="N28" s="17">
        <v>0</v>
      </c>
      <c r="O28" s="20"/>
      <c r="P28" s="21">
        <f>'Resumo_1.1'!V28</f>
        <v>0</v>
      </c>
      <c r="Q28" s="20"/>
      <c r="R28" s="21">
        <f>'Resumo_1.1'!W28</f>
        <v>14750.88</v>
      </c>
      <c r="S28" s="14">
        <v>4</v>
      </c>
      <c r="T28" s="22">
        <f>ROUND((Encargos!$H$60*Dados!N26*A28),2)</f>
        <v>1744.1</v>
      </c>
    </row>
    <row r="29" spans="1:23" s="30" customFormat="1" ht="14.25" hidden="1" customHeight="1" thickBot="1" x14ac:dyDescent="0.25">
      <c r="A29" s="1242" t="s">
        <v>53</v>
      </c>
      <c r="B29" s="1242"/>
      <c r="C29" s="1242"/>
      <c r="D29" s="1242"/>
      <c r="E29" s="1242"/>
      <c r="F29" s="1242"/>
      <c r="G29" s="27"/>
      <c r="H29" s="2">
        <f>'Resumo_1.1'!I29</f>
        <v>0</v>
      </c>
      <c r="I29" s="1233"/>
      <c r="J29" s="1233"/>
      <c r="K29" s="2">
        <f>'Resumo_1.1'!L29</f>
        <v>0</v>
      </c>
      <c r="L29" s="2">
        <f>'Resumo_1.1'!O29</f>
        <v>0</v>
      </c>
      <c r="M29" s="2">
        <f>'Resumo_1.1'!R29</f>
        <v>0</v>
      </c>
      <c r="N29" s="2">
        <f>'Resumo_1.1'!U29</f>
        <v>0</v>
      </c>
      <c r="O29" s="2"/>
      <c r="P29" s="2">
        <f>(H29+K29+L29+N29)</f>
        <v>0</v>
      </c>
      <c r="Q29" s="28"/>
      <c r="R29" s="2">
        <f>SUM(R13:R28)</f>
        <v>304651.04000000004</v>
      </c>
      <c r="S29" s="29"/>
      <c r="T29" s="25">
        <f>SUM(T13:T28)</f>
        <v>38289.360000000001</v>
      </c>
    </row>
    <row r="30" spans="1:23" hidden="1" x14ac:dyDescent="0.25">
      <c r="A30" s="928" t="s">
        <v>54</v>
      </c>
      <c r="B30" s="919"/>
      <c r="C30" s="919"/>
      <c r="D30" s="919"/>
      <c r="E30" s="919"/>
      <c r="F30" s="919"/>
      <c r="G30" s="919"/>
      <c r="H30" s="919"/>
      <c r="I30" s="919"/>
      <c r="J30" s="919"/>
      <c r="K30" s="919"/>
      <c r="L30" s="900"/>
      <c r="M30" s="900"/>
      <c r="N30" s="900"/>
      <c r="O30" s="900"/>
      <c r="P30" s="900"/>
      <c r="Q30" s="901"/>
      <c r="R30" s="901"/>
      <c r="S30" s="901"/>
      <c r="T30" s="901"/>
    </row>
    <row r="31" spans="1:23" ht="14.25" hidden="1" customHeight="1" x14ac:dyDescent="0.25">
      <c r="A31" s="922" t="s">
        <v>55</v>
      </c>
      <c r="B31" s="920"/>
      <c r="C31" s="920"/>
      <c r="D31" s="920"/>
      <c r="E31" s="920"/>
      <c r="F31" s="920"/>
      <c r="G31" s="920"/>
      <c r="H31" s="920"/>
      <c r="I31" s="920"/>
      <c r="J31" s="920"/>
      <c r="K31" s="920"/>
      <c r="L31" s="900"/>
      <c r="M31" s="900"/>
      <c r="N31" s="900"/>
      <c r="O31" s="900"/>
      <c r="P31" s="900"/>
      <c r="Q31" s="901"/>
      <c r="R31" s="901"/>
      <c r="S31" s="901"/>
      <c r="T31" s="901"/>
    </row>
    <row r="32" spans="1:23" s="30" customFormat="1" ht="22.5" hidden="1" customHeight="1" x14ac:dyDescent="0.2">
      <c r="A32" s="1232" t="s">
        <v>56</v>
      </c>
      <c r="B32" s="1232"/>
      <c r="C32" s="1" t="s">
        <v>57</v>
      </c>
      <c r="D32" s="1" t="s">
        <v>58</v>
      </c>
      <c r="E32" s="1" t="s">
        <v>59</v>
      </c>
      <c r="F32" s="1" t="s">
        <v>60</v>
      </c>
      <c r="G32" s="921"/>
      <c r="H32" s="921"/>
      <c r="I32" s="921"/>
      <c r="J32" s="921"/>
      <c r="K32" s="922"/>
      <c r="L32" s="923"/>
      <c r="M32" s="923"/>
      <c r="N32" s="923"/>
      <c r="O32" s="923"/>
      <c r="P32" s="923"/>
      <c r="Q32" s="921"/>
      <c r="R32" s="921"/>
      <c r="S32" s="921"/>
      <c r="T32" s="921"/>
      <c r="U32" s="6"/>
      <c r="V32" s="31"/>
      <c r="W32" s="31"/>
    </row>
    <row r="33" spans="1:23" s="30" customFormat="1" ht="18" hidden="1" customHeight="1" x14ac:dyDescent="0.2">
      <c r="A33" s="1232"/>
      <c r="B33" s="1232"/>
      <c r="C33" s="32">
        <v>220</v>
      </c>
      <c r="D33" s="32">
        <v>10</v>
      </c>
      <c r="E33" s="32">
        <v>25</v>
      </c>
      <c r="F33" s="33">
        <f>ROUND((D33/VLOOKUP(C33,$B$166:$C$172,2,FALSE())+E33/60/VLOOKUP(C33,$B$166:$C$172,2,FALSE())),2)</f>
        <v>1.18</v>
      </c>
      <c r="G33" s="924"/>
      <c r="H33" s="921"/>
      <c r="I33" s="921"/>
      <c r="J33" s="921"/>
      <c r="K33" s="922"/>
      <c r="L33" s="923"/>
      <c r="M33" s="923"/>
      <c r="N33" s="923"/>
      <c r="O33" s="923"/>
      <c r="P33" s="923"/>
      <c r="Q33" s="921"/>
      <c r="R33" s="921"/>
      <c r="S33" s="921"/>
      <c r="T33" s="921"/>
      <c r="U33" s="6"/>
      <c r="V33" s="31"/>
      <c r="W33" s="31"/>
    </row>
    <row r="34" spans="1:23" s="30" customFormat="1" ht="22.5" hidden="1" customHeight="1" x14ac:dyDescent="0.2">
      <c r="A34" s="1202" t="s">
        <v>61</v>
      </c>
      <c r="B34" s="1202"/>
      <c r="C34" s="1202"/>
      <c r="D34" s="1202"/>
      <c r="E34" s="1202"/>
      <c r="F34" s="1202"/>
      <c r="G34" s="925"/>
      <c r="H34" s="918"/>
      <c r="I34" s="918"/>
      <c r="J34" s="918"/>
      <c r="K34" s="922"/>
      <c r="L34" s="923"/>
      <c r="M34" s="923"/>
      <c r="N34" s="923"/>
      <c r="O34" s="923"/>
      <c r="P34" s="923"/>
      <c r="Q34" s="921"/>
      <c r="R34" s="921"/>
      <c r="S34" s="921"/>
      <c r="T34" s="921"/>
      <c r="U34" s="6"/>
      <c r="V34" s="31"/>
      <c r="W34" s="31"/>
    </row>
    <row r="35" spans="1:23" s="30" customFormat="1" hidden="1" x14ac:dyDescent="0.2">
      <c r="A35" s="1202"/>
      <c r="B35" s="1202"/>
      <c r="C35" s="1202"/>
      <c r="D35" s="1202"/>
      <c r="E35" s="1202"/>
      <c r="F35" s="1202"/>
      <c r="G35" s="925"/>
      <c r="H35" s="918"/>
      <c r="I35" s="918"/>
      <c r="J35" s="918"/>
      <c r="K35" s="922"/>
      <c r="L35" s="923"/>
      <c r="M35" s="923"/>
      <c r="N35" s="923"/>
      <c r="O35" s="923"/>
      <c r="P35" s="923"/>
      <c r="Q35" s="921"/>
      <c r="R35" s="921"/>
      <c r="S35" s="921"/>
      <c r="T35" s="921"/>
      <c r="U35" s="6"/>
      <c r="V35" s="31"/>
      <c r="W35" s="31"/>
    </row>
    <row r="36" spans="1:23" ht="15" hidden="1" customHeight="1" thickBot="1" x14ac:dyDescent="0.3">
      <c r="A36" s="901"/>
      <c r="B36" s="901"/>
      <c r="C36" s="901"/>
      <c r="D36" s="901"/>
      <c r="E36" s="901"/>
      <c r="F36" s="901"/>
      <c r="G36" s="901"/>
      <c r="H36" s="901"/>
      <c r="I36" s="901"/>
      <c r="J36" s="901"/>
      <c r="K36" s="901"/>
      <c r="L36" s="900"/>
      <c r="M36" s="900"/>
      <c r="N36" s="900"/>
      <c r="O36" s="900"/>
      <c r="P36" s="900"/>
      <c r="Q36" s="901"/>
      <c r="R36" s="901"/>
      <c r="S36" s="901"/>
      <c r="T36" s="901"/>
    </row>
    <row r="37" spans="1:23" ht="15" hidden="1" customHeight="1" x14ac:dyDescent="0.25">
      <c r="A37" s="1221" t="s">
        <v>62</v>
      </c>
      <c r="B37" s="1222"/>
      <c r="C37" s="1222"/>
      <c r="D37" s="1222"/>
      <c r="E37" s="1223"/>
      <c r="F37" s="926"/>
      <c r="G37" s="926"/>
      <c r="H37" s="926"/>
      <c r="I37" s="926"/>
      <c r="J37" s="926"/>
      <c r="K37" s="926"/>
      <c r="L37" s="927"/>
      <c r="M37" s="927"/>
      <c r="N37" s="927"/>
      <c r="O37" s="927"/>
      <c r="P37" s="927"/>
      <c r="Q37" s="926"/>
      <c r="R37" s="901"/>
      <c r="S37" s="901"/>
      <c r="T37" s="901"/>
    </row>
    <row r="38" spans="1:23" ht="15" hidden="1" customHeight="1" thickBot="1" x14ac:dyDescent="0.3">
      <c r="A38" s="1224"/>
      <c r="B38" s="1225"/>
      <c r="C38" s="1225"/>
      <c r="D38" s="1225"/>
      <c r="E38" s="1226"/>
      <c r="F38" s="926"/>
      <c r="G38" s="926"/>
      <c r="H38" s="926"/>
      <c r="I38" s="926"/>
      <c r="J38" s="926"/>
      <c r="K38" s="926"/>
      <c r="L38" s="927"/>
      <c r="M38" s="927"/>
      <c r="N38" s="927"/>
      <c r="O38" s="927"/>
      <c r="P38" s="927"/>
      <c r="Q38" s="926"/>
      <c r="R38" s="901"/>
      <c r="S38" s="901"/>
      <c r="T38" s="901"/>
    </row>
    <row r="39" spans="1:23" ht="15" hidden="1" customHeight="1" thickBot="1" x14ac:dyDescent="0.3">
      <c r="A39" s="1224"/>
      <c r="B39" s="1225"/>
      <c r="C39" s="1225"/>
      <c r="D39" s="1225"/>
      <c r="E39" s="1226"/>
      <c r="F39" s="926"/>
      <c r="G39" s="926"/>
      <c r="H39" s="423"/>
      <c r="I39" s="423"/>
      <c r="J39" s="423"/>
      <c r="K39" s="423"/>
      <c r="L39" s="424"/>
      <c r="M39" s="425" t="s">
        <v>63</v>
      </c>
      <c r="N39" s="425"/>
      <c r="O39" s="425">
        <f>Encargos!H60</f>
        <v>0.33142579999999999</v>
      </c>
      <c r="P39" s="1243" t="s">
        <v>64</v>
      </c>
      <c r="Q39" s="1244"/>
      <c r="R39" s="901"/>
      <c r="S39" s="901"/>
      <c r="T39" s="901"/>
    </row>
    <row r="40" spans="1:23" ht="38.25" hidden="1" x14ac:dyDescent="0.25">
      <c r="A40" s="1227" t="s">
        <v>26</v>
      </c>
      <c r="B40" s="1228"/>
      <c r="C40" s="426" t="s">
        <v>65</v>
      </c>
      <c r="D40" s="426" t="s">
        <v>66</v>
      </c>
      <c r="E40" s="426" t="s">
        <v>67</v>
      </c>
      <c r="F40" s="426" t="s">
        <v>68</v>
      </c>
      <c r="G40" s="426" t="s">
        <v>69</v>
      </c>
      <c r="H40" s="426" t="s">
        <v>70</v>
      </c>
      <c r="I40" s="426" t="s">
        <v>71</v>
      </c>
      <c r="J40" s="426" t="s">
        <v>72</v>
      </c>
      <c r="K40" s="426" t="s">
        <v>73</v>
      </c>
      <c r="L40" s="426" t="s">
        <v>74</v>
      </c>
      <c r="M40" s="427" t="s">
        <v>75</v>
      </c>
      <c r="N40" s="1034"/>
      <c r="O40" s="428" t="s">
        <v>76</v>
      </c>
      <c r="P40" s="428" t="s">
        <v>77</v>
      </c>
      <c r="Q40" s="429" t="s">
        <v>78</v>
      </c>
      <c r="R40" s="901"/>
      <c r="S40" s="901"/>
      <c r="T40" s="901"/>
    </row>
    <row r="41" spans="1:23" ht="15" hidden="1" customHeight="1" x14ac:dyDescent="0.25">
      <c r="A41" s="430"/>
      <c r="B41" s="431" t="str">
        <f>B13</f>
        <v>Engenheiro de Manutenção (Pleno)</v>
      </c>
      <c r="C41" s="432">
        <f>Dados!D97</f>
        <v>2</v>
      </c>
      <c r="D41" s="433">
        <f>Engenheiro!$K$46*C41</f>
        <v>76.72</v>
      </c>
      <c r="E41" s="432">
        <f>Dados!E97</f>
        <v>2</v>
      </c>
      <c r="F41" s="433">
        <f>Engenheiro!L46*E41</f>
        <v>460.32</v>
      </c>
      <c r="G41" s="432">
        <f>Dados!E97</f>
        <v>2</v>
      </c>
      <c r="H41" s="433">
        <f>Engenheiro!M46*G41</f>
        <v>613.76</v>
      </c>
      <c r="I41" s="434">
        <f>Dados!F97</f>
        <v>1</v>
      </c>
      <c r="J41" s="433">
        <f>Engenheiro!$N$46*I41</f>
        <v>50.18</v>
      </c>
      <c r="K41" s="434">
        <f>Dados!G97</f>
        <v>1</v>
      </c>
      <c r="L41" s="433">
        <f>Engenheiro!$O$46*K41</f>
        <v>35.97</v>
      </c>
      <c r="M41" s="435">
        <f>Engenheiro!K15*C41+Engenheiro!L15*E41+Engenheiro!M15*G41</f>
        <v>963.21456000000001</v>
      </c>
      <c r="N41" s="1035"/>
      <c r="O41" s="436">
        <f>M41*$O$39</f>
        <v>319.23415611964799</v>
      </c>
      <c r="P41" s="436">
        <f t="shared" ref="P41:P56" si="1">T13</f>
        <v>4423.75</v>
      </c>
      <c r="Q41" s="437">
        <f>SUM(O41:P41)</f>
        <v>4742.9841561196481</v>
      </c>
      <c r="R41" s="901"/>
      <c r="S41" s="901"/>
      <c r="T41" s="901"/>
    </row>
    <row r="42" spans="1:23" ht="15" hidden="1" customHeight="1" x14ac:dyDescent="0.25">
      <c r="A42" s="430"/>
      <c r="B42" s="431" t="str">
        <f t="shared" ref="B42:B56" si="2">B14</f>
        <v>Líder Técnico</v>
      </c>
      <c r="C42" s="432">
        <f>Dados!D98</f>
        <v>2</v>
      </c>
      <c r="D42" s="433">
        <f>Lider!$K$46*C42</f>
        <v>35.9</v>
      </c>
      <c r="E42" s="432">
        <f>Dados!E98</f>
        <v>2</v>
      </c>
      <c r="F42" s="433">
        <f>Lider!L46*E42</f>
        <v>269.44</v>
      </c>
      <c r="G42" s="432">
        <f>Dados!E98</f>
        <v>2</v>
      </c>
      <c r="H42" s="433">
        <f>Lider!M46*G42</f>
        <v>359.22</v>
      </c>
      <c r="I42" s="434">
        <f>Dados!F98</f>
        <v>1</v>
      </c>
      <c r="J42" s="433">
        <f>Lider!$N$46*I42</f>
        <v>50.18</v>
      </c>
      <c r="K42" s="434">
        <f>Dados!G98</f>
        <v>1</v>
      </c>
      <c r="L42" s="433">
        <f>Lider!$O$46*K42</f>
        <v>35.97</v>
      </c>
      <c r="M42" s="435">
        <f>Lider!K15*C42+Lider!L15*E42+Lider!M15*G42</f>
        <v>556.22448000000009</v>
      </c>
      <c r="N42" s="1035"/>
      <c r="O42" s="436">
        <f t="shared" ref="O42:O56" si="3">M42*$O$39</f>
        <v>184.34714326358403</v>
      </c>
      <c r="P42" s="436">
        <f t="shared" si="1"/>
        <v>2589.33</v>
      </c>
      <c r="Q42" s="437">
        <f t="shared" ref="Q42:Q56" si="4">SUM(O42:P42)</f>
        <v>2773.6771432635842</v>
      </c>
      <c r="R42" s="901"/>
      <c r="S42" s="901"/>
      <c r="T42" s="901"/>
    </row>
    <row r="43" spans="1:23" ht="15" hidden="1" customHeight="1" x14ac:dyDescent="0.25">
      <c r="A43" s="430"/>
      <c r="B43" s="431" t="str">
        <f t="shared" si="2"/>
        <v>Assistente de Engenharia</v>
      </c>
      <c r="C43" s="432">
        <f>Dados!D99</f>
        <v>2</v>
      </c>
      <c r="D43" s="433">
        <f>'Assistente Eng.'!$K$46*C43</f>
        <v>17.5</v>
      </c>
      <c r="E43" s="432">
        <f>Dados!E99</f>
        <v>2</v>
      </c>
      <c r="F43" s="433">
        <f>'Assistente Eng.'!L46*E43</f>
        <v>131.36000000000001</v>
      </c>
      <c r="G43" s="432">
        <f>Dados!E99</f>
        <v>2</v>
      </c>
      <c r="H43" s="433">
        <f>'Assistente Eng.'!M46*G43</f>
        <v>175.2</v>
      </c>
      <c r="I43" s="434">
        <f>Dados!F99</f>
        <v>1</v>
      </c>
      <c r="J43" s="433">
        <f>'Assistente Eng.'!$N$46*I43</f>
        <v>50.18</v>
      </c>
      <c r="K43" s="434">
        <f>Dados!G99</f>
        <v>1</v>
      </c>
      <c r="L43" s="433">
        <f>'Assistente Eng.'!$O$46*K43</f>
        <v>35.97</v>
      </c>
      <c r="M43" s="435">
        <f>'Assistente Eng.'!K15*C43+'Assistente Eng.'!L15*E43+'Assistente Eng.'!M15*G43</f>
        <v>271.19736</v>
      </c>
      <c r="N43" s="1035"/>
      <c r="O43" s="436">
        <f t="shared" si="3"/>
        <v>89.881801995887997</v>
      </c>
      <c r="P43" s="436">
        <f t="shared" si="1"/>
        <v>2525.1</v>
      </c>
      <c r="Q43" s="437">
        <f t="shared" si="4"/>
        <v>2614.981801995888</v>
      </c>
      <c r="R43" s="901"/>
      <c r="S43" s="901"/>
      <c r="T43" s="901"/>
    </row>
    <row r="44" spans="1:23" ht="15" hidden="1" customHeight="1" x14ac:dyDescent="0.25">
      <c r="A44" s="430"/>
      <c r="B44" s="431" t="str">
        <f t="shared" si="2"/>
        <v>Técnico em Edificações</v>
      </c>
      <c r="C44" s="432">
        <f>Dados!D100</f>
        <v>2</v>
      </c>
      <c r="D44" s="433">
        <f>'Técnico Edif.'!$K$46*C44</f>
        <v>19.899999999999999</v>
      </c>
      <c r="E44" s="432">
        <f>Dados!E100</f>
        <v>2</v>
      </c>
      <c r="F44" s="433">
        <f>'Técnico Edif.'!L46*E44</f>
        <v>149.24</v>
      </c>
      <c r="G44" s="432">
        <f>Dados!E100</f>
        <v>2</v>
      </c>
      <c r="H44" s="433">
        <f>'Técnico Edif.'!M46*G44</f>
        <v>199.04</v>
      </c>
      <c r="I44" s="434">
        <f>Dados!F100</f>
        <v>1</v>
      </c>
      <c r="J44" s="433">
        <f>'Técnico Edif.'!$N$46*I44</f>
        <v>50.18</v>
      </c>
      <c r="K44" s="434">
        <f>Dados!G100</f>
        <v>1</v>
      </c>
      <c r="L44" s="433">
        <f>'Técnico Edif.'!$O$46*K44</f>
        <v>35.97</v>
      </c>
      <c r="M44" s="435">
        <f>'Técnico Edif.'!K15*C44+'Técnico Edif.'!L15*E44+'Técnico Edif.'!M15*G44</f>
        <v>308.17079999999999</v>
      </c>
      <c r="N44" s="1035"/>
      <c r="O44" s="436">
        <f t="shared" si="3"/>
        <v>102.13575392663999</v>
      </c>
      <c r="P44" s="436">
        <f t="shared" si="1"/>
        <v>2869.03</v>
      </c>
      <c r="Q44" s="437">
        <f t="shared" si="4"/>
        <v>2971.1657539266403</v>
      </c>
      <c r="R44" s="901"/>
      <c r="S44" s="901"/>
      <c r="T44" s="901"/>
    </row>
    <row r="45" spans="1:23" ht="15" hidden="1" customHeight="1" x14ac:dyDescent="0.25">
      <c r="A45" s="430"/>
      <c r="B45" s="431" t="str">
        <f t="shared" si="2"/>
        <v>Técnico Eletrotécnico (12x36 diurno) - (EPI Eletricista)</v>
      </c>
      <c r="C45" s="432">
        <f>Dados!D101</f>
        <v>2</v>
      </c>
      <c r="D45" s="433">
        <f>'Técnico Elet. Diurno'!$K$46*C45</f>
        <v>24.56</v>
      </c>
      <c r="E45" s="432">
        <f>Dados!E101</f>
        <v>2</v>
      </c>
      <c r="F45" s="433">
        <f>'Técnico Elet. Diurno'!L46*E45</f>
        <v>184.38</v>
      </c>
      <c r="G45" s="432">
        <f>Dados!E101</f>
        <v>2</v>
      </c>
      <c r="H45" s="433">
        <f>'Técnico Elet. Diurno'!M46*G45</f>
        <v>245.82</v>
      </c>
      <c r="I45" s="434">
        <f>Dados!F101</f>
        <v>1</v>
      </c>
      <c r="J45" s="433">
        <f>'Técnico Elet. Diurno'!$N$46*I45</f>
        <v>50.18</v>
      </c>
      <c r="K45" s="434">
        <f>Dados!G101</f>
        <v>1</v>
      </c>
      <c r="L45" s="433">
        <f>'Técnico Elet. Diurno'!$O$46*K45</f>
        <v>35.97</v>
      </c>
      <c r="M45" s="435">
        <f>'Técnico Elet. Diurno'!K15*C45+'Técnico Elet. Diurno'!L15*E45+'Técnico Elet. Diurno'!M15*G45</f>
        <v>380.63592000000006</v>
      </c>
      <c r="N45" s="1035"/>
      <c r="O45" s="436">
        <f t="shared" si="3"/>
        <v>126.15256429473601</v>
      </c>
      <c r="P45" s="436">
        <f t="shared" si="1"/>
        <v>1771.65</v>
      </c>
      <c r="Q45" s="437">
        <f t="shared" si="4"/>
        <v>1897.8025642947362</v>
      </c>
      <c r="R45" s="901"/>
      <c r="S45" s="901"/>
      <c r="T45" s="901"/>
    </row>
    <row r="46" spans="1:23" ht="15" hidden="1" customHeight="1" x14ac:dyDescent="0.25">
      <c r="A46" s="430"/>
      <c r="B46" s="431" t="str">
        <f t="shared" si="2"/>
        <v>Técnico Eletrotécnico (12x36 noturno) - (EPI Eletricista)</v>
      </c>
      <c r="C46" s="432">
        <f>Dados!D102</f>
        <v>2</v>
      </c>
      <c r="D46" s="433">
        <f>'Técnico Elet. Noturno'!$K$46*C46</f>
        <v>27.66</v>
      </c>
      <c r="E46" s="432">
        <f>Dados!E102</f>
        <v>2</v>
      </c>
      <c r="F46" s="433">
        <f>'Técnico Elet. Noturno'!L46*E46</f>
        <v>207.36</v>
      </c>
      <c r="G46" s="432">
        <f>Dados!E102</f>
        <v>2</v>
      </c>
      <c r="H46" s="433">
        <f>'Técnico Elet. Noturno'!M46*G46</f>
        <v>276.42</v>
      </c>
      <c r="I46" s="434">
        <f>Dados!F102</f>
        <v>1</v>
      </c>
      <c r="J46" s="433">
        <f>'Técnico Elet. Noturno'!$N$46*I46</f>
        <v>50.18</v>
      </c>
      <c r="K46" s="434">
        <f>Dados!G102</f>
        <v>1</v>
      </c>
      <c r="L46" s="433">
        <f>'Técnico Elet. Noturno'!$O$46*K46</f>
        <v>35.97</v>
      </c>
      <c r="M46" s="435">
        <f>'Técnico Elet. Noturno'!K15*C46+'Técnico Elet. Noturno'!L15*E46+'Técnico Elet. Noturno'!M15*G46</f>
        <v>428.05223999999998</v>
      </c>
      <c r="N46" s="1035"/>
      <c r="O46" s="436">
        <f t="shared" si="3"/>
        <v>141.86755608379198</v>
      </c>
      <c r="P46" s="436">
        <f t="shared" si="1"/>
        <v>1992.53</v>
      </c>
      <c r="Q46" s="437">
        <f t="shared" si="4"/>
        <v>2134.3975560837921</v>
      </c>
      <c r="R46" s="901"/>
      <c r="S46" s="901"/>
      <c r="T46" s="901"/>
    </row>
    <row r="47" spans="1:23" ht="15" hidden="1" customHeight="1" x14ac:dyDescent="0.25">
      <c r="A47" s="430"/>
      <c r="B47" s="431" t="str">
        <f t="shared" si="2"/>
        <v>Oficial Eletricista - (EPI Eletricista)</v>
      </c>
      <c r="C47" s="432">
        <f>Dados!D103</f>
        <v>2</v>
      </c>
      <c r="D47" s="433">
        <f>'Ofic. Eletricista'!$K$46*C47</f>
        <v>30.64</v>
      </c>
      <c r="E47" s="432">
        <f>Dados!E103</f>
        <v>2</v>
      </c>
      <c r="F47" s="433">
        <f>'Ofic. Eletricista'!L46*E47</f>
        <v>117.94</v>
      </c>
      <c r="G47" s="432">
        <f>Dados!E103</f>
        <v>2</v>
      </c>
      <c r="H47" s="433">
        <f>'Ofic. Eletricista'!M46*G47</f>
        <v>157.30000000000001</v>
      </c>
      <c r="I47" s="434">
        <f>Dados!F103</f>
        <v>1</v>
      </c>
      <c r="J47" s="433">
        <f>'Ofic. Eletricista'!$N$46*I47</f>
        <v>37.44</v>
      </c>
      <c r="K47" s="434">
        <f>Dados!G103</f>
        <v>1</v>
      </c>
      <c r="L47" s="433">
        <f>'Ofic. Eletricista'!$O$46*K47</f>
        <v>35.97</v>
      </c>
      <c r="M47" s="435">
        <f>'Ofic. Eletricista'!K15*C47+'Ofic. Eletricista'!L15*E47+'Ofic. Eletricista'!M15*G47</f>
        <v>256.02696000000003</v>
      </c>
      <c r="N47" s="1035"/>
      <c r="O47" s="436">
        <f t="shared" si="3"/>
        <v>84.853940039568002</v>
      </c>
      <c r="P47" s="436">
        <f t="shared" si="1"/>
        <v>2267.3200000000002</v>
      </c>
      <c r="Q47" s="437">
        <f t="shared" si="4"/>
        <v>2352.1739400395682</v>
      </c>
      <c r="R47" s="901"/>
      <c r="S47" s="901"/>
      <c r="T47" s="901"/>
    </row>
    <row r="48" spans="1:23" ht="15" hidden="1" customHeight="1" x14ac:dyDescent="0.25">
      <c r="A48" s="430"/>
      <c r="B48" s="431" t="str">
        <f t="shared" si="2"/>
        <v>Ajudante de Eletricista - (EPI Eletricista)</v>
      </c>
      <c r="C48" s="432">
        <f>Dados!D104</f>
        <v>2</v>
      </c>
      <c r="D48" s="433">
        <f>'Ajud. Eletricista'!$K$46*C48</f>
        <v>25.72</v>
      </c>
      <c r="E48" s="432">
        <f>Dados!E104</f>
        <v>2</v>
      </c>
      <c r="F48" s="433">
        <f>'Ajud. Eletricista'!L46*E48</f>
        <v>98.92</v>
      </c>
      <c r="G48" s="432">
        <f>Dados!E104</f>
        <v>2</v>
      </c>
      <c r="H48" s="433">
        <f>'Ajud. Eletricista'!M46*G48</f>
        <v>131.84</v>
      </c>
      <c r="I48" s="434">
        <f>Dados!F104</f>
        <v>1</v>
      </c>
      <c r="J48" s="433">
        <f>'Ajud. Eletricista'!$N$46*I48</f>
        <v>37.44</v>
      </c>
      <c r="K48" s="434">
        <f>Dados!G104</f>
        <v>1</v>
      </c>
      <c r="L48" s="433">
        <f>'Ajud. Eletricista'!$O$46*K48</f>
        <v>35.97</v>
      </c>
      <c r="M48" s="435">
        <f>'Ajud. Eletricista'!K15*C48+'Ajud. Eletricista'!L15*E48+'Ajud. Eletricista'!M15*G48</f>
        <v>214.6788</v>
      </c>
      <c r="N48" s="1035"/>
      <c r="O48" s="436">
        <f t="shared" si="3"/>
        <v>71.150093033039994</v>
      </c>
      <c r="P48" s="436">
        <f t="shared" si="1"/>
        <v>2851.74</v>
      </c>
      <c r="Q48" s="437">
        <f t="shared" si="4"/>
        <v>2922.8900930330396</v>
      </c>
      <c r="R48" s="901"/>
      <c r="S48" s="901"/>
      <c r="T48" s="901"/>
    </row>
    <row r="49" spans="1:25" ht="15" hidden="1" customHeight="1" x14ac:dyDescent="0.25">
      <c r="A49" s="430"/>
      <c r="B49" s="431" t="str">
        <f t="shared" si="2"/>
        <v>Oficial de Manutenção - (EPI Eletricista)</v>
      </c>
      <c r="C49" s="432">
        <f>Dados!D105</f>
        <v>2</v>
      </c>
      <c r="D49" s="433">
        <f>'Ofic. Manutenção'!$K$46*C49</f>
        <v>33.06</v>
      </c>
      <c r="E49" s="432">
        <f>Dados!E105</f>
        <v>2</v>
      </c>
      <c r="F49" s="433">
        <f>'Ofic. Manutenção'!L46*E49</f>
        <v>127.04</v>
      </c>
      <c r="G49" s="432">
        <f>Dados!E105</f>
        <v>2</v>
      </c>
      <c r="H49" s="433">
        <f>'Ofic. Manutenção'!M46*G49</f>
        <v>169.38</v>
      </c>
      <c r="I49" s="434">
        <f>Dados!F105</f>
        <v>1</v>
      </c>
      <c r="J49" s="433">
        <f>'Ofic. Manutenção'!$N$46*I49</f>
        <v>37.44</v>
      </c>
      <c r="K49" s="434">
        <f>Dados!G105</f>
        <v>1</v>
      </c>
      <c r="L49" s="433">
        <f>'Ofic. Manutenção'!$O$46*K49</f>
        <v>35.97</v>
      </c>
      <c r="M49" s="435">
        <f>'Ofic. Manutenção'!K15*C49+'Ofic. Manutenção'!L15*E49+'Ofic. Manutenção'!M15*G49</f>
        <v>275.78376000000003</v>
      </c>
      <c r="N49" s="1035"/>
      <c r="O49" s="436">
        <f t="shared" si="3"/>
        <v>91.401853285008002</v>
      </c>
      <c r="P49" s="436">
        <f t="shared" si="1"/>
        <v>3662.6</v>
      </c>
      <c r="Q49" s="437">
        <f t="shared" si="4"/>
        <v>3754.0018532850081</v>
      </c>
      <c r="R49" s="901"/>
      <c r="S49" s="901"/>
      <c r="T49" s="901"/>
    </row>
    <row r="50" spans="1:25" ht="15" hidden="1" customHeight="1" x14ac:dyDescent="0.25">
      <c r="A50" s="430"/>
      <c r="B50" s="431" t="str">
        <f t="shared" si="2"/>
        <v>Ajudante de Manutenção (meio oficial)</v>
      </c>
      <c r="C50" s="432">
        <f>Dados!D106</f>
        <v>2</v>
      </c>
      <c r="D50" s="433">
        <f>'Ajud Manutenção'!$K$46*C50</f>
        <v>19.760000000000002</v>
      </c>
      <c r="E50" s="432">
        <f>Dados!E106</f>
        <v>2</v>
      </c>
      <c r="F50" s="433">
        <f>'Ajud Manutenção'!L46*E50</f>
        <v>76.08</v>
      </c>
      <c r="G50" s="432">
        <f>Dados!E106</f>
        <v>2</v>
      </c>
      <c r="H50" s="433">
        <f>'Ajud Manutenção'!M46*G50</f>
        <v>101.46</v>
      </c>
      <c r="I50" s="434">
        <f>Dados!F106</f>
        <v>1</v>
      </c>
      <c r="J50" s="433">
        <f>'Ajud Manutenção'!$N$46*I50</f>
        <v>37.44</v>
      </c>
      <c r="K50" s="434">
        <f>Dados!G106</f>
        <v>1</v>
      </c>
      <c r="L50" s="433">
        <f>'Ajud Manutenção'!$O$46*K50</f>
        <v>35.97</v>
      </c>
      <c r="M50" s="435">
        <f>'Ajud Manutenção'!K15*C50+'Ajud Manutenção'!L15*E50+'Ajud Manutenção'!M15*G50</f>
        <v>165.14568</v>
      </c>
      <c r="N50" s="1035"/>
      <c r="O50" s="436">
        <f t="shared" si="3"/>
        <v>54.733539110544001</v>
      </c>
      <c r="P50" s="436">
        <f t="shared" si="1"/>
        <v>1462.43</v>
      </c>
      <c r="Q50" s="437">
        <f t="shared" si="4"/>
        <v>1517.163539110544</v>
      </c>
      <c r="R50" s="901"/>
      <c r="S50" s="901"/>
      <c r="T50" s="901"/>
    </row>
    <row r="51" spans="1:25" ht="15" hidden="1" customHeight="1" x14ac:dyDescent="0.25">
      <c r="A51" s="430"/>
      <c r="B51" s="431" t="str">
        <f t="shared" si="2"/>
        <v>Oficial em Telecom / Eletrônica</v>
      </c>
      <c r="C51" s="432">
        <f>Dados!D107</f>
        <v>2</v>
      </c>
      <c r="D51" s="433">
        <f>'Ofic. Eletrônico'!$K$46*C51</f>
        <v>23.54</v>
      </c>
      <c r="E51" s="432">
        <f>Dados!E107</f>
        <v>2</v>
      </c>
      <c r="F51" s="433">
        <f>'Ofic. Eletrônico'!L46*E51</f>
        <v>90.76</v>
      </c>
      <c r="G51" s="432">
        <f>Dados!E107</f>
        <v>2</v>
      </c>
      <c r="H51" s="433">
        <f>'Ofic. Eletrônico'!M46*G51</f>
        <v>120.98</v>
      </c>
      <c r="I51" s="434">
        <f>Dados!F107</f>
        <v>1</v>
      </c>
      <c r="J51" s="433">
        <f>'Ofic. Eletrônico'!$N$46*I51</f>
        <v>37.44</v>
      </c>
      <c r="K51" s="434">
        <f>Dados!G107</f>
        <v>1</v>
      </c>
      <c r="L51" s="433">
        <f>'Ofic. Eletrônico'!$O$46*K51</f>
        <v>35.97</v>
      </c>
      <c r="M51" s="435">
        <f>'Ofic. Eletrônico'!K15*C51+'Ofic. Eletrônico'!L15*E51+'Ofic. Eletrônico'!M15*G51</f>
        <v>196.93296000000001</v>
      </c>
      <c r="N51" s="1035"/>
      <c r="O51" s="436">
        <f t="shared" si="3"/>
        <v>65.268663814367997</v>
      </c>
      <c r="P51" s="436">
        <f t="shared" si="1"/>
        <v>1744.1</v>
      </c>
      <c r="Q51" s="437">
        <f t="shared" si="4"/>
        <v>1809.3686638143679</v>
      </c>
      <c r="R51" s="901"/>
      <c r="S51" s="901"/>
      <c r="T51" s="901"/>
    </row>
    <row r="52" spans="1:25" ht="15" hidden="1" customHeight="1" x14ac:dyDescent="0.25">
      <c r="A52" s="430"/>
      <c r="B52" s="431" t="str">
        <f t="shared" si="2"/>
        <v>Oficial Encanador / Bombeiro</v>
      </c>
      <c r="C52" s="432">
        <f>Dados!D108</f>
        <v>2</v>
      </c>
      <c r="D52" s="433">
        <f>'Ofic. Encanador'!$K$46*C52</f>
        <v>29.38</v>
      </c>
      <c r="E52" s="432">
        <f>Dados!E108</f>
        <v>2</v>
      </c>
      <c r="F52" s="433">
        <f>'Ofic. Encanador'!L46*E52</f>
        <v>113.1</v>
      </c>
      <c r="G52" s="432">
        <f>Dados!E108</f>
        <v>2</v>
      </c>
      <c r="H52" s="433">
        <f>'Ofic. Encanador'!M46*G52</f>
        <v>150.76</v>
      </c>
      <c r="I52" s="434">
        <f>Dados!F108</f>
        <v>1</v>
      </c>
      <c r="J52" s="433">
        <f>'Ofic. Encanador'!$N$46*I52</f>
        <v>37.44</v>
      </c>
      <c r="K52" s="434">
        <f>Dados!G108</f>
        <v>1</v>
      </c>
      <c r="L52" s="433">
        <f>'Ofic. Encanador'!$O$46*K52</f>
        <v>35.97</v>
      </c>
      <c r="M52" s="435">
        <f>'Ofic. Encanador'!K15*C52+'Ofic. Encanador'!L15*E52+'Ofic. Encanador'!M15*G52</f>
        <v>245.44295999999997</v>
      </c>
      <c r="N52" s="1035"/>
      <c r="O52" s="436">
        <f t="shared" si="3"/>
        <v>81.346129372367983</v>
      </c>
      <c r="P52" s="436">
        <f t="shared" si="1"/>
        <v>2173.89</v>
      </c>
      <c r="Q52" s="437">
        <f t="shared" si="4"/>
        <v>2255.2361293723679</v>
      </c>
      <c r="R52" s="901"/>
      <c r="S52" s="901"/>
      <c r="T52" s="901"/>
    </row>
    <row r="53" spans="1:25" ht="15" hidden="1" customHeight="1" x14ac:dyDescent="0.25">
      <c r="A53" s="430"/>
      <c r="B53" s="431" t="str">
        <f t="shared" si="2"/>
        <v>Oficial Marceneiro</v>
      </c>
      <c r="C53" s="432">
        <f>Dados!D109</f>
        <v>2</v>
      </c>
      <c r="D53" s="433">
        <f>'Ofic Marceneiro'!$K$46*C53</f>
        <v>26.5</v>
      </c>
      <c r="E53" s="432">
        <f>Dados!E109</f>
        <v>2</v>
      </c>
      <c r="F53" s="433">
        <f>'Ofic Marceneiro'!L46*E53</f>
        <v>101.92</v>
      </c>
      <c r="G53" s="432">
        <f>Dados!E109</f>
        <v>2</v>
      </c>
      <c r="H53" s="433">
        <f>'Ofic Marceneiro'!M46*G53</f>
        <v>135.88</v>
      </c>
      <c r="I53" s="434">
        <f>Dados!F109</f>
        <v>1</v>
      </c>
      <c r="J53" s="433">
        <f>'Ofic Marceneiro'!$N$46*I53</f>
        <v>37.44</v>
      </c>
      <c r="K53" s="434">
        <f>Dados!G109</f>
        <v>1</v>
      </c>
      <c r="L53" s="433">
        <f>'Ofic Marceneiro'!$O$46*K53</f>
        <v>35.97</v>
      </c>
      <c r="M53" s="435">
        <f>'Ofic Marceneiro'!K15*C53+'Ofic Marceneiro'!L15*E53+'Ofic Marceneiro'!M15*G53</f>
        <v>221.24088</v>
      </c>
      <c r="N53" s="1035"/>
      <c r="O53" s="436">
        <f t="shared" si="3"/>
        <v>73.324935646704006</v>
      </c>
      <c r="P53" s="436">
        <f t="shared" si="1"/>
        <v>979.5</v>
      </c>
      <c r="Q53" s="437">
        <f t="shared" si="4"/>
        <v>1052.824935646704</v>
      </c>
      <c r="R53" s="901"/>
      <c r="S53" s="901"/>
      <c r="T53" s="901"/>
    </row>
    <row r="54" spans="1:25" ht="15" hidden="1" customHeight="1" x14ac:dyDescent="0.25">
      <c r="A54" s="430"/>
      <c r="B54" s="431" t="str">
        <f t="shared" si="2"/>
        <v>Pedreiro</v>
      </c>
      <c r="C54" s="432">
        <f>Dados!D110</f>
        <v>2</v>
      </c>
      <c r="D54" s="433">
        <f>'Ofic. Pedreiro'!$K$46*C54</f>
        <v>23.54</v>
      </c>
      <c r="E54" s="432">
        <f>Dados!E110</f>
        <v>2</v>
      </c>
      <c r="F54" s="433">
        <f>'Ofic. Pedreiro'!L46*E54</f>
        <v>90.76</v>
      </c>
      <c r="G54" s="432">
        <f>Dados!E110</f>
        <v>2</v>
      </c>
      <c r="H54" s="433">
        <f>'Ofic. Pedreiro'!M46*G54</f>
        <v>120.98</v>
      </c>
      <c r="I54" s="434">
        <f>Dados!F110</f>
        <v>1</v>
      </c>
      <c r="J54" s="433">
        <f>'Ofic. Pedreiro'!$N$46*I54</f>
        <v>37.44</v>
      </c>
      <c r="K54" s="434">
        <f>Dados!G110</f>
        <v>1</v>
      </c>
      <c r="L54" s="433">
        <f>'Ofic. Pedreiro'!$O$46*K54</f>
        <v>35.97</v>
      </c>
      <c r="M54" s="435">
        <f>'Ofic. Pedreiro'!K15*C54+'Ofic. Pedreiro'!L15*E54+'Ofic. Pedreiro'!M15*G54</f>
        <v>196.93296000000001</v>
      </c>
      <c r="N54" s="1035"/>
      <c r="O54" s="436">
        <f t="shared" si="3"/>
        <v>65.268663814367997</v>
      </c>
      <c r="P54" s="436">
        <f t="shared" si="1"/>
        <v>1744.1</v>
      </c>
      <c r="Q54" s="437">
        <f t="shared" si="4"/>
        <v>1809.3686638143679</v>
      </c>
      <c r="R54" s="901"/>
      <c r="S54" s="901"/>
      <c r="T54" s="901"/>
    </row>
    <row r="55" spans="1:25" ht="15" hidden="1" customHeight="1" x14ac:dyDescent="0.25">
      <c r="A55" s="430"/>
      <c r="B55" s="431" t="str">
        <f t="shared" si="2"/>
        <v>Serralheiro</v>
      </c>
      <c r="C55" s="432">
        <f>Dados!D111</f>
        <v>2</v>
      </c>
      <c r="D55" s="433">
        <f>'Ofic. Serralheiro'!$K$46*C55</f>
        <v>23.54</v>
      </c>
      <c r="E55" s="432">
        <f>Dados!E111</f>
        <v>2</v>
      </c>
      <c r="F55" s="433">
        <f>'Ofic. Serralheiro'!L46*E55</f>
        <v>90.76</v>
      </c>
      <c r="G55" s="432">
        <f>Dados!E111</f>
        <v>2</v>
      </c>
      <c r="H55" s="433">
        <f>'Ofic. Serralheiro'!M46*G55</f>
        <v>120.98</v>
      </c>
      <c r="I55" s="434">
        <f>Dados!F111</f>
        <v>1</v>
      </c>
      <c r="J55" s="433">
        <f>'Ofic. Serralheiro'!$N$46*I55</f>
        <v>37.44</v>
      </c>
      <c r="K55" s="434">
        <f>Dados!G111</f>
        <v>1</v>
      </c>
      <c r="L55" s="433">
        <f>'Ofic. Serralheiro'!$O$46*K55</f>
        <v>35.97</v>
      </c>
      <c r="M55" s="435">
        <f>'Ofic. Serralheiro'!K15*C55+'Ofic. Serralheiro'!L15*E55+'Ofic. Serralheiro'!M15*G55</f>
        <v>196.93296000000001</v>
      </c>
      <c r="N55" s="1035"/>
      <c r="O55" s="436">
        <f t="shared" si="3"/>
        <v>65.268663814367997</v>
      </c>
      <c r="P55" s="436">
        <f t="shared" si="1"/>
        <v>3488.19</v>
      </c>
      <c r="Q55" s="437">
        <f t="shared" si="4"/>
        <v>3553.4586638143683</v>
      </c>
      <c r="R55" s="901"/>
      <c r="S55" s="901"/>
      <c r="T55" s="901"/>
    </row>
    <row r="56" spans="1:25" ht="15" hidden="1" customHeight="1" x14ac:dyDescent="0.25">
      <c r="A56" s="430"/>
      <c r="B56" s="431" t="str">
        <f t="shared" si="2"/>
        <v>Pintor / Gesseiro</v>
      </c>
      <c r="C56" s="432">
        <f>Dados!D112</f>
        <v>2</v>
      </c>
      <c r="D56" s="433">
        <f>'Ofic. Pintor'!$K$46*C56</f>
        <v>23.54</v>
      </c>
      <c r="E56" s="432">
        <f>Dados!E112</f>
        <v>2</v>
      </c>
      <c r="F56" s="433">
        <f>'Ofic. Pintor'!L46*E56</f>
        <v>90.76</v>
      </c>
      <c r="G56" s="432">
        <f>Dados!E112</f>
        <v>2</v>
      </c>
      <c r="H56" s="433">
        <f>'Ofic. Pintor'!M46*G56</f>
        <v>120.98</v>
      </c>
      <c r="I56" s="434">
        <f>Dados!F112</f>
        <v>1</v>
      </c>
      <c r="J56" s="433">
        <f>'Ofic. Pintor'!$N$46*I56</f>
        <v>37.44</v>
      </c>
      <c r="K56" s="434">
        <f>Dados!G112</f>
        <v>1</v>
      </c>
      <c r="L56" s="433">
        <f>'Ofic. Pintor'!$O$46*K56</f>
        <v>35.97</v>
      </c>
      <c r="M56" s="435">
        <f>'Ofic. Pintor'!K15*C56+'Ofic. Pintor'!L15*E56+'Ofic. Pintor'!M15*G56</f>
        <v>196.93296000000001</v>
      </c>
      <c r="N56" s="1035"/>
      <c r="O56" s="436">
        <f t="shared" si="3"/>
        <v>65.268663814367997</v>
      </c>
      <c r="P56" s="436">
        <f t="shared" si="1"/>
        <v>1744.1</v>
      </c>
      <c r="Q56" s="437">
        <f t="shared" si="4"/>
        <v>1809.3686638143679</v>
      </c>
      <c r="R56" s="901"/>
      <c r="S56" s="901"/>
      <c r="T56" s="901"/>
    </row>
    <row r="57" spans="1:25" ht="15" hidden="1" customHeight="1" thickBot="1" x14ac:dyDescent="0.3">
      <c r="A57" s="1229" t="s">
        <v>79</v>
      </c>
      <c r="B57" s="1230"/>
      <c r="C57" s="1231"/>
      <c r="D57" s="438">
        <f>SUM(D41:D56)</f>
        <v>461.46000000000009</v>
      </c>
      <c r="E57" s="438"/>
      <c r="F57" s="438">
        <f>SUM(F41:F56)</f>
        <v>2400.1400000000003</v>
      </c>
      <c r="G57" s="438"/>
      <c r="H57" s="438">
        <f>SUM(H41:H56)</f>
        <v>3200.0000000000005</v>
      </c>
      <c r="I57" s="438"/>
      <c r="J57" s="438">
        <f>SUM(J41:J56)</f>
        <v>675.48000000000025</v>
      </c>
      <c r="K57" s="438"/>
      <c r="L57" s="438">
        <f>SUM(L41:L56)</f>
        <v>575.52000000000021</v>
      </c>
      <c r="M57" s="439">
        <f>SUM(M41:M56)</f>
        <v>5073.5462400000015</v>
      </c>
      <c r="N57" s="439"/>
      <c r="O57" s="439">
        <f>SUM(O41:O56)</f>
        <v>1681.504121428992</v>
      </c>
      <c r="P57" s="439">
        <f>SUM(P41:P56)</f>
        <v>38289.360000000001</v>
      </c>
      <c r="Q57" s="440">
        <f>SUM(Q41:Q56)</f>
        <v>39970.864121428996</v>
      </c>
      <c r="R57" s="901"/>
      <c r="S57" s="901"/>
      <c r="T57" s="901"/>
    </row>
    <row r="58" spans="1:25" ht="15" hidden="1" customHeight="1" thickBot="1" x14ac:dyDescent="0.3">
      <c r="A58" s="901"/>
      <c r="B58" s="901"/>
      <c r="C58" s="901"/>
      <c r="D58" s="901"/>
      <c r="E58" s="901"/>
      <c r="F58" s="901"/>
      <c r="G58" s="901"/>
      <c r="H58" s="901"/>
      <c r="I58" s="901"/>
      <c r="J58" s="901"/>
      <c r="K58" s="901"/>
      <c r="L58" s="900"/>
      <c r="M58" s="900"/>
      <c r="N58" s="900"/>
      <c r="O58" s="900"/>
      <c r="P58" s="900"/>
      <c r="Q58" s="901"/>
      <c r="R58" s="901"/>
      <c r="S58" s="901"/>
      <c r="T58" s="901"/>
    </row>
    <row r="59" spans="1:25" ht="15" hidden="1" customHeight="1" thickBot="1" x14ac:dyDescent="0.3">
      <c r="A59" s="1219" t="s">
        <v>80</v>
      </c>
      <c r="B59" s="1220"/>
      <c r="C59" s="1220"/>
      <c r="D59" s="1220"/>
      <c r="E59" s="405" t="s">
        <v>81</v>
      </c>
      <c r="F59" s="406" t="s">
        <v>82</v>
      </c>
      <c r="G59" s="901"/>
      <c r="H59" s="901"/>
      <c r="I59" s="901"/>
      <c r="J59" s="901"/>
      <c r="K59" s="900"/>
      <c r="L59" s="900"/>
      <c r="M59" s="900"/>
      <c r="N59" s="900"/>
      <c r="O59" s="900"/>
      <c r="P59" s="901"/>
      <c r="Q59" s="901"/>
      <c r="R59" s="901"/>
      <c r="S59" s="901"/>
      <c r="T59" s="902"/>
      <c r="Y59" s="4"/>
    </row>
    <row r="60" spans="1:25" ht="15" hidden="1" customHeight="1" x14ac:dyDescent="0.25">
      <c r="A60" s="1215" t="s">
        <v>83</v>
      </c>
      <c r="B60" s="1207" t="s">
        <v>84</v>
      </c>
      <c r="C60" s="1208"/>
      <c r="D60" s="1208"/>
      <c r="E60" s="1204" t="s">
        <v>85</v>
      </c>
      <c r="F60" s="1209" t="s">
        <v>86</v>
      </c>
      <c r="G60" s="901"/>
      <c r="H60" s="901"/>
      <c r="I60" s="901"/>
      <c r="J60" s="901"/>
      <c r="K60" s="900"/>
      <c r="L60" s="900"/>
      <c r="M60" s="900"/>
      <c r="N60" s="900"/>
      <c r="O60" s="900"/>
      <c r="P60" s="901"/>
      <c r="Q60" s="901"/>
      <c r="R60" s="901"/>
      <c r="S60" s="901"/>
      <c r="T60" s="902"/>
      <c r="Y60" s="4"/>
    </row>
    <row r="61" spans="1:25" ht="15" hidden="1" customHeight="1" x14ac:dyDescent="0.25">
      <c r="A61" s="1216"/>
      <c r="B61" s="397" t="s">
        <v>87</v>
      </c>
      <c r="C61" s="401" t="s">
        <v>88</v>
      </c>
      <c r="D61" s="409">
        <f>'Resumo_1.1'!E56</f>
        <v>311963.64000000007</v>
      </c>
      <c r="E61" s="1205"/>
      <c r="F61" s="1210"/>
      <c r="G61" s="901"/>
      <c r="H61" s="901"/>
      <c r="I61" s="901"/>
      <c r="J61" s="901"/>
      <c r="K61" s="900"/>
      <c r="L61" s="900"/>
      <c r="M61" s="900"/>
      <c r="N61" s="900"/>
      <c r="O61" s="900"/>
      <c r="P61" s="901"/>
      <c r="Q61" s="901"/>
      <c r="R61" s="901"/>
      <c r="S61" s="901"/>
      <c r="T61" s="902"/>
      <c r="Y61" s="4"/>
    </row>
    <row r="62" spans="1:25" ht="15" hidden="1" customHeight="1" x14ac:dyDescent="0.25">
      <c r="A62" s="1216"/>
      <c r="B62" s="397" t="s">
        <v>89</v>
      </c>
      <c r="C62" s="293"/>
      <c r="D62" s="293"/>
      <c r="E62" s="1205"/>
      <c r="F62" s="1210"/>
      <c r="G62" s="901"/>
      <c r="H62" s="901"/>
      <c r="I62" s="901"/>
      <c r="J62" s="901"/>
      <c r="K62" s="900"/>
      <c r="L62" s="900"/>
      <c r="M62" s="900"/>
      <c r="N62" s="900"/>
      <c r="O62" s="900"/>
      <c r="P62" s="901"/>
      <c r="Q62" s="901"/>
      <c r="R62" s="901"/>
      <c r="S62" s="901"/>
      <c r="T62" s="902"/>
      <c r="Y62" s="4"/>
    </row>
    <row r="63" spans="1:25" ht="15" hidden="1" customHeight="1" x14ac:dyDescent="0.25">
      <c r="A63" s="1216"/>
      <c r="B63" s="399" t="s">
        <v>90</v>
      </c>
      <c r="C63" s="400" t="s">
        <v>88</v>
      </c>
      <c r="D63" s="403">
        <f>D61+D62</f>
        <v>311963.64000000007</v>
      </c>
      <c r="E63" s="1205"/>
      <c r="F63" s="1210"/>
      <c r="G63" s="901"/>
      <c r="H63" s="901"/>
      <c r="I63" s="901"/>
      <c r="J63" s="901"/>
      <c r="K63" s="900"/>
      <c r="L63" s="900"/>
      <c r="M63" s="900"/>
      <c r="N63" s="900"/>
      <c r="O63" s="900"/>
      <c r="P63" s="901"/>
      <c r="Q63" s="901"/>
      <c r="R63" s="901"/>
      <c r="S63" s="901"/>
      <c r="T63" s="902"/>
      <c r="Y63" s="4"/>
    </row>
    <row r="64" spans="1:25" ht="15" hidden="1" customHeight="1" x14ac:dyDescent="0.25">
      <c r="A64" s="1216"/>
      <c r="B64" s="397" t="s">
        <v>91</v>
      </c>
      <c r="C64" s="293"/>
      <c r="D64" s="293"/>
      <c r="E64" s="1205"/>
      <c r="F64" s="1210"/>
      <c r="G64" s="901"/>
      <c r="H64" s="901"/>
      <c r="I64" s="901"/>
      <c r="J64" s="901"/>
      <c r="K64" s="900"/>
      <c r="L64" s="900"/>
      <c r="M64" s="900"/>
      <c r="N64" s="900"/>
      <c r="O64" s="900"/>
      <c r="P64" s="901"/>
      <c r="Q64" s="901"/>
      <c r="R64" s="901"/>
      <c r="S64" s="901"/>
      <c r="T64" s="902"/>
      <c r="Y64" s="4"/>
    </row>
    <row r="65" spans="1:25" ht="15" hidden="1" customHeight="1" thickBot="1" x14ac:dyDescent="0.3">
      <c r="A65" s="1217"/>
      <c r="B65" s="407" t="s">
        <v>92</v>
      </c>
      <c r="C65" s="407"/>
      <c r="D65" s="408">
        <f>D63-D64</f>
        <v>311963.64000000007</v>
      </c>
      <c r="E65" s="1206"/>
      <c r="F65" s="1211"/>
      <c r="G65" s="901"/>
      <c r="H65" s="901"/>
      <c r="I65" s="901"/>
      <c r="J65" s="901"/>
      <c r="K65" s="900"/>
      <c r="L65" s="900"/>
      <c r="M65" s="900"/>
      <c r="N65" s="900"/>
      <c r="O65" s="900"/>
      <c r="P65" s="901"/>
      <c r="Q65" s="901"/>
      <c r="R65" s="901"/>
      <c r="S65" s="901"/>
      <c r="T65" s="902"/>
      <c r="Y65" s="4"/>
    </row>
    <row r="66" spans="1:25" ht="15" hidden="1" customHeight="1" x14ac:dyDescent="0.25">
      <c r="A66" s="1215" t="s">
        <v>93</v>
      </c>
      <c r="B66" s="1207" t="s">
        <v>94</v>
      </c>
      <c r="C66" s="1208"/>
      <c r="D66" s="1208"/>
      <c r="E66" s="1204" t="s">
        <v>95</v>
      </c>
      <c r="F66" s="1209" t="s">
        <v>96</v>
      </c>
      <c r="G66" s="901"/>
      <c r="H66" s="901"/>
      <c r="I66" s="901"/>
      <c r="J66" s="901"/>
      <c r="K66" s="900"/>
      <c r="L66" s="900"/>
      <c r="M66" s="900"/>
      <c r="N66" s="900"/>
      <c r="O66" s="900"/>
      <c r="P66" s="901"/>
      <c r="Q66" s="901"/>
      <c r="R66" s="901"/>
      <c r="S66" s="901"/>
      <c r="T66" s="902"/>
      <c r="Y66" s="4"/>
    </row>
    <row r="67" spans="1:25" ht="15" hidden="1" customHeight="1" x14ac:dyDescent="0.25">
      <c r="A67" s="1216"/>
      <c r="B67" s="397" t="s">
        <v>87</v>
      </c>
      <c r="C67" s="401" t="s">
        <v>88</v>
      </c>
      <c r="D67" s="409">
        <f>'Resumo_1.2'!I37</f>
        <v>0</v>
      </c>
      <c r="E67" s="1205"/>
      <c r="F67" s="1210"/>
      <c r="G67" s="901"/>
      <c r="H67" s="901"/>
      <c r="I67" s="901"/>
      <c r="J67" s="901"/>
      <c r="K67" s="900"/>
      <c r="L67" s="900"/>
      <c r="M67" s="900"/>
      <c r="N67" s="900"/>
      <c r="O67" s="900"/>
      <c r="P67" s="901"/>
      <c r="Q67" s="901"/>
      <c r="R67" s="901"/>
      <c r="S67" s="901"/>
      <c r="T67" s="902"/>
      <c r="Y67" s="4"/>
    </row>
    <row r="68" spans="1:25" ht="15" hidden="1" customHeight="1" x14ac:dyDescent="0.25">
      <c r="A68" s="1216"/>
      <c r="B68" s="397" t="s">
        <v>89</v>
      </c>
      <c r="C68" s="293"/>
      <c r="D68" s="293"/>
      <c r="E68" s="1205"/>
      <c r="F68" s="1210"/>
      <c r="G68" s="901"/>
      <c r="H68" s="901"/>
      <c r="I68" s="901"/>
      <c r="J68" s="901"/>
      <c r="K68" s="900"/>
      <c r="L68" s="900"/>
      <c r="M68" s="900"/>
      <c r="N68" s="900"/>
      <c r="O68" s="900"/>
      <c r="P68" s="901"/>
      <c r="Q68" s="901"/>
      <c r="R68" s="901"/>
      <c r="S68" s="901"/>
      <c r="T68" s="902"/>
      <c r="Y68" s="4"/>
    </row>
    <row r="69" spans="1:25" ht="15" hidden="1" customHeight="1" x14ac:dyDescent="0.25">
      <c r="A69" s="1216"/>
      <c r="B69" s="399" t="s">
        <v>90</v>
      </c>
      <c r="C69" s="400" t="s">
        <v>88</v>
      </c>
      <c r="D69" s="403">
        <f>D67+D68</f>
        <v>0</v>
      </c>
      <c r="E69" s="1205"/>
      <c r="F69" s="1210"/>
      <c r="G69" s="901"/>
      <c r="H69" s="901"/>
      <c r="I69" s="901"/>
      <c r="J69" s="901"/>
      <c r="K69" s="900"/>
      <c r="L69" s="900"/>
      <c r="M69" s="900"/>
      <c r="N69" s="900"/>
      <c r="O69" s="900"/>
      <c r="P69" s="901"/>
      <c r="Q69" s="901"/>
      <c r="R69" s="901"/>
      <c r="S69" s="901"/>
      <c r="T69" s="902"/>
      <c r="Y69" s="4"/>
    </row>
    <row r="70" spans="1:25" ht="15" hidden="1" customHeight="1" x14ac:dyDescent="0.25">
      <c r="A70" s="1216"/>
      <c r="B70" s="397" t="s">
        <v>91</v>
      </c>
      <c r="C70" s="293"/>
      <c r="D70" s="293"/>
      <c r="E70" s="1205"/>
      <c r="F70" s="1210"/>
      <c r="G70" s="901"/>
      <c r="H70" s="901"/>
      <c r="I70" s="901"/>
      <c r="J70" s="901"/>
      <c r="K70" s="901"/>
      <c r="L70" s="900"/>
      <c r="M70" s="900"/>
      <c r="N70" s="900"/>
      <c r="O70" s="900"/>
      <c r="P70" s="900"/>
      <c r="Q70" s="901"/>
      <c r="R70" s="901"/>
      <c r="S70" s="901"/>
      <c r="T70" s="901"/>
    </row>
    <row r="71" spans="1:25" ht="15" hidden="1" customHeight="1" thickBot="1" x14ac:dyDescent="0.3">
      <c r="A71" s="1217"/>
      <c r="B71" s="407" t="s">
        <v>92</v>
      </c>
      <c r="C71" s="407"/>
      <c r="D71" s="408">
        <f>D69-D70</f>
        <v>0</v>
      </c>
      <c r="E71" s="1206"/>
      <c r="F71" s="1211"/>
      <c r="G71" s="901"/>
      <c r="H71" s="901"/>
      <c r="I71" s="901"/>
      <c r="J71" s="901"/>
      <c r="K71" s="901"/>
      <c r="L71" s="900"/>
      <c r="M71" s="900"/>
      <c r="N71" s="900"/>
      <c r="O71" s="900"/>
      <c r="P71" s="900"/>
      <c r="Q71" s="901"/>
      <c r="R71" s="901"/>
      <c r="S71" s="901"/>
      <c r="T71" s="901"/>
    </row>
    <row r="72" spans="1:25" ht="15" hidden="1" customHeight="1" x14ac:dyDescent="0.25">
      <c r="A72" s="1215" t="s">
        <v>97</v>
      </c>
      <c r="B72" s="1207" t="s">
        <v>98</v>
      </c>
      <c r="C72" s="1208"/>
      <c r="D72" s="1208"/>
      <c r="E72" s="1204" t="s">
        <v>99</v>
      </c>
      <c r="F72" s="1209" t="s">
        <v>100</v>
      </c>
      <c r="G72" s="901"/>
      <c r="H72" s="901"/>
      <c r="I72" s="901"/>
      <c r="J72" s="901"/>
      <c r="K72" s="901"/>
      <c r="L72" s="900"/>
      <c r="M72" s="900"/>
      <c r="N72" s="900"/>
      <c r="O72" s="900"/>
      <c r="P72" s="900"/>
      <c r="Q72" s="901"/>
      <c r="R72" s="901"/>
      <c r="S72" s="901"/>
      <c r="T72" s="901"/>
    </row>
    <row r="73" spans="1:25" ht="15" hidden="1" customHeight="1" x14ac:dyDescent="0.25">
      <c r="A73" s="1216"/>
      <c r="B73" s="397" t="s">
        <v>87</v>
      </c>
      <c r="C73" s="401" t="s">
        <v>101</v>
      </c>
      <c r="D73" s="410">
        <v>0</v>
      </c>
      <c r="E73" s="1205"/>
      <c r="F73" s="1210"/>
      <c r="G73" s="901"/>
      <c r="H73" s="901"/>
      <c r="I73" s="901"/>
      <c r="J73" s="901"/>
      <c r="K73" s="901"/>
      <c r="L73" s="900"/>
      <c r="M73" s="900"/>
      <c r="N73" s="900"/>
      <c r="O73" s="900"/>
      <c r="P73" s="900"/>
      <c r="Q73" s="901"/>
      <c r="R73" s="901"/>
      <c r="S73" s="901"/>
      <c r="T73" s="901"/>
    </row>
    <row r="74" spans="1:25" ht="15" hidden="1" customHeight="1" x14ac:dyDescent="0.25">
      <c r="A74" s="1216"/>
      <c r="B74" s="397" t="s">
        <v>102</v>
      </c>
      <c r="C74" s="398">
        <f>'BDI Diferenciado 1.2 E 1.3'!H25</f>
        <v>0.14960000000000001</v>
      </c>
      <c r="D74" s="402">
        <f>D73*C74</f>
        <v>0</v>
      </c>
      <c r="E74" s="1205"/>
      <c r="F74" s="1210"/>
      <c r="G74" s="901"/>
      <c r="H74" s="901"/>
      <c r="I74" s="901"/>
      <c r="J74" s="901"/>
      <c r="K74" s="901"/>
      <c r="L74" s="900"/>
      <c r="M74" s="900"/>
      <c r="N74" s="900"/>
      <c r="O74" s="900"/>
      <c r="P74" s="900"/>
      <c r="Q74" s="901"/>
      <c r="R74" s="901"/>
      <c r="S74" s="901"/>
      <c r="T74" s="901"/>
    </row>
    <row r="75" spans="1:25" ht="15" hidden="1" customHeight="1" x14ac:dyDescent="0.25">
      <c r="A75" s="1216"/>
      <c r="B75" s="399" t="s">
        <v>90</v>
      </c>
      <c r="C75" s="400" t="s">
        <v>88</v>
      </c>
      <c r="D75" s="403">
        <f>D73+D74</f>
        <v>0</v>
      </c>
      <c r="E75" s="1205"/>
      <c r="F75" s="1210"/>
      <c r="G75" s="901"/>
      <c r="H75" s="901"/>
      <c r="I75" s="901"/>
      <c r="J75" s="901"/>
      <c r="K75" s="901"/>
      <c r="L75" s="900"/>
      <c r="M75" s="900"/>
      <c r="N75" s="900"/>
      <c r="O75" s="900"/>
      <c r="P75" s="900"/>
      <c r="Q75" s="901"/>
      <c r="R75" s="901"/>
      <c r="S75" s="901"/>
      <c r="T75" s="901"/>
    </row>
    <row r="76" spans="1:25" ht="15" hidden="1" customHeight="1" x14ac:dyDescent="0.25">
      <c r="A76" s="1216"/>
      <c r="B76" s="397" t="s">
        <v>91</v>
      </c>
      <c r="C76" s="398">
        <f>'1.3-Insumos (exemplos)'!J11</f>
        <v>1</v>
      </c>
      <c r="D76" s="404">
        <f>D75*C76</f>
        <v>0</v>
      </c>
      <c r="E76" s="1205"/>
      <c r="F76" s="1210"/>
      <c r="G76" s="901"/>
      <c r="H76" s="901"/>
      <c r="I76" s="901"/>
      <c r="J76" s="901"/>
      <c r="K76" s="901"/>
      <c r="L76" s="900"/>
      <c r="M76" s="900"/>
      <c r="N76" s="900"/>
      <c r="O76" s="900"/>
      <c r="P76" s="900"/>
      <c r="Q76" s="901"/>
      <c r="R76" s="901"/>
      <c r="S76" s="901"/>
      <c r="T76" s="901"/>
    </row>
    <row r="77" spans="1:25" ht="15" hidden="1" customHeight="1" thickBot="1" x14ac:dyDescent="0.3">
      <c r="A77" s="1217"/>
      <c r="B77" s="407" t="s">
        <v>92</v>
      </c>
      <c r="C77" s="407"/>
      <c r="D77" s="408">
        <f>D75-D76</f>
        <v>0</v>
      </c>
      <c r="E77" s="1206"/>
      <c r="F77" s="1211"/>
      <c r="G77" s="901"/>
      <c r="H77" s="901"/>
      <c r="I77" s="901"/>
      <c r="J77" s="901"/>
      <c r="K77" s="901"/>
      <c r="L77" s="900"/>
      <c r="M77" s="900"/>
      <c r="N77" s="900"/>
      <c r="O77" s="900"/>
      <c r="P77" s="900"/>
      <c r="Q77" s="901"/>
      <c r="R77" s="901"/>
      <c r="S77" s="901"/>
      <c r="T77" s="901"/>
    </row>
    <row r="78" spans="1:25" ht="15" hidden="1" customHeight="1" x14ac:dyDescent="0.25">
      <c r="A78" s="1215" t="s">
        <v>103</v>
      </c>
      <c r="B78" s="1207" t="s">
        <v>104</v>
      </c>
      <c r="C78" s="1208"/>
      <c r="D78" s="1208"/>
      <c r="E78" s="1204" t="s">
        <v>105</v>
      </c>
      <c r="F78" s="1209" t="s">
        <v>86</v>
      </c>
      <c r="G78" s="901"/>
      <c r="H78" s="901"/>
      <c r="I78" s="901"/>
      <c r="J78" s="901"/>
      <c r="K78" s="901"/>
      <c r="L78" s="900"/>
      <c r="M78" s="900"/>
      <c r="N78" s="900"/>
      <c r="O78" s="900"/>
      <c r="P78" s="900"/>
      <c r="Q78" s="901"/>
      <c r="R78" s="901"/>
      <c r="S78" s="901"/>
      <c r="T78" s="901"/>
    </row>
    <row r="79" spans="1:25" ht="15" hidden="1" customHeight="1" x14ac:dyDescent="0.25">
      <c r="A79" s="1216"/>
      <c r="B79" s="397" t="s">
        <v>106</v>
      </c>
      <c r="C79" s="401" t="s">
        <v>88</v>
      </c>
      <c r="D79" s="410">
        <v>0</v>
      </c>
      <c r="E79" s="1205"/>
      <c r="F79" s="1210"/>
      <c r="G79" s="901"/>
      <c r="H79" s="901"/>
      <c r="I79" s="901"/>
      <c r="J79" s="901"/>
      <c r="K79" s="901"/>
      <c r="L79" s="900"/>
      <c r="M79" s="900"/>
      <c r="N79" s="900"/>
      <c r="O79" s="900"/>
      <c r="P79" s="900"/>
      <c r="Q79" s="901"/>
      <c r="R79" s="901"/>
      <c r="S79" s="901"/>
      <c r="T79" s="901"/>
    </row>
    <row r="80" spans="1:25" ht="15" hidden="1" customHeight="1" x14ac:dyDescent="0.25">
      <c r="A80" s="1216"/>
      <c r="B80" s="397" t="s">
        <v>89</v>
      </c>
      <c r="C80" s="398">
        <f>'BDI Comum - 1.4'!$H$25</f>
        <v>0.24310000000000001</v>
      </c>
      <c r="D80" s="402">
        <f>D79*C80</f>
        <v>0</v>
      </c>
      <c r="E80" s="1205"/>
      <c r="F80" s="1210"/>
      <c r="G80" s="901"/>
      <c r="H80" s="901"/>
      <c r="I80" s="901"/>
      <c r="J80" s="901"/>
      <c r="K80" s="901"/>
      <c r="L80" s="900"/>
      <c r="M80" s="900"/>
      <c r="N80" s="900"/>
      <c r="O80" s="900"/>
      <c r="P80" s="900"/>
      <c r="Q80" s="901"/>
      <c r="R80" s="901"/>
      <c r="S80" s="901"/>
      <c r="T80" s="901"/>
    </row>
    <row r="81" spans="1:20" ht="15" hidden="1" customHeight="1" x14ac:dyDescent="0.25">
      <c r="A81" s="1216"/>
      <c r="B81" s="399" t="s">
        <v>107</v>
      </c>
      <c r="C81" s="400" t="s">
        <v>88</v>
      </c>
      <c r="D81" s="403">
        <f>D79+D80</f>
        <v>0</v>
      </c>
      <c r="E81" s="1205"/>
      <c r="F81" s="1210"/>
      <c r="G81" s="901"/>
      <c r="H81" s="901"/>
      <c r="I81" s="901"/>
      <c r="J81" s="901"/>
      <c r="K81" s="901"/>
      <c r="L81" s="900"/>
      <c r="M81" s="900"/>
      <c r="N81" s="900"/>
      <c r="O81" s="900"/>
      <c r="P81" s="900"/>
      <c r="Q81" s="901"/>
      <c r="R81" s="901"/>
      <c r="S81" s="901"/>
      <c r="T81" s="901"/>
    </row>
    <row r="82" spans="1:20" ht="15" hidden="1" customHeight="1" x14ac:dyDescent="0.25">
      <c r="A82" s="1216"/>
      <c r="B82" s="397" t="s">
        <v>108</v>
      </c>
      <c r="C82" s="398">
        <f>'1.4-Serviços Eventuais exemplos'!$H$11</f>
        <v>1</v>
      </c>
      <c r="D82" s="404">
        <f>D81*C82</f>
        <v>0</v>
      </c>
      <c r="E82" s="1205"/>
      <c r="F82" s="1210"/>
      <c r="G82" s="901"/>
      <c r="H82" s="901"/>
      <c r="I82" s="901"/>
      <c r="J82" s="901"/>
      <c r="K82" s="901"/>
      <c r="L82" s="900"/>
      <c r="M82" s="900"/>
      <c r="N82" s="900"/>
      <c r="O82" s="900"/>
      <c r="P82" s="900"/>
      <c r="Q82" s="901"/>
      <c r="R82" s="901"/>
      <c r="S82" s="901"/>
      <c r="T82" s="901"/>
    </row>
    <row r="83" spans="1:20" ht="15" hidden="1" customHeight="1" thickBot="1" x14ac:dyDescent="0.3">
      <c r="A83" s="1217"/>
      <c r="B83" s="407" t="s">
        <v>92</v>
      </c>
      <c r="C83" s="407"/>
      <c r="D83" s="408">
        <f>D81-D82</f>
        <v>0</v>
      </c>
      <c r="E83" s="1206"/>
      <c r="F83" s="1211"/>
      <c r="G83" s="901"/>
      <c r="H83" s="901"/>
      <c r="I83" s="901"/>
      <c r="J83" s="901"/>
      <c r="K83" s="901"/>
      <c r="L83" s="900"/>
      <c r="M83" s="900"/>
      <c r="N83" s="900"/>
      <c r="O83" s="900"/>
      <c r="P83" s="900"/>
      <c r="Q83" s="901"/>
      <c r="R83" s="901"/>
      <c r="S83" s="901"/>
      <c r="T83" s="901"/>
    </row>
    <row r="84" spans="1:20" ht="15" hidden="1" customHeight="1" x14ac:dyDescent="0.25">
      <c r="A84" s="901"/>
      <c r="B84" s="901"/>
      <c r="C84" s="901"/>
      <c r="D84" s="901"/>
      <c r="E84" s="901"/>
      <c r="F84" s="901"/>
      <c r="G84" s="901"/>
      <c r="H84" s="901"/>
      <c r="I84" s="901"/>
      <c r="J84" s="901"/>
      <c r="K84" s="901"/>
      <c r="L84" s="900"/>
      <c r="M84" s="900"/>
      <c r="N84" s="900"/>
      <c r="O84" s="900"/>
      <c r="P84" s="900"/>
      <c r="Q84" s="901"/>
      <c r="R84" s="901"/>
      <c r="S84" s="901"/>
      <c r="T84" s="901"/>
    </row>
    <row r="85" spans="1:20" ht="15" hidden="1" customHeight="1" x14ac:dyDescent="0.25">
      <c r="A85" s="901"/>
      <c r="B85" s="901"/>
      <c r="C85" s="929" t="s">
        <v>109</v>
      </c>
      <c r="D85" s="930">
        <f>D65+D71+D77+D83</f>
        <v>311963.64000000007</v>
      </c>
      <c r="E85" s="901"/>
      <c r="F85" s="901"/>
      <c r="G85" s="901"/>
      <c r="H85" s="901"/>
      <c r="I85" s="901"/>
      <c r="J85" s="901"/>
      <c r="K85" s="901"/>
      <c r="L85" s="900"/>
      <c r="M85" s="900"/>
      <c r="N85" s="900"/>
      <c r="O85" s="900"/>
      <c r="P85" s="900"/>
      <c r="Q85" s="901"/>
      <c r="R85" s="901"/>
      <c r="S85" s="901"/>
      <c r="T85" s="901"/>
    </row>
    <row r="86" spans="1:20" ht="15" hidden="1" customHeight="1" x14ac:dyDescent="0.25">
      <c r="A86" s="901"/>
      <c r="B86" s="901"/>
      <c r="C86" s="901"/>
      <c r="D86" s="901"/>
      <c r="E86" s="901"/>
      <c r="F86" s="901"/>
      <c r="G86" s="901"/>
      <c r="H86" s="901"/>
      <c r="I86" s="901"/>
      <c r="J86" s="901"/>
      <c r="K86" s="901"/>
      <c r="L86" s="900"/>
      <c r="M86" s="900"/>
      <c r="N86" s="900"/>
      <c r="O86" s="900"/>
      <c r="P86" s="900"/>
      <c r="Q86" s="901"/>
      <c r="R86" s="901"/>
      <c r="S86" s="901"/>
      <c r="T86" s="901"/>
    </row>
    <row r="87" spans="1:20" ht="15" hidden="1" customHeight="1" x14ac:dyDescent="0.25"/>
    <row r="88" spans="1:20" ht="15" hidden="1" customHeight="1" x14ac:dyDescent="0.25"/>
    <row r="89" spans="1:20" ht="15" hidden="1" customHeight="1" x14ac:dyDescent="0.25"/>
    <row r="90" spans="1:20" ht="15" hidden="1" customHeight="1" x14ac:dyDescent="0.25"/>
    <row r="91" spans="1:20" ht="15" hidden="1" customHeight="1" x14ac:dyDescent="0.25"/>
    <row r="92" spans="1:20" ht="15" hidden="1" customHeight="1" x14ac:dyDescent="0.25"/>
    <row r="93" spans="1:20" ht="15" hidden="1" customHeight="1" x14ac:dyDescent="0.25"/>
    <row r="94" spans="1:20" ht="15" hidden="1" customHeight="1" x14ac:dyDescent="0.25"/>
    <row r="95" spans="1:20" ht="15" hidden="1" customHeight="1" x14ac:dyDescent="0.25"/>
    <row r="96" spans="1:20"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spans="2:3" ht="15" hidden="1" customHeight="1" x14ac:dyDescent="0.25"/>
    <row r="146" spans="2:3" ht="15" hidden="1" customHeight="1" x14ac:dyDescent="0.25"/>
    <row r="147" spans="2:3" ht="15" hidden="1" customHeight="1" x14ac:dyDescent="0.25"/>
    <row r="148" spans="2:3" ht="15" hidden="1" customHeight="1" x14ac:dyDescent="0.25"/>
    <row r="149" spans="2:3" ht="15" hidden="1" customHeight="1" x14ac:dyDescent="0.25"/>
    <row r="150" spans="2:3" ht="15" hidden="1" customHeight="1" x14ac:dyDescent="0.25"/>
    <row r="151" spans="2:3" ht="15" hidden="1" customHeight="1" x14ac:dyDescent="0.25"/>
    <row r="152" spans="2:3" ht="15" hidden="1" customHeight="1" x14ac:dyDescent="0.25"/>
    <row r="153" spans="2:3" ht="15" hidden="1" customHeight="1" x14ac:dyDescent="0.25"/>
    <row r="154" spans="2:3" ht="15" hidden="1" customHeight="1" x14ac:dyDescent="0.25"/>
    <row r="155" spans="2:3" ht="15" hidden="1" customHeight="1" x14ac:dyDescent="0.25"/>
    <row r="156" spans="2:3" ht="15" hidden="1" customHeight="1" x14ac:dyDescent="0.25"/>
    <row r="157" spans="2:3" ht="15" hidden="1" customHeight="1" x14ac:dyDescent="0.25"/>
    <row r="158" spans="2:3" ht="15" hidden="1" customHeight="1" x14ac:dyDescent="0.25"/>
    <row r="159" spans="2:3" ht="15" hidden="1" customHeight="1" x14ac:dyDescent="0.25"/>
    <row r="160" spans="2:3" hidden="1" x14ac:dyDescent="0.25">
      <c r="B160" s="1203" t="s">
        <v>110</v>
      </c>
      <c r="C160" s="1203"/>
    </row>
    <row r="161" spans="2:4" hidden="1" x14ac:dyDescent="0.25">
      <c r="B161" s="34" t="s">
        <v>111</v>
      </c>
      <c r="C161" s="35">
        <f>Dados!G47</f>
        <v>22</v>
      </c>
      <c r="D161" s="4" t="s">
        <v>112</v>
      </c>
    </row>
    <row r="162" spans="2:4" hidden="1" x14ac:dyDescent="0.25">
      <c r="B162" s="34" t="s">
        <v>6</v>
      </c>
      <c r="C162" s="36">
        <v>30</v>
      </c>
      <c r="D162" s="4" t="s">
        <v>113</v>
      </c>
    </row>
    <row r="163" spans="2:4" hidden="1" x14ac:dyDescent="0.25">
      <c r="B163" s="34" t="s">
        <v>114</v>
      </c>
      <c r="C163" s="36" t="s">
        <v>115</v>
      </c>
      <c r="D163" s="4" t="s">
        <v>116</v>
      </c>
    </row>
    <row r="164" spans="2:4" ht="15" hidden="1" customHeight="1" x14ac:dyDescent="0.25"/>
    <row r="165" spans="2:4" ht="39.75" hidden="1" customHeight="1" x14ac:dyDescent="0.25">
      <c r="B165" s="37" t="s">
        <v>117</v>
      </c>
      <c r="C165" s="38" t="s">
        <v>118</v>
      </c>
    </row>
    <row r="166" spans="2:4" hidden="1" x14ac:dyDescent="0.25">
      <c r="B166" s="34">
        <v>220</v>
      </c>
      <c r="C166" s="34">
        <f t="shared" ref="C166:C172" si="5">B166/5/5</f>
        <v>8.8000000000000007</v>
      </c>
    </row>
    <row r="167" spans="2:4" hidden="1" x14ac:dyDescent="0.25">
      <c r="B167" s="34">
        <v>200</v>
      </c>
      <c r="C167" s="34">
        <f t="shared" si="5"/>
        <v>8</v>
      </c>
    </row>
    <row r="168" spans="2:4" hidden="1" x14ac:dyDescent="0.25">
      <c r="B168" s="34">
        <v>180</v>
      </c>
      <c r="C168" s="34">
        <f t="shared" si="5"/>
        <v>7.2</v>
      </c>
    </row>
    <row r="169" spans="2:4" hidden="1" x14ac:dyDescent="0.25">
      <c r="B169" s="34">
        <v>150</v>
      </c>
      <c r="C169" s="34">
        <f t="shared" si="5"/>
        <v>6</v>
      </c>
    </row>
    <row r="170" spans="2:4" hidden="1" x14ac:dyDescent="0.25">
      <c r="B170" s="34">
        <v>120</v>
      </c>
      <c r="C170" s="34">
        <f t="shared" si="5"/>
        <v>4.8</v>
      </c>
    </row>
    <row r="171" spans="2:4" hidden="1" x14ac:dyDescent="0.25">
      <c r="B171" s="34">
        <v>100</v>
      </c>
      <c r="C171" s="34">
        <f t="shared" si="5"/>
        <v>4</v>
      </c>
    </row>
    <row r="172" spans="2:4" hidden="1" x14ac:dyDescent="0.25">
      <c r="B172" s="34">
        <v>75</v>
      </c>
      <c r="C172" s="34">
        <f t="shared" si="5"/>
        <v>3</v>
      </c>
    </row>
    <row r="173" spans="2:4" ht="15" hidden="1" customHeight="1" x14ac:dyDescent="0.25"/>
    <row r="174" spans="2:4" hidden="1" x14ac:dyDescent="0.25">
      <c r="B174" s="34" t="s">
        <v>119</v>
      </c>
    </row>
    <row r="175" spans="2:4" hidden="1" x14ac:dyDescent="0.25">
      <c r="B175" s="39">
        <v>0</v>
      </c>
    </row>
    <row r="176" spans="2:4" hidden="1" x14ac:dyDescent="0.25">
      <c r="B176" s="39">
        <v>1</v>
      </c>
    </row>
    <row r="177" spans="2:2" hidden="1" x14ac:dyDescent="0.25">
      <c r="B177" s="39">
        <v>2</v>
      </c>
    </row>
    <row r="178" spans="2:2" hidden="1" x14ac:dyDescent="0.25">
      <c r="B178" s="39">
        <v>3</v>
      </c>
    </row>
    <row r="179" spans="2:2" hidden="1" x14ac:dyDescent="0.25">
      <c r="B179" s="39">
        <v>4</v>
      </c>
    </row>
    <row r="180" spans="2:2" ht="15" hidden="1" customHeight="1" x14ac:dyDescent="0.25"/>
    <row r="181" spans="2:2" ht="15" hidden="1" customHeight="1" x14ac:dyDescent="0.25"/>
    <row r="182" spans="2:2" ht="15" hidden="1" customHeight="1" x14ac:dyDescent="0.25"/>
  </sheetData>
  <sheetProtection sheet="1" objects="1" scenarios="1"/>
  <mergeCells count="47">
    <mergeCell ref="A78:A83"/>
    <mergeCell ref="B78:D78"/>
    <mergeCell ref="P39:Q39"/>
    <mergeCell ref="F60:F65"/>
    <mergeCell ref="E60:E65"/>
    <mergeCell ref="H9:H11"/>
    <mergeCell ref="G9:G11"/>
    <mergeCell ref="I9:I11"/>
    <mergeCell ref="J9:J11"/>
    <mergeCell ref="F9:F11"/>
    <mergeCell ref="R9:R11"/>
    <mergeCell ref="K9:K11"/>
    <mergeCell ref="L9:L11"/>
    <mergeCell ref="A4:V4"/>
    <mergeCell ref="A5:V5"/>
    <mergeCell ref="F72:F77"/>
    <mergeCell ref="A72:A77"/>
    <mergeCell ref="B72:D72"/>
    <mergeCell ref="A7:C7"/>
    <mergeCell ref="T9:V11"/>
    <mergeCell ref="A32:B33"/>
    <mergeCell ref="I29:J29"/>
    <mergeCell ref="M9:M11"/>
    <mergeCell ref="O9:O11"/>
    <mergeCell ref="P9:P11"/>
    <mergeCell ref="Q9:Q11"/>
    <mergeCell ref="A29:F29"/>
    <mergeCell ref="N9:N11"/>
    <mergeCell ref="A9:C11"/>
    <mergeCell ref="D9:D11"/>
    <mergeCell ref="E9:E11"/>
    <mergeCell ref="A66:A71"/>
    <mergeCell ref="S9:S11"/>
    <mergeCell ref="B60:D60"/>
    <mergeCell ref="A59:D59"/>
    <mergeCell ref="A60:A65"/>
    <mergeCell ref="E66:E71"/>
    <mergeCell ref="A34:F35"/>
    <mergeCell ref="B160:C160"/>
    <mergeCell ref="E72:E77"/>
    <mergeCell ref="B66:D66"/>
    <mergeCell ref="E78:E83"/>
    <mergeCell ref="F78:F83"/>
    <mergeCell ref="F66:F71"/>
    <mergeCell ref="A37:E39"/>
    <mergeCell ref="A40:B40"/>
    <mergeCell ref="A57:C57"/>
  </mergeCells>
  <dataValidations count="8">
    <dataValidation type="list" operator="equal" allowBlank="1" showInputMessage="1" showErrorMessage="1" sqref="E13:E28" xr:uid="{2C8FC3E0-5CF8-4D22-B92C-84D9B7317606}">
      <formula1>"SIM,NÃO"</formula1>
      <formula2>0</formula2>
    </dataValidation>
    <dataValidation type="list" operator="equal" allowBlank="1" showInputMessage="1" showErrorMessage="1" sqref="S13:S28" xr:uid="{2AF12357-6680-4DBA-A396-F1D42189AD25}">
      <formula1>"1,2,3,4,5"</formula1>
      <formula2>0</formula2>
    </dataValidation>
    <dataValidation type="list" operator="equal" allowBlank="1" showInputMessage="1" showErrorMessage="1" sqref="C33" xr:uid="{31365D37-5F58-452F-B15D-7608A21BFAAB}">
      <formula1>$B$162:$B$168</formula1>
      <formula2>0</formula2>
    </dataValidation>
    <dataValidation type="list" operator="equal" allowBlank="1" showInputMessage="1" showErrorMessage="1" sqref="D27" xr:uid="{259E7652-ED69-4FED-BA75-D2FE4D3A4D3B}">
      <formula1>$B$175:$B$179</formula1>
    </dataValidation>
    <dataValidation type="list" operator="equal" allowBlank="1" showInputMessage="1" showErrorMessage="1" sqref="D13:D14 D17:D18 D25" xr:uid="{8268D7F6-FE66-41C7-84DB-96AC22952E91}">
      <formula1>$B$175:$B$176</formula1>
    </dataValidation>
    <dataValidation type="list" operator="equal" allowBlank="1" showInputMessage="1" showErrorMessage="1" sqref="D15:D16 D19 D22:D24 D26 D28" xr:uid="{CB85EF63-FD88-43EA-871A-9169EF6E7BAA}">
      <formula1>$B$175:$B$177</formula1>
    </dataValidation>
    <dataValidation type="list" operator="equal" allowBlank="1" showInputMessage="1" showErrorMessage="1" sqref="D20:D21" xr:uid="{2ABF0976-638A-418B-AF21-7D850AFE4B8D}">
      <formula1>$B$175:$B$178</formula1>
    </dataValidation>
    <dataValidation type="list" operator="equal" allowBlank="1" showInputMessage="1" showErrorMessage="1" sqref="D7" xr:uid="{59A836B6-5F42-4B1A-BFE1-DB48D3E67444}">
      <formula1>$B$34:$B$35</formula1>
      <formula2>0</formula2>
    </dataValidation>
  </dataValidations>
  <printOptions horizontalCentered="1"/>
  <pageMargins left="0.196527777777778" right="0.196527777777778" top="0.56041666666666701" bottom="0.56041666666666701" header="0.39374999999999999" footer="0.39374999999999999"/>
  <pageSetup paperSize="9" scale="17" orientation="landscape" r:id="rId1"/>
  <headerFooter>
    <oddHeader>&amp;C&amp;12&amp;A</oddHeader>
    <oddFooter>&amp;C&amp;12&amp;P</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C929-1BD3-4B46-9D40-BAABA33D1B23}">
  <sheetPr>
    <tabColor rgb="FFFFFFA6"/>
    <pageSetUpPr fitToPage="1"/>
  </sheetPr>
  <dimension ref="A1:P33"/>
  <sheetViews>
    <sheetView view="pageBreakPreview" topLeftCell="A7" zoomScaleNormal="85" zoomScaleSheetLayoutView="100" workbookViewId="0">
      <selection activeCell="A16" activeCellId="2" sqref="A31 A23 A16"/>
    </sheetView>
  </sheetViews>
  <sheetFormatPr defaultColWidth="10.33203125" defaultRowHeight="15" customHeight="1" x14ac:dyDescent="0.25"/>
  <cols>
    <col min="1" max="1" width="20.6640625" style="201" customWidth="1"/>
    <col min="2" max="2" width="87.83203125" style="202" customWidth="1"/>
    <col min="3" max="3" width="12.6640625" style="202" customWidth="1"/>
    <col min="4" max="4" width="10.5" style="202" customWidth="1"/>
    <col min="5" max="5" width="17.83203125" style="202" customWidth="1"/>
    <col min="6" max="6" width="11.6640625" style="203" customWidth="1"/>
    <col min="8" max="8" width="37.33203125" customWidth="1"/>
    <col min="10" max="10" width="17.1640625" hidden="1" customWidth="1"/>
    <col min="11" max="15" width="12.5" hidden="1" customWidth="1"/>
    <col min="16" max="16" width="13.1640625" hidden="1" customWidth="1"/>
  </cols>
  <sheetData>
    <row r="1" spans="1:16" s="201" customFormat="1" ht="16.149999999999999" customHeight="1" x14ac:dyDescent="0.3">
      <c r="A1" s="787"/>
      <c r="B1" s="788" t="s">
        <v>120</v>
      </c>
      <c r="C1" s="789"/>
      <c r="D1" s="789"/>
      <c r="E1" s="789"/>
      <c r="F1" s="790"/>
      <c r="J1" s="1421" t="s">
        <v>570</v>
      </c>
      <c r="K1" s="1421"/>
      <c r="L1" s="1421"/>
      <c r="M1" s="1421"/>
      <c r="N1" s="1421"/>
      <c r="O1" s="1421"/>
    </row>
    <row r="2" spans="1:16" s="201" customFormat="1" x14ac:dyDescent="0.25">
      <c r="A2" s="791"/>
      <c r="B2" s="784" t="s">
        <v>1</v>
      </c>
      <c r="C2" s="792"/>
      <c r="D2" s="792"/>
      <c r="E2" s="792"/>
      <c r="F2" s="793"/>
      <c r="J2" s="1421"/>
      <c r="K2" s="1421"/>
      <c r="L2" s="1421"/>
      <c r="M2" s="1421"/>
      <c r="N2" s="1421"/>
      <c r="O2" s="1421"/>
      <c r="P2" s="205"/>
    </row>
    <row r="3" spans="1:16" s="201" customFormat="1" x14ac:dyDescent="0.25">
      <c r="A3" s="791"/>
      <c r="B3" s="784" t="s">
        <v>2</v>
      </c>
      <c r="C3" s="792"/>
      <c r="D3" s="792"/>
      <c r="E3" s="792"/>
      <c r="F3" s="793"/>
      <c r="J3" s="1421"/>
      <c r="K3" s="1421"/>
      <c r="L3" s="1421"/>
      <c r="M3" s="1421"/>
      <c r="N3" s="1421"/>
      <c r="O3" s="1421"/>
      <c r="P3" s="205"/>
    </row>
    <row r="4" spans="1:16" s="201" customFormat="1" x14ac:dyDescent="0.25">
      <c r="A4" s="794"/>
      <c r="B4" s="785" t="s">
        <v>493</v>
      </c>
      <c r="C4" s="786"/>
      <c r="D4" s="786"/>
      <c r="E4" s="786"/>
      <c r="F4" s="795"/>
      <c r="J4" s="1421"/>
      <c r="K4" s="1421"/>
      <c r="L4" s="1421"/>
      <c r="M4" s="1421"/>
      <c r="N4" s="1421"/>
      <c r="O4" s="1421"/>
      <c r="P4" s="205"/>
    </row>
    <row r="5" spans="1:16" s="201" customFormat="1" ht="17.25" thickBot="1" x14ac:dyDescent="0.3">
      <c r="A5" s="1422" t="str">
        <f>'Resumo_1.1'!$A$5</f>
        <v>ANEXO II-1.1 – PLANILHA DE CUSTOS E FORMAÇÃO DE PREÇOS DO LICITANTE – EQUIPE RESIDENTE</v>
      </c>
      <c r="B5" s="1422"/>
      <c r="C5" s="1422"/>
      <c r="D5" s="1422"/>
      <c r="E5" s="1422"/>
      <c r="F5" s="1422"/>
      <c r="J5" s="1421"/>
      <c r="K5" s="1421"/>
      <c r="L5" s="1421"/>
      <c r="M5" s="1421"/>
      <c r="N5" s="1421"/>
      <c r="O5" s="1421"/>
      <c r="P5" s="205"/>
    </row>
    <row r="6" spans="1:16" s="201" customFormat="1" ht="16.149999999999999" customHeight="1" thickBot="1" x14ac:dyDescent="0.3">
      <c r="A6" s="1423" t="s">
        <v>571</v>
      </c>
      <c r="B6" s="1423"/>
      <c r="C6" s="1423"/>
      <c r="D6" s="1423"/>
      <c r="E6" s="1423"/>
      <c r="F6" s="1423"/>
      <c r="J6" s="204"/>
      <c r="K6" s="204"/>
      <c r="L6" s="204"/>
      <c r="M6" s="204"/>
      <c r="N6" s="204"/>
      <c r="O6" s="204"/>
      <c r="P6" s="205"/>
    </row>
    <row r="7" spans="1:16" s="201" customFormat="1" ht="54.75" customHeight="1" thickBot="1" x14ac:dyDescent="0.3">
      <c r="A7" s="1424" t="s">
        <v>572</v>
      </c>
      <c r="B7" s="1424"/>
      <c r="C7" s="1424"/>
      <c r="D7" s="1424"/>
      <c r="E7" s="1424"/>
      <c r="F7" s="1424"/>
      <c r="H7" s="851"/>
      <c r="I7" s="852"/>
      <c r="J7" s="1400" t="s">
        <v>573</v>
      </c>
      <c r="K7" s="1232" t="s">
        <v>574</v>
      </c>
      <c r="L7" s="1232" t="s">
        <v>575</v>
      </c>
      <c r="M7" s="1232" t="s">
        <v>576</v>
      </c>
      <c r="N7" s="1232" t="s">
        <v>577</v>
      </c>
      <c r="O7" s="1232" t="s">
        <v>578</v>
      </c>
      <c r="P7" s="155" t="s">
        <v>579</v>
      </c>
    </row>
    <row r="8" spans="1:16" s="201" customFormat="1" ht="40.5" customHeight="1" x14ac:dyDescent="0.25">
      <c r="A8" s="493" t="s">
        <v>580</v>
      </c>
      <c r="B8" s="494" t="s">
        <v>581</v>
      </c>
      <c r="C8" s="495" t="s">
        <v>582</v>
      </c>
      <c r="D8" s="495" t="s">
        <v>583</v>
      </c>
      <c r="E8" s="496" t="s">
        <v>584</v>
      </c>
      <c r="F8" s="497" t="s">
        <v>585</v>
      </c>
      <c r="H8" s="851"/>
      <c r="J8" s="1400"/>
      <c r="K8" s="1232"/>
      <c r="L8" s="1232"/>
      <c r="M8" s="1232"/>
      <c r="N8" s="1232"/>
      <c r="O8" s="1232"/>
      <c r="P8" s="205"/>
    </row>
    <row r="9" spans="1:16" s="201" customFormat="1" ht="28.5" customHeight="1" x14ac:dyDescent="0.25">
      <c r="A9" s="1419" t="s">
        <v>586</v>
      </c>
      <c r="B9" s="206" t="s">
        <v>587</v>
      </c>
      <c r="C9" s="207">
        <v>2</v>
      </c>
      <c r="D9" s="207">
        <f t="shared" ref="D9:D15" si="0">C9*$A$16</f>
        <v>4</v>
      </c>
      <c r="E9" s="208">
        <v>79.95</v>
      </c>
      <c r="F9" s="209">
        <f t="shared" ref="F9:F15" si="1">ROUND(E9*D9,2)</f>
        <v>319.8</v>
      </c>
      <c r="J9" s="210">
        <v>80</v>
      </c>
      <c r="K9" s="211" t="e">
        <f>ROUND(IF(Dados!#REF!="SIM",J9*Dados!#REF!,J9),2)</f>
        <v>#REF!</v>
      </c>
      <c r="L9" s="211" t="e">
        <f>ROUND(IF(Dados!#REF!="SIM",K9*Dados!#REF!,K9),2)</f>
        <v>#REF!</v>
      </c>
      <c r="M9" s="211" t="e">
        <f>ROUND(IF(Dados!#REF!="SIM",L9*Dados!#REF!,L9),2)</f>
        <v>#REF!</v>
      </c>
      <c r="N9" s="211" t="e">
        <f>ROUND(IF(Dados!#REF!="SIM",M9*Dados!#REF!,M9),2)</f>
        <v>#REF!</v>
      </c>
      <c r="O9" s="211" t="e">
        <f>ROUND(IF(Dados!#REF!="SIM",N9*Dados!#REF!,N9),2)</f>
        <v>#REF!</v>
      </c>
      <c r="P9" s="212" t="e">
        <f>IF(Dados!#REF!="INICIAL",J9,IF(Dados!#REF!="1º IPCA",K9,IF(Dados!#REF!="2º IPCA",L9,IF(Dados!#REF!="3º IPCA",M9,IF(Dados!#REF!="4º IPCA",N9,IF(Dados!#REF!="5º IPCA",O9,))))))</f>
        <v>#REF!</v>
      </c>
    </row>
    <row r="10" spans="1:16" s="201" customFormat="1" ht="28.5" customHeight="1" x14ac:dyDescent="0.25">
      <c r="A10" s="1420"/>
      <c r="B10" s="206" t="s">
        <v>588</v>
      </c>
      <c r="C10" s="207">
        <v>4</v>
      </c>
      <c r="D10" s="207">
        <f t="shared" si="0"/>
        <v>8</v>
      </c>
      <c r="E10" s="208">
        <v>69.099999999999994</v>
      </c>
      <c r="F10" s="209">
        <f t="shared" si="1"/>
        <v>552.79999999999995</v>
      </c>
      <c r="J10" s="210"/>
      <c r="K10" s="211"/>
      <c r="L10" s="211"/>
      <c r="M10" s="211"/>
      <c r="N10" s="211"/>
      <c r="O10" s="211"/>
      <c r="P10" s="212"/>
    </row>
    <row r="11" spans="1:16" s="201" customFormat="1" ht="28.5" customHeight="1" x14ac:dyDescent="0.25">
      <c r="A11" s="1420"/>
      <c r="B11" s="206" t="s">
        <v>589</v>
      </c>
      <c r="C11" s="207">
        <v>1</v>
      </c>
      <c r="D11" s="207">
        <f t="shared" si="0"/>
        <v>2</v>
      </c>
      <c r="E11" s="208">
        <v>235.44</v>
      </c>
      <c r="F11" s="209">
        <f t="shared" si="1"/>
        <v>470.88</v>
      </c>
      <c r="J11" s="210"/>
      <c r="K11" s="211"/>
      <c r="L11" s="211"/>
      <c r="M11" s="211"/>
      <c r="N11" s="211"/>
      <c r="O11" s="211"/>
      <c r="P11" s="212"/>
    </row>
    <row r="12" spans="1:16" s="201" customFormat="1" ht="57.75" customHeight="1" x14ac:dyDescent="0.25">
      <c r="A12" s="1420"/>
      <c r="B12" s="213" t="s">
        <v>590</v>
      </c>
      <c r="C12" s="207">
        <v>2</v>
      </c>
      <c r="D12" s="207">
        <f t="shared" si="0"/>
        <v>4</v>
      </c>
      <c r="E12" s="208">
        <v>102.59</v>
      </c>
      <c r="F12" s="209">
        <f t="shared" si="1"/>
        <v>410.36</v>
      </c>
      <c r="J12" s="210">
        <v>157</v>
      </c>
      <c r="K12" s="211" t="e">
        <f>ROUND(IF(Dados!#REF!="SIM",J12*Dados!#REF!,J12),2)</f>
        <v>#REF!</v>
      </c>
      <c r="L12" s="211" t="e">
        <f>ROUND(IF(Dados!#REF!="SIM",K12*Dados!#REF!,K12),2)</f>
        <v>#REF!</v>
      </c>
      <c r="M12" s="211" t="e">
        <f>ROUND(IF(Dados!#REF!="SIM",L12*Dados!#REF!,L12),2)</f>
        <v>#REF!</v>
      </c>
      <c r="N12" s="211" t="e">
        <f>ROUND(IF(Dados!#REF!="SIM",M12*Dados!#REF!,M12),2)</f>
        <v>#REF!</v>
      </c>
      <c r="O12" s="211" t="e">
        <f>ROUND(IF(Dados!#REF!="SIM",N12*Dados!#REF!,N12),2)</f>
        <v>#REF!</v>
      </c>
      <c r="P12" s="212" t="e">
        <f>IF(Dados!#REF!="INICIAL",J12,IF(Dados!#REF!="1º IPCA",K12,IF(Dados!#REF!="2º IPCA",L12,IF(Dados!#REF!="3º IPCA",M12,IF(Dados!#REF!="4º IPCA",N12,IF(Dados!#REF!="5º IPCA",O12,))))))</f>
        <v>#REF!</v>
      </c>
    </row>
    <row r="13" spans="1:16" s="201" customFormat="1" ht="30" customHeight="1" x14ac:dyDescent="0.25">
      <c r="A13" s="1420"/>
      <c r="B13" s="213" t="s">
        <v>591</v>
      </c>
      <c r="C13" s="207">
        <v>1</v>
      </c>
      <c r="D13" s="207">
        <v>1</v>
      </c>
      <c r="E13" s="208">
        <v>79.66</v>
      </c>
      <c r="F13" s="209">
        <f t="shared" si="1"/>
        <v>79.66</v>
      </c>
      <c r="J13" s="210">
        <v>78.7</v>
      </c>
      <c r="K13" s="211" t="e">
        <f>ROUND(IF(Dados!#REF!="SIM",J13*Dados!#REF!,J13),2)</f>
        <v>#REF!</v>
      </c>
      <c r="L13" s="211" t="e">
        <f>ROUND(IF(Dados!#REF!="SIM",K13*Dados!#REF!,K13),2)</f>
        <v>#REF!</v>
      </c>
      <c r="M13" s="211" t="e">
        <f>ROUND(IF(Dados!#REF!="SIM",L13*Dados!#REF!,L13),2)</f>
        <v>#REF!</v>
      </c>
      <c r="N13" s="211" t="e">
        <f>ROUND(IF(Dados!#REF!="SIM",M13*Dados!#REF!,M13),2)</f>
        <v>#REF!</v>
      </c>
      <c r="O13" s="211" t="e">
        <f>ROUND(IF(Dados!#REF!="SIM",N13*Dados!#REF!,N13),2)</f>
        <v>#REF!</v>
      </c>
      <c r="P13" s="212" t="e">
        <f>IF(Dados!#REF!="INICIAL",J13,IF(Dados!#REF!="1º IPCA",K13,IF(Dados!#REF!="2º IPCA",L13,IF(Dados!#REF!="3º IPCA",M13,IF(Dados!#REF!="4º IPCA",N13,IF(Dados!#REF!="5º IPCA",O13,))))))</f>
        <v>#REF!</v>
      </c>
    </row>
    <row r="14" spans="1:16" s="201" customFormat="1" ht="41.25" customHeight="1" x14ac:dyDescent="0.25">
      <c r="A14" s="1420"/>
      <c r="B14" s="213" t="s">
        <v>592</v>
      </c>
      <c r="C14" s="207">
        <v>1</v>
      </c>
      <c r="D14" s="207">
        <f t="shared" si="0"/>
        <v>2</v>
      </c>
      <c r="E14" s="208">
        <v>65.28</v>
      </c>
      <c r="F14" s="209">
        <f t="shared" si="1"/>
        <v>130.56</v>
      </c>
      <c r="J14" s="210">
        <v>80</v>
      </c>
      <c r="K14" s="211" t="e">
        <f>ROUND(IF(Dados!#REF!="SIM",J14*Dados!#REF!,J14),2)</f>
        <v>#REF!</v>
      </c>
      <c r="L14" s="211" t="e">
        <f>ROUND(IF(Dados!#REF!="SIM",K14*Dados!#REF!,K14),2)</f>
        <v>#REF!</v>
      </c>
      <c r="M14" s="211" t="e">
        <f>ROUND(IF(Dados!#REF!="SIM",L14*Dados!#REF!,L14),2)</f>
        <v>#REF!</v>
      </c>
      <c r="N14" s="211" t="e">
        <f>ROUND(IF(Dados!#REF!="SIM",M14*Dados!#REF!,M14),2)</f>
        <v>#REF!</v>
      </c>
      <c r="O14" s="211" t="e">
        <f>ROUND(IF(Dados!#REF!="SIM",N14*Dados!#REF!,N14),2)</f>
        <v>#REF!</v>
      </c>
      <c r="P14" s="212" t="e">
        <f>IF(Dados!#REF!="INICIAL",J14,IF(Dados!#REF!="1º IPCA",K14,IF(Dados!#REF!="2º IPCA",L14,IF(Dados!#REF!="3º IPCA",M14,IF(Dados!#REF!="4º IPCA",N14,IF(Dados!#REF!="5º IPCA",O14,))))))</f>
        <v>#REF!</v>
      </c>
    </row>
    <row r="15" spans="1:16" s="201" customFormat="1" ht="52.5" customHeight="1" x14ac:dyDescent="0.25">
      <c r="A15" s="1420"/>
      <c r="B15" s="206" t="s">
        <v>593</v>
      </c>
      <c r="C15" s="207">
        <v>1</v>
      </c>
      <c r="D15" s="207">
        <f t="shared" si="0"/>
        <v>2</v>
      </c>
      <c r="E15" s="208">
        <v>102.17</v>
      </c>
      <c r="F15" s="209">
        <f t="shared" si="1"/>
        <v>204.34</v>
      </c>
      <c r="J15" s="210"/>
      <c r="K15" s="211"/>
      <c r="L15" s="211"/>
      <c r="M15" s="211"/>
      <c r="N15" s="211"/>
      <c r="O15" s="211"/>
      <c r="P15" s="212"/>
    </row>
    <row r="16" spans="1:16" s="201" customFormat="1" ht="33.75" customHeight="1" thickBot="1" x14ac:dyDescent="0.3">
      <c r="A16" s="214">
        <f>Dados!D11+Dados!D12</f>
        <v>2</v>
      </c>
      <c r="B16" s="215" t="s">
        <v>594</v>
      </c>
      <c r="C16" s="215"/>
      <c r="D16" s="215"/>
      <c r="E16" s="499"/>
      <c r="F16" s="498">
        <f>SUM(F9:F15)</f>
        <v>2168.4</v>
      </c>
    </row>
    <row r="17" spans="1:16" s="201" customFormat="1" ht="33.75" customHeight="1" thickBot="1" x14ac:dyDescent="0.3">
      <c r="A17" s="1416" t="s">
        <v>595</v>
      </c>
      <c r="B17" s="1417"/>
      <c r="C17" s="1417"/>
      <c r="D17" s="1417"/>
      <c r="E17" s="1418"/>
      <c r="F17" s="500">
        <f>ROUND((F16/$A$16/12),2)</f>
        <v>90.35</v>
      </c>
      <c r="J17" s="1400" t="s">
        <v>573</v>
      </c>
      <c r="K17" s="1232" t="s">
        <v>574</v>
      </c>
      <c r="L17" s="1232" t="s">
        <v>575</v>
      </c>
      <c r="M17" s="1232" t="s">
        <v>576</v>
      </c>
      <c r="N17" s="1232" t="s">
        <v>577</v>
      </c>
      <c r="O17" s="1232" t="s">
        <v>578</v>
      </c>
    </row>
    <row r="18" spans="1:16" s="201" customFormat="1" ht="33.75" customHeight="1" x14ac:dyDescent="0.25">
      <c r="A18" s="1408"/>
      <c r="B18" s="1408"/>
      <c r="C18" s="1408"/>
      <c r="D18" s="1408"/>
      <c r="E18" s="1408"/>
      <c r="F18" s="1408"/>
      <c r="J18" s="1400"/>
      <c r="K18" s="1232"/>
      <c r="L18" s="1232"/>
      <c r="M18" s="1232"/>
      <c r="N18" s="1232"/>
      <c r="O18" s="1232"/>
    </row>
    <row r="19" spans="1:16" s="201" customFormat="1" ht="33.75" customHeight="1" x14ac:dyDescent="0.25">
      <c r="A19" s="1409" t="s">
        <v>596</v>
      </c>
      <c r="B19" s="206" t="s">
        <v>587</v>
      </c>
      <c r="C19" s="207">
        <v>3</v>
      </c>
      <c r="D19" s="207">
        <f>C19*$A$23</f>
        <v>18</v>
      </c>
      <c r="E19" s="208">
        <v>79.95</v>
      </c>
      <c r="F19" s="209">
        <f>ROUND(E19*D19,2)</f>
        <v>1439.1</v>
      </c>
      <c r="J19" s="210">
        <v>80</v>
      </c>
      <c r="K19" s="211" t="e">
        <f>ROUND(IF(Dados!#REF!="SIM",J19*Dados!#REF!,J19),2)</f>
        <v>#REF!</v>
      </c>
      <c r="L19" s="211" t="e">
        <f>ROUND(IF(Dados!#REF!="SIM",K19*Dados!#REF!,K19),2)</f>
        <v>#REF!</v>
      </c>
      <c r="M19" s="211" t="e">
        <f>ROUND(IF(Dados!#REF!="SIM",L19*Dados!#REF!,L19),2)</f>
        <v>#REF!</v>
      </c>
      <c r="N19" s="211" t="e">
        <f>ROUND(IF(Dados!#REF!="SIM",M19*Dados!#REF!,M19),2)</f>
        <v>#REF!</v>
      </c>
      <c r="O19" s="211" t="e">
        <f>ROUND(IF(Dados!#REF!="SIM",N19*Dados!#REF!,N19),2)</f>
        <v>#REF!</v>
      </c>
      <c r="P19" s="212" t="e">
        <f>IF(Dados!#REF!="INICIAL",J19,IF(Dados!#REF!="1º IPCA",K19,IF(Dados!#REF!="2º IPCA",L19,IF(Dados!#REF!="3º IPCA",M19,IF(Dados!#REF!="4º IPCA",N19,IF(Dados!#REF!="5º IPCA",O19,))))))</f>
        <v>#REF!</v>
      </c>
    </row>
    <row r="20" spans="1:16" s="201" customFormat="1" ht="33.75" customHeight="1" x14ac:dyDescent="0.25">
      <c r="A20" s="1410"/>
      <c r="B20" s="206" t="s">
        <v>588</v>
      </c>
      <c r="C20" s="207">
        <v>5</v>
      </c>
      <c r="D20" s="207">
        <f>C20*$A$23</f>
        <v>30</v>
      </c>
      <c r="E20" s="208">
        <v>69.099999999999994</v>
      </c>
      <c r="F20" s="209">
        <f>ROUND(E20*D20,2)</f>
        <v>2073</v>
      </c>
      <c r="J20" s="210">
        <v>157</v>
      </c>
      <c r="K20" s="211" t="e">
        <f>ROUND(IF(Dados!#REF!="SIM",J20*Dados!#REF!,J20),2)</f>
        <v>#REF!</v>
      </c>
      <c r="L20" s="211" t="e">
        <f>ROUND(IF(Dados!#REF!="SIM",K20*Dados!#REF!,K20),2)</f>
        <v>#REF!</v>
      </c>
      <c r="M20" s="211" t="e">
        <f>ROUND(IF(Dados!#REF!="SIM",L20*Dados!#REF!,L20),2)</f>
        <v>#REF!</v>
      </c>
      <c r="N20" s="211" t="e">
        <f>ROUND(IF(Dados!#REF!="SIM",M20*Dados!#REF!,M20),2)</f>
        <v>#REF!</v>
      </c>
      <c r="O20" s="211" t="e">
        <f>ROUND(IF(Dados!#REF!="SIM",N20*Dados!#REF!,N20),2)</f>
        <v>#REF!</v>
      </c>
      <c r="P20" s="212" t="e">
        <f>IF(Dados!#REF!="INICIAL",J20,IF(Dados!#REF!="1º IPCA",K20,IF(Dados!#REF!="2º IPCA",L20,IF(Dados!#REF!="3º IPCA",M20,IF(Dados!#REF!="4º IPCA",N20,IF(Dados!#REF!="5º IPCA",O20,))))))</f>
        <v>#REF!</v>
      </c>
    </row>
    <row r="21" spans="1:16" s="201" customFormat="1" ht="33.75" customHeight="1" x14ac:dyDescent="0.25">
      <c r="A21" s="1410"/>
      <c r="B21" s="206" t="s">
        <v>597</v>
      </c>
      <c r="C21" s="207">
        <v>1</v>
      </c>
      <c r="D21" s="207">
        <f>C21*$A$23</f>
        <v>6</v>
      </c>
      <c r="E21" s="208">
        <v>98.75</v>
      </c>
      <c r="F21" s="209">
        <f>ROUND(E21*D21,2)</f>
        <v>592.5</v>
      </c>
      <c r="J21" s="210"/>
      <c r="K21" s="211"/>
      <c r="L21" s="211"/>
      <c r="M21" s="211"/>
      <c r="N21" s="211"/>
      <c r="O21" s="211"/>
      <c r="P21" s="212"/>
    </row>
    <row r="22" spans="1:16" s="201" customFormat="1" ht="33.75" customHeight="1" x14ac:dyDescent="0.25">
      <c r="A22" s="1411"/>
      <c r="B22" s="206" t="s">
        <v>598</v>
      </c>
      <c r="C22" s="207">
        <v>1</v>
      </c>
      <c r="D22" s="207">
        <f>C22*$A$23</f>
        <v>6</v>
      </c>
      <c r="E22" s="208">
        <v>26.93</v>
      </c>
      <c r="F22" s="209">
        <f>ROUND(E22*D22,2)</f>
        <v>161.58000000000001</v>
      </c>
      <c r="J22" s="210"/>
      <c r="K22" s="211"/>
      <c r="L22" s="211"/>
      <c r="M22" s="211"/>
      <c r="N22" s="211"/>
      <c r="O22" s="211"/>
      <c r="P22" s="212"/>
    </row>
    <row r="23" spans="1:16" s="201" customFormat="1" ht="33.75" customHeight="1" thickBot="1" x14ac:dyDescent="0.3">
      <c r="A23" s="501">
        <f>Dados!D13+Dados!D14+Dados!D15+Dados!D16</f>
        <v>6</v>
      </c>
      <c r="B23" s="1415" t="s">
        <v>594</v>
      </c>
      <c r="C23" s="1415"/>
      <c r="D23" s="1415"/>
      <c r="E23" s="1415"/>
      <c r="F23" s="498">
        <f>SUM(F19:F22)</f>
        <v>4266.18</v>
      </c>
    </row>
    <row r="24" spans="1:16" s="201" customFormat="1" ht="33.75" customHeight="1" thickBot="1" x14ac:dyDescent="0.3">
      <c r="A24" s="1412" t="s">
        <v>599</v>
      </c>
      <c r="B24" s="1413"/>
      <c r="C24" s="1413"/>
      <c r="D24" s="1413"/>
      <c r="E24" s="1414"/>
      <c r="F24" s="500">
        <f>ROUND((F23/$A$23/12),2)</f>
        <v>59.25</v>
      </c>
      <c r="J24" s="1400" t="s">
        <v>573</v>
      </c>
      <c r="K24" s="1232" t="s">
        <v>574</v>
      </c>
      <c r="L24" s="1232" t="s">
        <v>575</v>
      </c>
      <c r="M24" s="1232" t="s">
        <v>576</v>
      </c>
      <c r="N24" s="1232" t="s">
        <v>577</v>
      </c>
      <c r="O24" s="1232" t="s">
        <v>578</v>
      </c>
    </row>
    <row r="25" spans="1:16" s="201" customFormat="1" ht="33.75" customHeight="1" thickBot="1" x14ac:dyDescent="0.3">
      <c r="A25" s="1404"/>
      <c r="B25" s="1404"/>
      <c r="C25" s="1404"/>
      <c r="D25" s="1404"/>
      <c r="E25" s="1404"/>
      <c r="F25" s="1404"/>
      <c r="J25" s="1400"/>
      <c r="K25" s="1232"/>
      <c r="L25" s="1232"/>
      <c r="M25" s="1232"/>
      <c r="N25" s="1232"/>
      <c r="O25" s="1232"/>
    </row>
    <row r="26" spans="1:16" s="201" customFormat="1" ht="30.75" customHeight="1" thickBot="1" x14ac:dyDescent="0.3">
      <c r="A26" s="1405" t="s">
        <v>600</v>
      </c>
      <c r="B26" s="213" t="s">
        <v>601</v>
      </c>
      <c r="C26" s="207">
        <v>1</v>
      </c>
      <c r="D26" s="207">
        <f>C26*$A$31</f>
        <v>23</v>
      </c>
      <c r="E26" s="208">
        <v>66.540000000000006</v>
      </c>
      <c r="F26" s="209">
        <f>ROUND(E26*D26,2)</f>
        <v>1530.42</v>
      </c>
      <c r="J26" s="210">
        <v>50</v>
      </c>
      <c r="K26" s="211" t="e">
        <f>ROUND(IF(Dados!#REF!="SIM",J26*Dados!#REF!,J26),2)</f>
        <v>#REF!</v>
      </c>
      <c r="L26" s="211" t="e">
        <f>ROUND(IF(Dados!#REF!="SIM",K26*Dados!#REF!,K26),2)</f>
        <v>#REF!</v>
      </c>
      <c r="M26" s="211" t="e">
        <f>ROUND(IF(Dados!#REF!="SIM",L26*Dados!#REF!,L26),2)</f>
        <v>#REF!</v>
      </c>
      <c r="N26" s="211" t="e">
        <f>ROUND(IF(Dados!#REF!="SIM",M26*Dados!#REF!,M26),2)</f>
        <v>#REF!</v>
      </c>
      <c r="O26" s="211" t="e">
        <f>ROUND(IF(Dados!#REF!="SIM",N26*Dados!#REF!,N26),2)</f>
        <v>#REF!</v>
      </c>
      <c r="P26" s="212" t="e">
        <f>IF(Dados!#REF!="INICIAL",J26,IF(Dados!#REF!="1º IPCA",K26,IF(Dados!#REF!="2º IPCA",L26,IF(Dados!#REF!="3º IPCA",M26,IF(Dados!#REF!="4º IPCA",N26,IF(Dados!#REF!="5º IPCA",O26,))))))</f>
        <v>#REF!</v>
      </c>
    </row>
    <row r="27" spans="1:16" s="201" customFormat="1" ht="35.25" customHeight="1" thickBot="1" x14ac:dyDescent="0.3">
      <c r="A27" s="1405"/>
      <c r="B27" s="206" t="s">
        <v>587</v>
      </c>
      <c r="C27" s="270">
        <v>3</v>
      </c>
      <c r="D27" s="207">
        <f>C27*$A$31</f>
        <v>69</v>
      </c>
      <c r="E27" s="208">
        <v>79.95</v>
      </c>
      <c r="F27" s="209">
        <f>ROUND(E27*D27,2)</f>
        <v>5516.55</v>
      </c>
      <c r="J27" s="210">
        <v>35</v>
      </c>
      <c r="K27" s="211" t="e">
        <f>ROUND(IF(Dados!#REF!="SIM",J27*Dados!#REF!,J27),2)</f>
        <v>#REF!</v>
      </c>
      <c r="L27" s="211" t="e">
        <f>ROUND(IF(Dados!#REF!="SIM",K27*Dados!#REF!,K27),2)</f>
        <v>#REF!</v>
      </c>
      <c r="M27" s="211" t="e">
        <f>ROUND(IF(Dados!#REF!="SIM",L27*Dados!#REF!,L27),2)</f>
        <v>#REF!</v>
      </c>
      <c r="N27" s="211" t="e">
        <f>ROUND(IF(Dados!#REF!="SIM",M27*Dados!#REF!,M27),2)</f>
        <v>#REF!</v>
      </c>
      <c r="O27" s="211" t="e">
        <f>ROUND(IF(Dados!#REF!="SIM",N27*Dados!#REF!,N27),2)</f>
        <v>#REF!</v>
      </c>
      <c r="P27" s="212" t="e">
        <f>IF(Dados!#REF!="INICIAL",J27,IF(Dados!#REF!="1º IPCA",K27,IF(Dados!#REF!="2º IPCA",L27,IF(Dados!#REF!="3º IPCA",M27,IF(Dados!#REF!="4º IPCA",N27,IF(Dados!#REF!="5º IPCA",O27,))))))</f>
        <v>#REF!</v>
      </c>
    </row>
    <row r="28" spans="1:16" s="201" customFormat="1" ht="35.25" customHeight="1" thickBot="1" x14ac:dyDescent="0.3">
      <c r="A28" s="1405"/>
      <c r="B28" s="206" t="s">
        <v>602</v>
      </c>
      <c r="C28" s="207">
        <v>5</v>
      </c>
      <c r="D28" s="207">
        <f>C28*$A$31</f>
        <v>115</v>
      </c>
      <c r="E28" s="208">
        <v>69.099999999999994</v>
      </c>
      <c r="F28" s="209">
        <f>ROUND(E28*D28,2)</f>
        <v>7946.5</v>
      </c>
      <c r="J28" s="210"/>
      <c r="K28" s="211"/>
      <c r="L28" s="211"/>
      <c r="M28" s="211"/>
      <c r="N28" s="211"/>
      <c r="O28" s="211"/>
      <c r="P28" s="212"/>
    </row>
    <row r="29" spans="1:16" s="201" customFormat="1" ht="35.25" customHeight="1" thickBot="1" x14ac:dyDescent="0.3">
      <c r="A29" s="1405"/>
      <c r="B29" s="206" t="s">
        <v>603</v>
      </c>
      <c r="C29" s="207">
        <v>1</v>
      </c>
      <c r="D29" s="207">
        <f>C29*$A$31</f>
        <v>23</v>
      </c>
      <c r="E29" s="208">
        <v>98.75</v>
      </c>
      <c r="F29" s="209">
        <f>ROUND(E29*D29,2)</f>
        <v>2271.25</v>
      </c>
      <c r="J29" s="210"/>
      <c r="K29" s="211"/>
      <c r="L29" s="211"/>
      <c r="M29" s="211"/>
      <c r="N29" s="211"/>
      <c r="O29" s="211"/>
      <c r="P29" s="212"/>
    </row>
    <row r="30" spans="1:16" s="201" customFormat="1" ht="57" customHeight="1" x14ac:dyDescent="0.25">
      <c r="A30" s="1405"/>
      <c r="B30" s="206" t="s">
        <v>598</v>
      </c>
      <c r="C30" s="207">
        <v>1</v>
      </c>
      <c r="D30" s="207">
        <f>C30*$A$31</f>
        <v>23</v>
      </c>
      <c r="E30" s="208">
        <v>26.93</v>
      </c>
      <c r="F30" s="209">
        <f>ROUND(E30*D30,2)</f>
        <v>619.39</v>
      </c>
      <c r="J30" s="210"/>
      <c r="K30" s="211"/>
      <c r="L30" s="211"/>
      <c r="M30" s="211"/>
      <c r="N30" s="211"/>
      <c r="O30" s="211"/>
      <c r="P30" s="212"/>
    </row>
    <row r="31" spans="1:16" s="201" customFormat="1" ht="33.75" customHeight="1" thickBot="1" x14ac:dyDescent="0.3">
      <c r="A31" s="502">
        <f>SUM(Dados!D17:D26)</f>
        <v>23</v>
      </c>
      <c r="B31" s="1407" t="s">
        <v>594</v>
      </c>
      <c r="C31" s="1407"/>
      <c r="D31" s="1407"/>
      <c r="E31" s="1407"/>
      <c r="F31" s="498">
        <f>SUM(F26:F30)</f>
        <v>17884.11</v>
      </c>
    </row>
    <row r="32" spans="1:16" s="201" customFormat="1" ht="36" customHeight="1" thickBot="1" x14ac:dyDescent="0.3">
      <c r="A32" s="1401" t="s">
        <v>604</v>
      </c>
      <c r="B32" s="1402"/>
      <c r="C32" s="1402"/>
      <c r="D32" s="1402"/>
      <c r="E32" s="1403"/>
      <c r="F32" s="500">
        <f>ROUND((F31/$A$31/12),2)</f>
        <v>64.8</v>
      </c>
      <c r="J32" s="1400" t="s">
        <v>573</v>
      </c>
      <c r="K32" s="1232" t="s">
        <v>574</v>
      </c>
      <c r="L32" s="1232" t="s">
        <v>575</v>
      </c>
      <c r="M32" s="1232" t="s">
        <v>576</v>
      </c>
      <c r="N32" s="1232" t="s">
        <v>577</v>
      </c>
      <c r="O32" s="1232" t="s">
        <v>578</v>
      </c>
    </row>
    <row r="33" spans="1:15" s="201" customFormat="1" ht="36" customHeight="1" thickBot="1" x14ac:dyDescent="0.3">
      <c r="A33" s="1406"/>
      <c r="B33" s="1406"/>
      <c r="C33" s="1406"/>
      <c r="D33" s="1406"/>
      <c r="E33" s="1406"/>
      <c r="F33" s="1406"/>
      <c r="J33" s="1400"/>
      <c r="K33" s="1232"/>
      <c r="L33" s="1232"/>
      <c r="M33" s="1232"/>
      <c r="N33" s="1232"/>
      <c r="O33" s="1232"/>
    </row>
  </sheetData>
  <sheetProtection sheet="1" objects="1" scenarios="1"/>
  <protectedRanges>
    <protectedRange sqref="E26:E30" name="Intervalo1_3"/>
    <protectedRange sqref="E19:E22" name="Intervalo1_2"/>
    <protectedRange sqref="E9:E15" name="Intervalo1_1"/>
  </protectedRanges>
  <mergeCells count="39">
    <mergeCell ref="J1:O5"/>
    <mergeCell ref="A5:F5"/>
    <mergeCell ref="A6:F6"/>
    <mergeCell ref="A7:F7"/>
    <mergeCell ref="J7:J8"/>
    <mergeCell ref="K7:K8"/>
    <mergeCell ref="A17:E17"/>
    <mergeCell ref="M17:M18"/>
    <mergeCell ref="N17:N18"/>
    <mergeCell ref="O7:O8"/>
    <mergeCell ref="J17:J18"/>
    <mergeCell ref="K17:K18"/>
    <mergeCell ref="A9:A15"/>
    <mergeCell ref="L24:L25"/>
    <mergeCell ref="L7:L8"/>
    <mergeCell ref="M7:M8"/>
    <mergeCell ref="N7:N8"/>
    <mergeCell ref="M24:M25"/>
    <mergeCell ref="L17:L18"/>
    <mergeCell ref="B31:E31"/>
    <mergeCell ref="O17:O18"/>
    <mergeCell ref="A18:F18"/>
    <mergeCell ref="A19:A22"/>
    <mergeCell ref="A24:E24"/>
    <mergeCell ref="K32:K33"/>
    <mergeCell ref="L32:L33"/>
    <mergeCell ref="B23:E23"/>
    <mergeCell ref="J24:J25"/>
    <mergeCell ref="K24:K25"/>
    <mergeCell ref="J32:J33"/>
    <mergeCell ref="A32:E32"/>
    <mergeCell ref="N24:N25"/>
    <mergeCell ref="O24:O25"/>
    <mergeCell ref="A25:F25"/>
    <mergeCell ref="A26:A30"/>
    <mergeCell ref="M32:M33"/>
    <mergeCell ref="N32:N33"/>
    <mergeCell ref="O32:O33"/>
    <mergeCell ref="A33:F33"/>
  </mergeCells>
  <printOptions horizontalCentered="1"/>
  <pageMargins left="0.196527777777778" right="0.196527777777778" top="0.56041666666666701" bottom="0.56041666666666701" header="0.39374999999999999" footer="0.39374999999999999"/>
  <pageSetup paperSize="9" scale="69" orientation="portrait" r:id="rId1"/>
  <headerFooter>
    <oddHeader>&amp;C&amp;12&amp;A</oddHeader>
    <oddFooter>&amp;C&amp;12&amp;P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2B6D-95D7-46CF-AFC3-DE4BB4760573}">
  <sheetPr>
    <tabColor rgb="FFFFFFA6"/>
    <pageSetUpPr fitToPage="1"/>
  </sheetPr>
  <dimension ref="A1:J176"/>
  <sheetViews>
    <sheetView view="pageBreakPreview" topLeftCell="A151" zoomScaleNormal="100" zoomScaleSheetLayoutView="100" workbookViewId="0">
      <selection activeCell="J173" sqref="J173"/>
    </sheetView>
  </sheetViews>
  <sheetFormatPr defaultColWidth="12.83203125" defaultRowHeight="12.75" customHeight="1" x14ac:dyDescent="0.2"/>
  <cols>
    <col min="1" max="1" width="8.1640625" style="216" customWidth="1"/>
    <col min="2" max="2" width="48.6640625" style="217" customWidth="1"/>
    <col min="3" max="3" width="12.83203125" style="216"/>
    <col min="4" max="4" width="11.1640625" style="216" customWidth="1"/>
    <col min="5" max="5" width="7.83203125" style="216" customWidth="1"/>
    <col min="6" max="6" width="14" style="216" customWidth="1"/>
    <col min="7" max="7" width="15.83203125" style="216" customWidth="1"/>
    <col min="8" max="8" width="11.6640625" style="216" customWidth="1"/>
    <col min="9" max="9" width="13.5" style="216" customWidth="1"/>
    <col min="10" max="10" width="14.83203125" style="216" customWidth="1"/>
    <col min="11" max="16384" width="12.83203125" style="216"/>
  </cols>
  <sheetData>
    <row r="1" spans="1:10" ht="17.25" customHeight="1" x14ac:dyDescent="0.2">
      <c r="A1" s="796"/>
      <c r="B1" s="797"/>
      <c r="C1" s="797" t="s">
        <v>120</v>
      </c>
      <c r="D1" s="798"/>
      <c r="E1" s="799"/>
      <c r="F1" s="799"/>
      <c r="G1" s="800"/>
      <c r="H1" s="800"/>
      <c r="I1" s="800"/>
      <c r="J1" s="801"/>
    </row>
    <row r="2" spans="1:10" ht="17.25" customHeight="1" x14ac:dyDescent="0.2">
      <c r="A2" s="802"/>
      <c r="B2" s="803"/>
      <c r="C2" s="803" t="s">
        <v>1</v>
      </c>
      <c r="D2" s="804"/>
      <c r="E2" s="805"/>
      <c r="F2" s="805"/>
      <c r="G2" s="806"/>
      <c r="H2" s="806"/>
      <c r="I2" s="806"/>
      <c r="J2" s="807"/>
    </row>
    <row r="3" spans="1:10" ht="17.25" customHeight="1" x14ac:dyDescent="0.2">
      <c r="A3" s="802"/>
      <c r="B3" s="803"/>
      <c r="C3" s="803" t="s">
        <v>2</v>
      </c>
      <c r="D3" s="804"/>
      <c r="E3" s="805"/>
      <c r="F3" s="805"/>
      <c r="G3" s="806"/>
      <c r="H3" s="806"/>
      <c r="I3" s="806"/>
      <c r="J3" s="807"/>
    </row>
    <row r="4" spans="1:10" ht="17.25" customHeight="1" x14ac:dyDescent="0.2">
      <c r="A4" s="808"/>
      <c r="B4" s="809"/>
      <c r="C4" s="809" t="s">
        <v>493</v>
      </c>
      <c r="D4" s="810"/>
      <c r="E4" s="811"/>
      <c r="F4" s="811"/>
      <c r="G4" s="812"/>
      <c r="H4" s="812"/>
      <c r="I4" s="812"/>
      <c r="J4" s="813"/>
    </row>
    <row r="5" spans="1:10" ht="17.25" customHeight="1" x14ac:dyDescent="0.2">
      <c r="A5" s="1426" t="str">
        <f>'Resumo_1.1'!$A$5</f>
        <v>ANEXO II-1.1 – PLANILHA DE CUSTOS E FORMAÇÃO DE PREÇOS DO LICITANTE – EQUIPE RESIDENTE</v>
      </c>
      <c r="B5" s="1426"/>
      <c r="C5" s="1426"/>
      <c r="D5" s="1426"/>
      <c r="E5" s="1426"/>
      <c r="F5" s="1426"/>
      <c r="G5" s="1426"/>
      <c r="H5" s="1426"/>
      <c r="I5" s="1426"/>
      <c r="J5" s="1426"/>
    </row>
    <row r="6" spans="1:10" ht="17.25" customHeight="1" x14ac:dyDescent="0.2">
      <c r="A6" s="1427" t="s">
        <v>605</v>
      </c>
      <c r="B6" s="1427"/>
      <c r="C6" s="1427"/>
      <c r="D6" s="1427"/>
      <c r="E6" s="1427"/>
      <c r="F6" s="1427"/>
      <c r="G6" s="1427"/>
      <c r="H6" s="1427"/>
      <c r="I6" s="1427"/>
      <c r="J6" s="1428"/>
    </row>
    <row r="7" spans="1:10" ht="14.25" customHeight="1" x14ac:dyDescent="0.2">
      <c r="A7" s="1429" t="s">
        <v>606</v>
      </c>
      <c r="B7" s="1429" t="s">
        <v>607</v>
      </c>
      <c r="C7" s="1429" t="s">
        <v>608</v>
      </c>
      <c r="D7" s="1429" t="s">
        <v>609</v>
      </c>
      <c r="E7" s="1429" t="s">
        <v>610</v>
      </c>
      <c r="F7" s="1431" t="s">
        <v>611</v>
      </c>
      <c r="G7" s="1434" t="s">
        <v>612</v>
      </c>
      <c r="H7" s="1430" t="s">
        <v>613</v>
      </c>
      <c r="I7" s="1430"/>
      <c r="J7" s="1430"/>
    </row>
    <row r="8" spans="1:10" ht="13.5" x14ac:dyDescent="0.2">
      <c r="A8" s="1429"/>
      <c r="B8" s="1429"/>
      <c r="C8" s="1429"/>
      <c r="D8" s="1429"/>
      <c r="E8" s="1429"/>
      <c r="F8" s="1432"/>
      <c r="G8" s="1435"/>
      <c r="H8" s="1430" t="s">
        <v>614</v>
      </c>
      <c r="I8" s="1430"/>
      <c r="J8" s="1430"/>
    </row>
    <row r="9" spans="1:10" ht="54" x14ac:dyDescent="0.2">
      <c r="A9" s="1429"/>
      <c r="B9" s="1429"/>
      <c r="C9" s="1429"/>
      <c r="D9" s="1429"/>
      <c r="E9" s="1429"/>
      <c r="F9" s="1433"/>
      <c r="G9" s="1436"/>
      <c r="H9" s="218" t="s">
        <v>615</v>
      </c>
      <c r="I9" s="218" t="s">
        <v>616</v>
      </c>
      <c r="J9" s="218" t="s">
        <v>617</v>
      </c>
    </row>
    <row r="10" spans="1:10" ht="13.5" x14ac:dyDescent="0.2">
      <c r="A10" s="504">
        <v>1</v>
      </c>
      <c r="B10" s="219" t="s">
        <v>618</v>
      </c>
      <c r="C10" s="220" t="s">
        <v>619</v>
      </c>
      <c r="D10" s="221" t="s">
        <v>620</v>
      </c>
      <c r="E10" s="222">
        <v>2</v>
      </c>
      <c r="F10" s="755">
        <v>168.81</v>
      </c>
      <c r="G10" s="223">
        <f t="shared" ref="G10:G41" si="0">E10*F10</f>
        <v>337.62</v>
      </c>
      <c r="H10" s="222">
        <v>5</v>
      </c>
      <c r="I10" s="222" t="s">
        <v>621</v>
      </c>
      <c r="J10" s="223">
        <f t="shared" ref="J10:J29" si="1">G10/H10</f>
        <v>67.524000000000001</v>
      </c>
    </row>
    <row r="11" spans="1:10" ht="13.5" x14ac:dyDescent="0.2">
      <c r="A11" s="504">
        <v>2</v>
      </c>
      <c r="B11" s="219" t="s">
        <v>622</v>
      </c>
      <c r="C11" s="220" t="s">
        <v>619</v>
      </c>
      <c r="D11" s="221" t="s">
        <v>620</v>
      </c>
      <c r="E11" s="222">
        <v>5</v>
      </c>
      <c r="F11" s="755">
        <v>153.9</v>
      </c>
      <c r="G11" s="223">
        <f t="shared" si="0"/>
        <v>769.5</v>
      </c>
      <c r="H11" s="222">
        <v>5</v>
      </c>
      <c r="I11" s="222" t="s">
        <v>621</v>
      </c>
      <c r="J11" s="223">
        <f t="shared" si="1"/>
        <v>153.9</v>
      </c>
    </row>
    <row r="12" spans="1:10" ht="13.5" x14ac:dyDescent="0.2">
      <c r="A12" s="504">
        <v>3</v>
      </c>
      <c r="B12" s="219" t="s">
        <v>623</v>
      </c>
      <c r="C12" s="220" t="s">
        <v>619</v>
      </c>
      <c r="D12" s="221" t="s">
        <v>620</v>
      </c>
      <c r="E12" s="222">
        <v>7</v>
      </c>
      <c r="F12" s="755">
        <v>39.96</v>
      </c>
      <c r="G12" s="223">
        <f t="shared" si="0"/>
        <v>279.72000000000003</v>
      </c>
      <c r="H12" s="222">
        <v>5</v>
      </c>
      <c r="I12" s="222" t="s">
        <v>621</v>
      </c>
      <c r="J12" s="223">
        <f t="shared" si="1"/>
        <v>55.944000000000003</v>
      </c>
    </row>
    <row r="13" spans="1:10" ht="13.5" x14ac:dyDescent="0.2">
      <c r="A13" s="504">
        <v>4</v>
      </c>
      <c r="B13" s="219" t="s">
        <v>624</v>
      </c>
      <c r="C13" s="220" t="s">
        <v>619</v>
      </c>
      <c r="D13" s="221" t="s">
        <v>620</v>
      </c>
      <c r="E13" s="222">
        <v>1</v>
      </c>
      <c r="F13" s="755">
        <v>56.49</v>
      </c>
      <c r="G13" s="223">
        <f t="shared" si="0"/>
        <v>56.49</v>
      </c>
      <c r="H13" s="222">
        <v>5</v>
      </c>
      <c r="I13" s="222" t="s">
        <v>621</v>
      </c>
      <c r="J13" s="223">
        <f t="shared" si="1"/>
        <v>11.298</v>
      </c>
    </row>
    <row r="14" spans="1:10" ht="13.5" x14ac:dyDescent="0.2">
      <c r="A14" s="504">
        <v>5</v>
      </c>
      <c r="B14" s="219" t="s">
        <v>625</v>
      </c>
      <c r="C14" s="220">
        <v>38547</v>
      </c>
      <c r="D14" s="221" t="s">
        <v>620</v>
      </c>
      <c r="E14" s="222">
        <v>3</v>
      </c>
      <c r="F14" s="755">
        <v>298.52</v>
      </c>
      <c r="G14" s="223">
        <f t="shared" si="0"/>
        <v>895.56</v>
      </c>
      <c r="H14" s="222">
        <v>5</v>
      </c>
      <c r="I14" s="222" t="s">
        <v>621</v>
      </c>
      <c r="J14" s="223">
        <f t="shared" si="1"/>
        <v>179.11199999999999</v>
      </c>
    </row>
    <row r="15" spans="1:10" ht="27" x14ac:dyDescent="0.2">
      <c r="A15" s="504">
        <v>6</v>
      </c>
      <c r="B15" s="219" t="s">
        <v>626</v>
      </c>
      <c r="C15" s="220" t="s">
        <v>627</v>
      </c>
      <c r="D15" s="221" t="s">
        <v>620</v>
      </c>
      <c r="E15" s="222">
        <v>1</v>
      </c>
      <c r="F15" s="755">
        <v>128.08000000000001</v>
      </c>
      <c r="G15" s="223">
        <f t="shared" si="0"/>
        <v>128.08000000000001</v>
      </c>
      <c r="H15" s="222">
        <v>5</v>
      </c>
      <c r="I15" s="222" t="s">
        <v>621</v>
      </c>
      <c r="J15" s="223">
        <f t="shared" si="1"/>
        <v>25.616000000000003</v>
      </c>
    </row>
    <row r="16" spans="1:10" ht="27" x14ac:dyDescent="0.2">
      <c r="A16" s="504">
        <v>7</v>
      </c>
      <c r="B16" s="219" t="s">
        <v>628</v>
      </c>
      <c r="C16" s="220" t="s">
        <v>619</v>
      </c>
      <c r="D16" s="221" t="s">
        <v>620</v>
      </c>
      <c r="E16" s="222">
        <v>5</v>
      </c>
      <c r="F16" s="755">
        <v>33.049999999999997</v>
      </c>
      <c r="G16" s="223">
        <f t="shared" si="0"/>
        <v>165.25</v>
      </c>
      <c r="H16" s="222">
        <v>5</v>
      </c>
      <c r="I16" s="222" t="s">
        <v>621</v>
      </c>
      <c r="J16" s="223">
        <f t="shared" si="1"/>
        <v>33.049999999999997</v>
      </c>
    </row>
    <row r="17" spans="1:10" ht="13.5" x14ac:dyDescent="0.2">
      <c r="A17" s="504">
        <v>8</v>
      </c>
      <c r="B17" s="219" t="s">
        <v>629</v>
      </c>
      <c r="C17" s="220" t="s">
        <v>630</v>
      </c>
      <c r="D17" s="221" t="s">
        <v>620</v>
      </c>
      <c r="E17" s="222">
        <v>5</v>
      </c>
      <c r="F17" s="755">
        <v>71.09</v>
      </c>
      <c r="G17" s="223">
        <f t="shared" si="0"/>
        <v>355.45000000000005</v>
      </c>
      <c r="H17" s="222">
        <v>5</v>
      </c>
      <c r="I17" s="222" t="s">
        <v>621</v>
      </c>
      <c r="J17" s="223">
        <f t="shared" si="1"/>
        <v>71.09</v>
      </c>
    </row>
    <row r="18" spans="1:10" ht="27" x14ac:dyDescent="0.2">
      <c r="A18" s="504">
        <v>9</v>
      </c>
      <c r="B18" s="219" t="s">
        <v>631</v>
      </c>
      <c r="C18" s="220">
        <v>38470</v>
      </c>
      <c r="D18" s="221" t="s">
        <v>620</v>
      </c>
      <c r="E18" s="222">
        <v>4</v>
      </c>
      <c r="F18" s="755">
        <v>23.63</v>
      </c>
      <c r="G18" s="223">
        <f t="shared" si="0"/>
        <v>94.52</v>
      </c>
      <c r="H18" s="222">
        <v>5</v>
      </c>
      <c r="I18" s="222" t="s">
        <v>621</v>
      </c>
      <c r="J18" s="223">
        <f t="shared" si="1"/>
        <v>18.904</v>
      </c>
    </row>
    <row r="19" spans="1:10" ht="13.5" x14ac:dyDescent="0.2">
      <c r="A19" s="504">
        <v>10</v>
      </c>
      <c r="B19" s="219" t="s">
        <v>632</v>
      </c>
      <c r="C19" s="220" t="s">
        <v>619</v>
      </c>
      <c r="D19" s="221" t="s">
        <v>620</v>
      </c>
      <c r="E19" s="222">
        <v>2</v>
      </c>
      <c r="F19" s="755">
        <v>151.91</v>
      </c>
      <c r="G19" s="223">
        <f t="shared" si="0"/>
        <v>303.82</v>
      </c>
      <c r="H19" s="222">
        <v>5</v>
      </c>
      <c r="I19" s="222" t="s">
        <v>621</v>
      </c>
      <c r="J19" s="223">
        <f t="shared" si="1"/>
        <v>60.763999999999996</v>
      </c>
    </row>
    <row r="20" spans="1:10" ht="13.5" x14ac:dyDescent="0.2">
      <c r="A20" s="504">
        <v>11</v>
      </c>
      <c r="B20" s="219" t="s">
        <v>633</v>
      </c>
      <c r="C20" s="220" t="s">
        <v>619</v>
      </c>
      <c r="D20" s="221" t="s">
        <v>620</v>
      </c>
      <c r="E20" s="222">
        <v>1</v>
      </c>
      <c r="F20" s="755">
        <v>639.98</v>
      </c>
      <c r="G20" s="223">
        <f t="shared" si="0"/>
        <v>639.98</v>
      </c>
      <c r="H20" s="222">
        <v>5</v>
      </c>
      <c r="I20" s="222" t="s">
        <v>621</v>
      </c>
      <c r="J20" s="223">
        <f t="shared" si="1"/>
        <v>127.99600000000001</v>
      </c>
    </row>
    <row r="21" spans="1:10" ht="13.5" x14ac:dyDescent="0.2">
      <c r="A21" s="504">
        <v>12</v>
      </c>
      <c r="B21" s="219" t="s">
        <v>634</v>
      </c>
      <c r="C21" s="220" t="s">
        <v>635</v>
      </c>
      <c r="D21" s="221" t="s">
        <v>620</v>
      </c>
      <c r="E21" s="222">
        <v>1</v>
      </c>
      <c r="F21" s="755">
        <v>49.36</v>
      </c>
      <c r="G21" s="223">
        <f t="shared" si="0"/>
        <v>49.36</v>
      </c>
      <c r="H21" s="222">
        <v>5</v>
      </c>
      <c r="I21" s="222" t="s">
        <v>621</v>
      </c>
      <c r="J21" s="223">
        <f t="shared" si="1"/>
        <v>9.8719999999999999</v>
      </c>
    </row>
    <row r="22" spans="1:10" ht="13.5" x14ac:dyDescent="0.2">
      <c r="A22" s="504">
        <v>13</v>
      </c>
      <c r="B22" s="219" t="s">
        <v>636</v>
      </c>
      <c r="C22" s="220" t="s">
        <v>637</v>
      </c>
      <c r="D22" s="221" t="s">
        <v>620</v>
      </c>
      <c r="E22" s="222">
        <v>1</v>
      </c>
      <c r="F22" s="755">
        <v>140.9</v>
      </c>
      <c r="G22" s="223">
        <f t="shared" si="0"/>
        <v>140.9</v>
      </c>
      <c r="H22" s="222">
        <v>5</v>
      </c>
      <c r="I22" s="222" t="s">
        <v>621</v>
      </c>
      <c r="J22" s="223">
        <f t="shared" si="1"/>
        <v>28.18</v>
      </c>
    </row>
    <row r="23" spans="1:10" ht="13.5" x14ac:dyDescent="0.2">
      <c r="A23" s="504">
        <v>14</v>
      </c>
      <c r="B23" s="219" t="s">
        <v>638</v>
      </c>
      <c r="C23" s="220" t="s">
        <v>639</v>
      </c>
      <c r="D23" s="221" t="s">
        <v>620</v>
      </c>
      <c r="E23" s="222">
        <v>1</v>
      </c>
      <c r="F23" s="755">
        <v>150</v>
      </c>
      <c r="G23" s="223">
        <f t="shared" si="0"/>
        <v>150</v>
      </c>
      <c r="H23" s="222">
        <v>5</v>
      </c>
      <c r="I23" s="222" t="s">
        <v>621</v>
      </c>
      <c r="J23" s="223">
        <f t="shared" si="1"/>
        <v>30</v>
      </c>
    </row>
    <row r="24" spans="1:10" ht="13.5" x14ac:dyDescent="0.2">
      <c r="A24" s="504">
        <v>15</v>
      </c>
      <c r="B24" s="219" t="s">
        <v>640</v>
      </c>
      <c r="C24" s="220" t="s">
        <v>619</v>
      </c>
      <c r="D24" s="221" t="s">
        <v>620</v>
      </c>
      <c r="E24" s="222">
        <v>6</v>
      </c>
      <c r="F24" s="755">
        <v>37.799999999999997</v>
      </c>
      <c r="G24" s="223">
        <f t="shared" si="0"/>
        <v>226.79999999999998</v>
      </c>
      <c r="H24" s="222">
        <v>5</v>
      </c>
      <c r="I24" s="222" t="s">
        <v>621</v>
      </c>
      <c r="J24" s="223">
        <f t="shared" si="1"/>
        <v>45.36</v>
      </c>
    </row>
    <row r="25" spans="1:10" ht="13.5" x14ac:dyDescent="0.2">
      <c r="A25" s="504">
        <v>16</v>
      </c>
      <c r="B25" s="219" t="s">
        <v>641</v>
      </c>
      <c r="C25" s="220" t="s">
        <v>619</v>
      </c>
      <c r="D25" s="221" t="s">
        <v>620</v>
      </c>
      <c r="E25" s="222">
        <v>1</v>
      </c>
      <c r="F25" s="755">
        <v>36.590000000000003</v>
      </c>
      <c r="G25" s="223">
        <f t="shared" si="0"/>
        <v>36.590000000000003</v>
      </c>
      <c r="H25" s="222">
        <v>5</v>
      </c>
      <c r="I25" s="222" t="s">
        <v>621</v>
      </c>
      <c r="J25" s="223">
        <f t="shared" si="1"/>
        <v>7.3180000000000005</v>
      </c>
    </row>
    <row r="26" spans="1:10" ht="13.5" x14ac:dyDescent="0.2">
      <c r="A26" s="504">
        <v>17</v>
      </c>
      <c r="B26" s="219" t="s">
        <v>642</v>
      </c>
      <c r="C26" s="220" t="s">
        <v>619</v>
      </c>
      <c r="D26" s="221" t="s">
        <v>620</v>
      </c>
      <c r="E26" s="222">
        <v>3</v>
      </c>
      <c r="F26" s="755">
        <v>90</v>
      </c>
      <c r="G26" s="223">
        <f t="shared" si="0"/>
        <v>270</v>
      </c>
      <c r="H26" s="222">
        <v>5</v>
      </c>
      <c r="I26" s="222" t="s">
        <v>621</v>
      </c>
      <c r="J26" s="223">
        <f t="shared" si="1"/>
        <v>54</v>
      </c>
    </row>
    <row r="27" spans="1:10" ht="27" x14ac:dyDescent="0.2">
      <c r="A27" s="504">
        <v>18</v>
      </c>
      <c r="B27" s="219" t="s">
        <v>643</v>
      </c>
      <c r="C27" s="220" t="s">
        <v>619</v>
      </c>
      <c r="D27" s="221" t="s">
        <v>620</v>
      </c>
      <c r="E27" s="222">
        <v>4</v>
      </c>
      <c r="F27" s="755">
        <v>20.05</v>
      </c>
      <c r="G27" s="223">
        <f t="shared" si="0"/>
        <v>80.2</v>
      </c>
      <c r="H27" s="222">
        <v>5</v>
      </c>
      <c r="I27" s="222" t="s">
        <v>621</v>
      </c>
      <c r="J27" s="223">
        <f t="shared" si="1"/>
        <v>16.04</v>
      </c>
    </row>
    <row r="28" spans="1:10" ht="13.5" x14ac:dyDescent="0.2">
      <c r="A28" s="504">
        <v>19</v>
      </c>
      <c r="B28" s="219" t="s">
        <v>644</v>
      </c>
      <c r="C28" s="220" t="s">
        <v>619</v>
      </c>
      <c r="D28" s="221" t="s">
        <v>620</v>
      </c>
      <c r="E28" s="222">
        <v>8</v>
      </c>
      <c r="F28" s="755">
        <v>29.2</v>
      </c>
      <c r="G28" s="223">
        <f t="shared" si="0"/>
        <v>233.6</v>
      </c>
      <c r="H28" s="222">
        <v>5</v>
      </c>
      <c r="I28" s="222" t="s">
        <v>621</v>
      </c>
      <c r="J28" s="223">
        <f t="shared" si="1"/>
        <v>46.72</v>
      </c>
    </row>
    <row r="29" spans="1:10" ht="13.5" x14ac:dyDescent="0.2">
      <c r="A29" s="504">
        <v>20</v>
      </c>
      <c r="B29" s="219" t="s">
        <v>645</v>
      </c>
      <c r="C29" s="220" t="s">
        <v>619</v>
      </c>
      <c r="D29" s="221" t="s">
        <v>646</v>
      </c>
      <c r="E29" s="222">
        <v>2</v>
      </c>
      <c r="F29" s="755">
        <v>9004</v>
      </c>
      <c r="G29" s="223">
        <f t="shared" si="0"/>
        <v>18008</v>
      </c>
      <c r="H29" s="222">
        <v>5</v>
      </c>
      <c r="I29" s="224">
        <v>0.2</v>
      </c>
      <c r="J29" s="223">
        <f t="shared" si="1"/>
        <v>3601.6</v>
      </c>
    </row>
    <row r="30" spans="1:10" ht="27" x14ac:dyDescent="0.2">
      <c r="A30" s="504">
        <v>21</v>
      </c>
      <c r="B30" s="219" t="s">
        <v>647</v>
      </c>
      <c r="C30" s="220" t="s">
        <v>648</v>
      </c>
      <c r="D30" s="221" t="s">
        <v>620</v>
      </c>
      <c r="E30" s="222">
        <v>1</v>
      </c>
      <c r="F30" s="755">
        <v>269</v>
      </c>
      <c r="G30" s="223">
        <f t="shared" si="0"/>
        <v>269</v>
      </c>
      <c r="H30" s="222">
        <v>5</v>
      </c>
      <c r="I30" s="222" t="s">
        <v>621</v>
      </c>
      <c r="J30" s="223">
        <f>G30</f>
        <v>269</v>
      </c>
    </row>
    <row r="31" spans="1:10" ht="13.5" x14ac:dyDescent="0.2">
      <c r="A31" s="504">
        <v>22</v>
      </c>
      <c r="B31" s="219" t="s">
        <v>649</v>
      </c>
      <c r="C31" s="220" t="s">
        <v>4463</v>
      </c>
      <c r="D31" s="221" t="s">
        <v>620</v>
      </c>
      <c r="E31" s="222">
        <v>6</v>
      </c>
      <c r="F31" s="755">
        <v>48.3</v>
      </c>
      <c r="G31" s="223">
        <f t="shared" si="0"/>
        <v>289.79999999999995</v>
      </c>
      <c r="H31" s="222">
        <v>5</v>
      </c>
      <c r="I31" s="222" t="s">
        <v>621</v>
      </c>
      <c r="J31" s="223">
        <f t="shared" ref="J31:J62" si="2">G31/H31</f>
        <v>57.959999999999994</v>
      </c>
    </row>
    <row r="32" spans="1:10" ht="13.5" x14ac:dyDescent="0.2">
      <c r="A32" s="504">
        <v>23</v>
      </c>
      <c r="B32" s="219" t="s">
        <v>651</v>
      </c>
      <c r="C32" s="220" t="s">
        <v>4462</v>
      </c>
      <c r="D32" s="221" t="s">
        <v>620</v>
      </c>
      <c r="E32" s="222">
        <v>10</v>
      </c>
      <c r="F32" s="755">
        <v>15.18</v>
      </c>
      <c r="G32" s="223">
        <f t="shared" si="0"/>
        <v>151.80000000000001</v>
      </c>
      <c r="H32" s="222">
        <v>5</v>
      </c>
      <c r="I32" s="222" t="s">
        <v>621</v>
      </c>
      <c r="J32" s="223">
        <f t="shared" si="2"/>
        <v>30.360000000000003</v>
      </c>
    </row>
    <row r="33" spans="1:10" ht="13.5" x14ac:dyDescent="0.2">
      <c r="A33" s="504">
        <v>24</v>
      </c>
      <c r="B33" s="219" t="s">
        <v>652</v>
      </c>
      <c r="C33" s="220" t="s">
        <v>653</v>
      </c>
      <c r="D33" s="221" t="s">
        <v>620</v>
      </c>
      <c r="E33" s="222">
        <v>2</v>
      </c>
      <c r="F33" s="755">
        <v>829.38</v>
      </c>
      <c r="G33" s="223">
        <f t="shared" si="0"/>
        <v>1658.76</v>
      </c>
      <c r="H33" s="222">
        <v>5</v>
      </c>
      <c r="I33" s="222" t="s">
        <v>621</v>
      </c>
      <c r="J33" s="223">
        <f t="shared" si="2"/>
        <v>331.75200000000001</v>
      </c>
    </row>
    <row r="34" spans="1:10" ht="13.5" x14ac:dyDescent="0.2">
      <c r="A34" s="504">
        <v>25</v>
      </c>
      <c r="B34" s="219" t="s">
        <v>654</v>
      </c>
      <c r="C34" s="220" t="s">
        <v>655</v>
      </c>
      <c r="D34" s="221" t="s">
        <v>620</v>
      </c>
      <c r="E34" s="222">
        <v>4</v>
      </c>
      <c r="F34" s="755">
        <v>12.26</v>
      </c>
      <c r="G34" s="223">
        <f t="shared" si="0"/>
        <v>49.04</v>
      </c>
      <c r="H34" s="222">
        <v>5</v>
      </c>
      <c r="I34" s="222" t="s">
        <v>621</v>
      </c>
      <c r="J34" s="223">
        <f t="shared" si="2"/>
        <v>9.8079999999999998</v>
      </c>
    </row>
    <row r="35" spans="1:10" ht="13.5" x14ac:dyDescent="0.2">
      <c r="A35" s="504">
        <v>26</v>
      </c>
      <c r="B35" s="219" t="s">
        <v>656</v>
      </c>
      <c r="C35" s="220" t="s">
        <v>4464</v>
      </c>
      <c r="D35" s="221" t="s">
        <v>646</v>
      </c>
      <c r="E35" s="222">
        <v>4</v>
      </c>
      <c r="F35" s="755">
        <v>223.53</v>
      </c>
      <c r="G35" s="223">
        <f t="shared" si="0"/>
        <v>894.12</v>
      </c>
      <c r="H35" s="222">
        <v>5</v>
      </c>
      <c r="I35" s="222" t="s">
        <v>621</v>
      </c>
      <c r="J35" s="223">
        <f t="shared" si="2"/>
        <v>178.82400000000001</v>
      </c>
    </row>
    <row r="36" spans="1:10" ht="13.5" x14ac:dyDescent="0.2">
      <c r="A36" s="504">
        <v>27</v>
      </c>
      <c r="B36" s="219" t="s">
        <v>657</v>
      </c>
      <c r="C36" s="220" t="s">
        <v>4465</v>
      </c>
      <c r="D36" s="221" t="s">
        <v>646</v>
      </c>
      <c r="E36" s="222">
        <v>10</v>
      </c>
      <c r="F36" s="755">
        <v>11.58</v>
      </c>
      <c r="G36" s="223">
        <f t="shared" si="0"/>
        <v>115.8</v>
      </c>
      <c r="H36" s="222">
        <v>5</v>
      </c>
      <c r="I36" s="222" t="s">
        <v>621</v>
      </c>
      <c r="J36" s="223">
        <f t="shared" si="2"/>
        <v>23.16</v>
      </c>
    </row>
    <row r="37" spans="1:10" ht="13.5" x14ac:dyDescent="0.2">
      <c r="A37" s="504">
        <v>28</v>
      </c>
      <c r="B37" s="219" t="s">
        <v>658</v>
      </c>
      <c r="C37" s="220" t="s">
        <v>659</v>
      </c>
      <c r="D37" s="221" t="s">
        <v>646</v>
      </c>
      <c r="E37" s="222">
        <v>2</v>
      </c>
      <c r="F37" s="755">
        <v>233.9</v>
      </c>
      <c r="G37" s="223">
        <f t="shared" si="0"/>
        <v>467.8</v>
      </c>
      <c r="H37" s="222">
        <v>5</v>
      </c>
      <c r="I37" s="222" t="s">
        <v>621</v>
      </c>
      <c r="J37" s="223">
        <f t="shared" si="2"/>
        <v>93.56</v>
      </c>
    </row>
    <row r="38" spans="1:10" ht="27" x14ac:dyDescent="0.2">
      <c r="A38" s="504">
        <v>29</v>
      </c>
      <c r="B38" s="219" t="s">
        <v>660</v>
      </c>
      <c r="C38" s="220" t="s">
        <v>661</v>
      </c>
      <c r="D38" s="221" t="s">
        <v>646</v>
      </c>
      <c r="E38" s="222">
        <v>1</v>
      </c>
      <c r="F38" s="755">
        <v>431.95</v>
      </c>
      <c r="G38" s="223">
        <f t="shared" si="0"/>
        <v>431.95</v>
      </c>
      <c r="H38" s="222">
        <v>5</v>
      </c>
      <c r="I38" s="224">
        <v>0.2</v>
      </c>
      <c r="J38" s="223">
        <f t="shared" si="2"/>
        <v>86.39</v>
      </c>
    </row>
    <row r="39" spans="1:10" ht="27" x14ac:dyDescent="0.2">
      <c r="A39" s="504">
        <v>30</v>
      </c>
      <c r="B39" s="219" t="s">
        <v>662</v>
      </c>
      <c r="C39" s="220" t="s">
        <v>4466</v>
      </c>
      <c r="D39" s="221" t="s">
        <v>646</v>
      </c>
      <c r="E39" s="222">
        <v>1</v>
      </c>
      <c r="F39" s="755">
        <v>1657.53</v>
      </c>
      <c r="G39" s="223">
        <f t="shared" si="0"/>
        <v>1657.53</v>
      </c>
      <c r="H39" s="222">
        <v>5</v>
      </c>
      <c r="I39" s="224">
        <v>0.2</v>
      </c>
      <c r="J39" s="223">
        <f t="shared" si="2"/>
        <v>331.50599999999997</v>
      </c>
    </row>
    <row r="40" spans="1:10" ht="13.5" x14ac:dyDescent="0.2">
      <c r="A40" s="504">
        <v>31</v>
      </c>
      <c r="B40" s="219" t="s">
        <v>663</v>
      </c>
      <c r="C40" s="220" t="s">
        <v>619</v>
      </c>
      <c r="D40" s="221" t="s">
        <v>620</v>
      </c>
      <c r="E40" s="222">
        <v>1</v>
      </c>
      <c r="F40" s="755">
        <v>80.53</v>
      </c>
      <c r="G40" s="223">
        <f t="shared" si="0"/>
        <v>80.53</v>
      </c>
      <c r="H40" s="222">
        <v>5</v>
      </c>
      <c r="I40" s="222" t="s">
        <v>621</v>
      </c>
      <c r="J40" s="223">
        <f t="shared" si="2"/>
        <v>16.106000000000002</v>
      </c>
    </row>
    <row r="41" spans="1:10" ht="13.5" x14ac:dyDescent="0.2">
      <c r="A41" s="504">
        <v>32</v>
      </c>
      <c r="B41" s="219" t="s">
        <v>664</v>
      </c>
      <c r="C41" s="220" t="s">
        <v>4467</v>
      </c>
      <c r="D41" s="221" t="s">
        <v>620</v>
      </c>
      <c r="E41" s="222">
        <v>4</v>
      </c>
      <c r="F41" s="755">
        <v>241.32</v>
      </c>
      <c r="G41" s="223">
        <f t="shared" si="0"/>
        <v>965.28</v>
      </c>
      <c r="H41" s="222">
        <v>5</v>
      </c>
      <c r="I41" s="222" t="s">
        <v>621</v>
      </c>
      <c r="J41" s="223">
        <f t="shared" si="2"/>
        <v>193.05599999999998</v>
      </c>
    </row>
    <row r="42" spans="1:10" ht="13.5" x14ac:dyDescent="0.2">
      <c r="A42" s="504">
        <v>33</v>
      </c>
      <c r="B42" s="219" t="s">
        <v>665</v>
      </c>
      <c r="C42" s="220" t="s">
        <v>619</v>
      </c>
      <c r="D42" s="221" t="s">
        <v>620</v>
      </c>
      <c r="E42" s="222">
        <v>1</v>
      </c>
      <c r="F42" s="755">
        <v>77.72</v>
      </c>
      <c r="G42" s="223">
        <f t="shared" ref="G42:G73" si="3">E42*F42</f>
        <v>77.72</v>
      </c>
      <c r="H42" s="222">
        <v>5</v>
      </c>
      <c r="I42" s="222" t="s">
        <v>621</v>
      </c>
      <c r="J42" s="223">
        <f t="shared" si="2"/>
        <v>15.544</v>
      </c>
    </row>
    <row r="43" spans="1:10" ht="13.5" x14ac:dyDescent="0.2">
      <c r="A43" s="504">
        <v>34</v>
      </c>
      <c r="B43" s="219" t="s">
        <v>666</v>
      </c>
      <c r="C43" s="220" t="s">
        <v>667</v>
      </c>
      <c r="D43" s="221" t="s">
        <v>620</v>
      </c>
      <c r="E43" s="222">
        <v>2</v>
      </c>
      <c r="F43" s="755">
        <v>205.31</v>
      </c>
      <c r="G43" s="223">
        <f t="shared" si="3"/>
        <v>410.62</v>
      </c>
      <c r="H43" s="222">
        <v>5</v>
      </c>
      <c r="I43" s="222" t="s">
        <v>621</v>
      </c>
      <c r="J43" s="223">
        <f t="shared" si="2"/>
        <v>82.123999999999995</v>
      </c>
    </row>
    <row r="44" spans="1:10" ht="13.5" x14ac:dyDescent="0.2">
      <c r="A44" s="504">
        <v>35</v>
      </c>
      <c r="B44" s="219" t="s">
        <v>668</v>
      </c>
      <c r="C44" s="220" t="s">
        <v>619</v>
      </c>
      <c r="D44" s="221" t="s">
        <v>620</v>
      </c>
      <c r="E44" s="222">
        <v>2</v>
      </c>
      <c r="F44" s="755">
        <v>7.51</v>
      </c>
      <c r="G44" s="223">
        <f t="shared" si="3"/>
        <v>15.02</v>
      </c>
      <c r="H44" s="222">
        <v>5</v>
      </c>
      <c r="I44" s="222" t="s">
        <v>621</v>
      </c>
      <c r="J44" s="223">
        <f t="shared" si="2"/>
        <v>3.004</v>
      </c>
    </row>
    <row r="45" spans="1:10" ht="13.5" x14ac:dyDescent="0.2">
      <c r="A45" s="504">
        <v>36</v>
      </c>
      <c r="B45" s="219" t="s">
        <v>669</v>
      </c>
      <c r="C45" s="220" t="s">
        <v>4468</v>
      </c>
      <c r="D45" s="221" t="s">
        <v>620</v>
      </c>
      <c r="E45" s="222">
        <v>2</v>
      </c>
      <c r="F45" s="755">
        <v>30.95</v>
      </c>
      <c r="G45" s="223">
        <f t="shared" si="3"/>
        <v>61.9</v>
      </c>
      <c r="H45" s="222">
        <v>5</v>
      </c>
      <c r="I45" s="222" t="s">
        <v>621</v>
      </c>
      <c r="J45" s="223">
        <f t="shared" si="2"/>
        <v>12.379999999999999</v>
      </c>
    </row>
    <row r="46" spans="1:10" ht="13.5" x14ac:dyDescent="0.2">
      <c r="A46" s="504">
        <v>37</v>
      </c>
      <c r="B46" s="219" t="s">
        <v>670</v>
      </c>
      <c r="C46" s="220" t="s">
        <v>671</v>
      </c>
      <c r="D46" s="221" t="s">
        <v>620</v>
      </c>
      <c r="E46" s="222">
        <v>1</v>
      </c>
      <c r="F46" s="755">
        <v>44.31</v>
      </c>
      <c r="G46" s="223">
        <f t="shared" si="3"/>
        <v>44.31</v>
      </c>
      <c r="H46" s="222">
        <v>5</v>
      </c>
      <c r="I46" s="222" t="s">
        <v>621</v>
      </c>
      <c r="J46" s="223">
        <f t="shared" si="2"/>
        <v>8.8620000000000001</v>
      </c>
    </row>
    <row r="47" spans="1:10" ht="13.5" x14ac:dyDescent="0.2">
      <c r="A47" s="504">
        <v>38</v>
      </c>
      <c r="B47" s="219" t="s">
        <v>672</v>
      </c>
      <c r="C47" s="220" t="s">
        <v>630</v>
      </c>
      <c r="D47" s="221" t="s">
        <v>620</v>
      </c>
      <c r="E47" s="222">
        <v>1</v>
      </c>
      <c r="F47" s="755">
        <v>61.21</v>
      </c>
      <c r="G47" s="223">
        <f t="shared" si="3"/>
        <v>61.21</v>
      </c>
      <c r="H47" s="222">
        <v>5</v>
      </c>
      <c r="I47" s="222" t="s">
        <v>621</v>
      </c>
      <c r="J47" s="223">
        <f t="shared" si="2"/>
        <v>12.242000000000001</v>
      </c>
    </row>
    <row r="48" spans="1:10" ht="13.5" x14ac:dyDescent="0.2">
      <c r="A48" s="504">
        <v>39</v>
      </c>
      <c r="B48" s="219" t="s">
        <v>673</v>
      </c>
      <c r="C48" s="220" t="s">
        <v>674</v>
      </c>
      <c r="D48" s="221" t="s">
        <v>620</v>
      </c>
      <c r="E48" s="222">
        <v>1</v>
      </c>
      <c r="F48" s="755">
        <v>78.11</v>
      </c>
      <c r="G48" s="223">
        <f t="shared" si="3"/>
        <v>78.11</v>
      </c>
      <c r="H48" s="222">
        <v>5</v>
      </c>
      <c r="I48" s="222" t="s">
        <v>621</v>
      </c>
      <c r="J48" s="223">
        <f t="shared" si="2"/>
        <v>15.622</v>
      </c>
    </row>
    <row r="49" spans="1:10" ht="13.5" x14ac:dyDescent="0.2">
      <c r="A49" s="504">
        <v>40</v>
      </c>
      <c r="B49" s="219" t="s">
        <v>675</v>
      </c>
      <c r="C49" s="220" t="s">
        <v>676</v>
      </c>
      <c r="D49" s="221" t="s">
        <v>620</v>
      </c>
      <c r="E49" s="222">
        <v>1</v>
      </c>
      <c r="F49" s="755">
        <v>252.59</v>
      </c>
      <c r="G49" s="223">
        <f t="shared" si="3"/>
        <v>252.59</v>
      </c>
      <c r="H49" s="222">
        <v>5</v>
      </c>
      <c r="I49" s="222" t="s">
        <v>621</v>
      </c>
      <c r="J49" s="223">
        <f t="shared" si="2"/>
        <v>50.518000000000001</v>
      </c>
    </row>
    <row r="50" spans="1:10" ht="13.5" x14ac:dyDescent="0.2">
      <c r="A50" s="504">
        <v>41</v>
      </c>
      <c r="B50" s="219" t="s">
        <v>677</v>
      </c>
      <c r="C50" s="220" t="s">
        <v>678</v>
      </c>
      <c r="D50" s="221" t="s">
        <v>620</v>
      </c>
      <c r="E50" s="222">
        <v>6</v>
      </c>
      <c r="F50" s="755">
        <v>23.76</v>
      </c>
      <c r="G50" s="223">
        <f t="shared" si="3"/>
        <v>142.56</v>
      </c>
      <c r="H50" s="222">
        <v>5</v>
      </c>
      <c r="I50" s="222" t="s">
        <v>621</v>
      </c>
      <c r="J50" s="223">
        <f t="shared" si="2"/>
        <v>28.512</v>
      </c>
    </row>
    <row r="51" spans="1:10" ht="13.5" x14ac:dyDescent="0.2">
      <c r="A51" s="504">
        <v>42</v>
      </c>
      <c r="B51" s="219" t="s">
        <v>679</v>
      </c>
      <c r="C51" s="220" t="s">
        <v>619</v>
      </c>
      <c r="D51" s="221" t="s">
        <v>620</v>
      </c>
      <c r="E51" s="222">
        <v>1</v>
      </c>
      <c r="F51" s="755">
        <v>2829</v>
      </c>
      <c r="G51" s="223">
        <f t="shared" si="3"/>
        <v>2829</v>
      </c>
      <c r="H51" s="222">
        <v>5</v>
      </c>
      <c r="I51" s="224">
        <v>0.1</v>
      </c>
      <c r="J51" s="223">
        <f t="shared" si="2"/>
        <v>565.79999999999995</v>
      </c>
    </row>
    <row r="52" spans="1:10" ht="13.5" x14ac:dyDescent="0.2">
      <c r="A52" s="504">
        <v>43</v>
      </c>
      <c r="B52" s="219" t="s">
        <v>680</v>
      </c>
      <c r="C52" s="220" t="s">
        <v>681</v>
      </c>
      <c r="D52" s="221" t="s">
        <v>646</v>
      </c>
      <c r="E52" s="222">
        <v>10</v>
      </c>
      <c r="F52" s="755">
        <v>41.3</v>
      </c>
      <c r="G52" s="223">
        <f t="shared" si="3"/>
        <v>413</v>
      </c>
      <c r="H52" s="222">
        <v>5</v>
      </c>
      <c r="I52" s="222" t="s">
        <v>621</v>
      </c>
      <c r="J52" s="223">
        <f t="shared" si="2"/>
        <v>82.6</v>
      </c>
    </row>
    <row r="53" spans="1:10" ht="13.5" x14ac:dyDescent="0.2">
      <c r="A53" s="504">
        <v>44</v>
      </c>
      <c r="B53" s="219" t="s">
        <v>682</v>
      </c>
      <c r="C53" s="220" t="s">
        <v>683</v>
      </c>
      <c r="D53" s="221" t="s">
        <v>620</v>
      </c>
      <c r="E53" s="222">
        <v>1</v>
      </c>
      <c r="F53" s="755">
        <v>395</v>
      </c>
      <c r="G53" s="223">
        <f t="shared" si="3"/>
        <v>395</v>
      </c>
      <c r="H53" s="222">
        <v>5</v>
      </c>
      <c r="I53" s="224">
        <v>0.1</v>
      </c>
      <c r="J53" s="223">
        <f t="shared" si="2"/>
        <v>79</v>
      </c>
    </row>
    <row r="54" spans="1:10" ht="13.5" x14ac:dyDescent="0.2">
      <c r="A54" s="504">
        <v>45</v>
      </c>
      <c r="B54" s="219" t="s">
        <v>684</v>
      </c>
      <c r="C54" s="220" t="s">
        <v>685</v>
      </c>
      <c r="D54" s="221" t="s">
        <v>620</v>
      </c>
      <c r="E54" s="222">
        <v>1</v>
      </c>
      <c r="F54" s="755">
        <v>117.28</v>
      </c>
      <c r="G54" s="223">
        <f t="shared" si="3"/>
        <v>117.28</v>
      </c>
      <c r="H54" s="222">
        <v>5</v>
      </c>
      <c r="I54" s="222" t="s">
        <v>621</v>
      </c>
      <c r="J54" s="223">
        <f t="shared" si="2"/>
        <v>23.456</v>
      </c>
    </row>
    <row r="55" spans="1:10" ht="13.5" x14ac:dyDescent="0.2">
      <c r="A55" s="504">
        <v>46</v>
      </c>
      <c r="B55" s="219" t="s">
        <v>686</v>
      </c>
      <c r="C55" s="220" t="s">
        <v>687</v>
      </c>
      <c r="D55" s="221" t="s">
        <v>620</v>
      </c>
      <c r="E55" s="222">
        <v>6</v>
      </c>
      <c r="F55" s="755">
        <v>68</v>
      </c>
      <c r="G55" s="223">
        <f t="shared" si="3"/>
        <v>408</v>
      </c>
      <c r="H55" s="222">
        <v>5</v>
      </c>
      <c r="I55" s="222" t="s">
        <v>621</v>
      </c>
      <c r="J55" s="223">
        <f t="shared" si="2"/>
        <v>81.599999999999994</v>
      </c>
    </row>
    <row r="56" spans="1:10" ht="13.5" x14ac:dyDescent="0.2">
      <c r="A56" s="504">
        <v>47</v>
      </c>
      <c r="B56" s="219" t="s">
        <v>688</v>
      </c>
      <c r="C56" s="220" t="s">
        <v>689</v>
      </c>
      <c r="D56" s="221" t="s">
        <v>620</v>
      </c>
      <c r="E56" s="222">
        <v>6</v>
      </c>
      <c r="F56" s="755">
        <v>10.16</v>
      </c>
      <c r="G56" s="223">
        <f t="shared" si="3"/>
        <v>60.96</v>
      </c>
      <c r="H56" s="222">
        <v>5</v>
      </c>
      <c r="I56" s="222" t="s">
        <v>621</v>
      </c>
      <c r="J56" s="223">
        <f t="shared" si="2"/>
        <v>12.192</v>
      </c>
    </row>
    <row r="57" spans="1:10" ht="13.5" x14ac:dyDescent="0.2">
      <c r="A57" s="504">
        <v>48</v>
      </c>
      <c r="B57" s="219" t="s">
        <v>690</v>
      </c>
      <c r="C57" s="220" t="s">
        <v>691</v>
      </c>
      <c r="D57" s="221" t="s">
        <v>620</v>
      </c>
      <c r="E57" s="222">
        <v>2</v>
      </c>
      <c r="F57" s="755">
        <v>36.5</v>
      </c>
      <c r="G57" s="223">
        <f t="shared" si="3"/>
        <v>73</v>
      </c>
      <c r="H57" s="222">
        <v>5</v>
      </c>
      <c r="I57" s="222" t="s">
        <v>621</v>
      </c>
      <c r="J57" s="223">
        <f t="shared" si="2"/>
        <v>14.6</v>
      </c>
    </row>
    <row r="58" spans="1:10" ht="13.5" x14ac:dyDescent="0.2">
      <c r="A58" s="504">
        <v>49</v>
      </c>
      <c r="B58" s="219" t="s">
        <v>692</v>
      </c>
      <c r="C58" s="220" t="s">
        <v>619</v>
      </c>
      <c r="D58" s="221" t="s">
        <v>620</v>
      </c>
      <c r="E58" s="222">
        <v>3</v>
      </c>
      <c r="F58" s="755">
        <v>63.3</v>
      </c>
      <c r="G58" s="223">
        <f t="shared" si="3"/>
        <v>189.89999999999998</v>
      </c>
      <c r="H58" s="222">
        <v>5</v>
      </c>
      <c r="I58" s="222" t="s">
        <v>621</v>
      </c>
      <c r="J58" s="223">
        <f t="shared" si="2"/>
        <v>37.979999999999997</v>
      </c>
    </row>
    <row r="59" spans="1:10" ht="27" x14ac:dyDescent="0.2">
      <c r="A59" s="504">
        <v>50</v>
      </c>
      <c r="B59" s="219" t="s">
        <v>693</v>
      </c>
      <c r="C59" s="220" t="s">
        <v>694</v>
      </c>
      <c r="D59" s="221" t="s">
        <v>620</v>
      </c>
      <c r="E59" s="222">
        <v>6</v>
      </c>
      <c r="F59" s="755">
        <v>65.400000000000006</v>
      </c>
      <c r="G59" s="223">
        <f t="shared" si="3"/>
        <v>392.40000000000003</v>
      </c>
      <c r="H59" s="222">
        <v>5</v>
      </c>
      <c r="I59" s="222" t="s">
        <v>621</v>
      </c>
      <c r="J59" s="223">
        <f t="shared" si="2"/>
        <v>78.48</v>
      </c>
    </row>
    <row r="60" spans="1:10" ht="13.5" x14ac:dyDescent="0.2">
      <c r="A60" s="504">
        <v>51</v>
      </c>
      <c r="B60" s="219" t="s">
        <v>695</v>
      </c>
      <c r="C60" s="220" t="s">
        <v>696</v>
      </c>
      <c r="D60" s="221" t="s">
        <v>620</v>
      </c>
      <c r="E60" s="222">
        <v>6</v>
      </c>
      <c r="F60" s="755">
        <v>409.5</v>
      </c>
      <c r="G60" s="223">
        <f t="shared" si="3"/>
        <v>2457</v>
      </c>
      <c r="H60" s="222">
        <v>5</v>
      </c>
      <c r="I60" s="222" t="s">
        <v>621</v>
      </c>
      <c r="J60" s="223">
        <f t="shared" si="2"/>
        <v>491.4</v>
      </c>
    </row>
    <row r="61" spans="1:10" ht="40.5" x14ac:dyDescent="0.2">
      <c r="A61" s="504">
        <v>52</v>
      </c>
      <c r="B61" s="219" t="s">
        <v>697</v>
      </c>
      <c r="C61" s="220" t="s">
        <v>698</v>
      </c>
      <c r="D61" s="221" t="s">
        <v>620</v>
      </c>
      <c r="E61" s="222">
        <v>2</v>
      </c>
      <c r="F61" s="755">
        <v>627</v>
      </c>
      <c r="G61" s="223">
        <f t="shared" si="3"/>
        <v>1254</v>
      </c>
      <c r="H61" s="222">
        <v>5</v>
      </c>
      <c r="I61" s="222" t="s">
        <v>621</v>
      </c>
      <c r="J61" s="223">
        <f t="shared" si="2"/>
        <v>250.8</v>
      </c>
    </row>
    <row r="62" spans="1:10" ht="13.5" x14ac:dyDescent="0.2">
      <c r="A62" s="504">
        <v>53</v>
      </c>
      <c r="B62" s="219" t="s">
        <v>699</v>
      </c>
      <c r="C62" s="220" t="s">
        <v>700</v>
      </c>
      <c r="D62" s="221" t="s">
        <v>620</v>
      </c>
      <c r="E62" s="222">
        <v>2</v>
      </c>
      <c r="F62" s="755">
        <v>18.989999999999998</v>
      </c>
      <c r="G62" s="223">
        <f t="shared" si="3"/>
        <v>37.979999999999997</v>
      </c>
      <c r="H62" s="222">
        <v>5</v>
      </c>
      <c r="I62" s="222" t="s">
        <v>621</v>
      </c>
      <c r="J62" s="223">
        <f t="shared" si="2"/>
        <v>7.5959999999999992</v>
      </c>
    </row>
    <row r="63" spans="1:10" ht="13.5" x14ac:dyDescent="0.2">
      <c r="A63" s="504">
        <v>54</v>
      </c>
      <c r="B63" s="219" t="s">
        <v>701</v>
      </c>
      <c r="C63" s="220" t="s">
        <v>619</v>
      </c>
      <c r="D63" s="221" t="s">
        <v>620</v>
      </c>
      <c r="E63" s="222">
        <v>1</v>
      </c>
      <c r="F63" s="755">
        <v>139.9</v>
      </c>
      <c r="G63" s="223">
        <f t="shared" si="3"/>
        <v>139.9</v>
      </c>
      <c r="H63" s="222">
        <v>5</v>
      </c>
      <c r="I63" s="222" t="s">
        <v>621</v>
      </c>
      <c r="J63" s="223">
        <f t="shared" ref="J63:J94" si="4">G63/H63</f>
        <v>27.98</v>
      </c>
    </row>
    <row r="64" spans="1:10" ht="40.5" x14ac:dyDescent="0.2">
      <c r="A64" s="504">
        <v>55</v>
      </c>
      <c r="B64" s="219" t="s">
        <v>702</v>
      </c>
      <c r="C64" s="220" t="s">
        <v>703</v>
      </c>
      <c r="D64" s="221" t="s">
        <v>646</v>
      </c>
      <c r="E64" s="222">
        <v>3</v>
      </c>
      <c r="F64" s="755">
        <v>944</v>
      </c>
      <c r="G64" s="223">
        <f t="shared" si="3"/>
        <v>2832</v>
      </c>
      <c r="H64" s="222">
        <v>5</v>
      </c>
      <c r="I64" s="222" t="s">
        <v>621</v>
      </c>
      <c r="J64" s="223">
        <f t="shared" si="4"/>
        <v>566.4</v>
      </c>
    </row>
    <row r="65" spans="1:10" ht="13.5" x14ac:dyDescent="0.2">
      <c r="A65" s="504">
        <v>56</v>
      </c>
      <c r="B65" s="219" t="s">
        <v>704</v>
      </c>
      <c r="C65" s="220" t="s">
        <v>619</v>
      </c>
      <c r="D65" s="221" t="s">
        <v>620</v>
      </c>
      <c r="E65" s="222">
        <v>1</v>
      </c>
      <c r="F65" s="755">
        <v>882</v>
      </c>
      <c r="G65" s="223">
        <f t="shared" si="3"/>
        <v>882</v>
      </c>
      <c r="H65" s="222">
        <v>5</v>
      </c>
      <c r="I65" s="222" t="s">
        <v>621</v>
      </c>
      <c r="J65" s="223">
        <f t="shared" si="4"/>
        <v>176.4</v>
      </c>
    </row>
    <row r="66" spans="1:10" ht="13.5" x14ac:dyDescent="0.2">
      <c r="A66" s="504">
        <v>57</v>
      </c>
      <c r="B66" s="219" t="s">
        <v>705</v>
      </c>
      <c r="C66" s="220" t="s">
        <v>706</v>
      </c>
      <c r="D66" s="221" t="s">
        <v>620</v>
      </c>
      <c r="E66" s="222">
        <v>10</v>
      </c>
      <c r="F66" s="755">
        <v>5.31</v>
      </c>
      <c r="G66" s="223">
        <f t="shared" si="3"/>
        <v>53.099999999999994</v>
      </c>
      <c r="H66" s="222">
        <v>5</v>
      </c>
      <c r="I66" s="222" t="s">
        <v>621</v>
      </c>
      <c r="J66" s="223">
        <f t="shared" si="4"/>
        <v>10.62</v>
      </c>
    </row>
    <row r="67" spans="1:10" ht="13.5" x14ac:dyDescent="0.2">
      <c r="A67" s="504">
        <v>58</v>
      </c>
      <c r="B67" s="219" t="s">
        <v>707</v>
      </c>
      <c r="C67" s="220" t="s">
        <v>708</v>
      </c>
      <c r="D67" s="221" t="s">
        <v>620</v>
      </c>
      <c r="E67" s="222">
        <v>4</v>
      </c>
      <c r="F67" s="755">
        <v>17.899999999999999</v>
      </c>
      <c r="G67" s="223">
        <f t="shared" si="3"/>
        <v>71.599999999999994</v>
      </c>
      <c r="H67" s="222">
        <v>5</v>
      </c>
      <c r="I67" s="222" t="s">
        <v>621</v>
      </c>
      <c r="J67" s="223">
        <f t="shared" si="4"/>
        <v>14.319999999999999</v>
      </c>
    </row>
    <row r="68" spans="1:10" ht="13.5" x14ac:dyDescent="0.2">
      <c r="A68" s="504">
        <v>59</v>
      </c>
      <c r="B68" s="219" t="s">
        <v>709</v>
      </c>
      <c r="C68" s="220" t="s">
        <v>630</v>
      </c>
      <c r="D68" s="221" t="s">
        <v>620</v>
      </c>
      <c r="E68" s="222">
        <v>4</v>
      </c>
      <c r="F68" s="755">
        <v>15.9</v>
      </c>
      <c r="G68" s="223">
        <f t="shared" si="3"/>
        <v>63.6</v>
      </c>
      <c r="H68" s="222">
        <v>5</v>
      </c>
      <c r="I68" s="222" t="s">
        <v>621</v>
      </c>
      <c r="J68" s="223">
        <f t="shared" si="4"/>
        <v>12.72</v>
      </c>
    </row>
    <row r="69" spans="1:10" ht="13.5" x14ac:dyDescent="0.2">
      <c r="A69" s="504">
        <v>60</v>
      </c>
      <c r="B69" s="219" t="s">
        <v>710</v>
      </c>
      <c r="C69" s="220" t="s">
        <v>711</v>
      </c>
      <c r="D69" s="221" t="s">
        <v>620</v>
      </c>
      <c r="E69" s="222">
        <v>4</v>
      </c>
      <c r="F69" s="755">
        <v>15.9</v>
      </c>
      <c r="G69" s="223">
        <f t="shared" si="3"/>
        <v>63.6</v>
      </c>
      <c r="H69" s="222">
        <v>5</v>
      </c>
      <c r="I69" s="222" t="s">
        <v>621</v>
      </c>
      <c r="J69" s="223">
        <f t="shared" si="4"/>
        <v>12.72</v>
      </c>
    </row>
    <row r="70" spans="1:10" ht="13.5" x14ac:dyDescent="0.2">
      <c r="A70" s="504">
        <v>61</v>
      </c>
      <c r="B70" s="219" t="s">
        <v>712</v>
      </c>
      <c r="C70" s="220" t="s">
        <v>4469</v>
      </c>
      <c r="D70" s="221" t="s">
        <v>620</v>
      </c>
      <c r="E70" s="222">
        <v>1</v>
      </c>
      <c r="F70" s="755">
        <v>117.15</v>
      </c>
      <c r="G70" s="223">
        <f t="shared" si="3"/>
        <v>117.15</v>
      </c>
      <c r="H70" s="222">
        <v>5</v>
      </c>
      <c r="I70" s="222" t="s">
        <v>621</v>
      </c>
      <c r="J70" s="223">
        <f t="shared" si="4"/>
        <v>23.43</v>
      </c>
    </row>
    <row r="71" spans="1:10" ht="13.5" x14ac:dyDescent="0.2">
      <c r="A71" s="504">
        <v>62</v>
      </c>
      <c r="B71" s="219" t="s">
        <v>713</v>
      </c>
      <c r="C71" s="220" t="s">
        <v>714</v>
      </c>
      <c r="D71" s="221" t="s">
        <v>620</v>
      </c>
      <c r="E71" s="222">
        <v>10</v>
      </c>
      <c r="F71" s="755">
        <v>18.04</v>
      </c>
      <c r="G71" s="223">
        <f t="shared" si="3"/>
        <v>180.39999999999998</v>
      </c>
      <c r="H71" s="222">
        <v>5</v>
      </c>
      <c r="I71" s="222" t="s">
        <v>621</v>
      </c>
      <c r="J71" s="223">
        <f t="shared" si="4"/>
        <v>36.08</v>
      </c>
    </row>
    <row r="72" spans="1:10" ht="13.5" x14ac:dyDescent="0.2">
      <c r="A72" s="504">
        <v>63</v>
      </c>
      <c r="B72" s="219" t="s">
        <v>715</v>
      </c>
      <c r="C72" s="220" t="s">
        <v>716</v>
      </c>
      <c r="D72" s="221" t="s">
        <v>620</v>
      </c>
      <c r="E72" s="222">
        <v>30</v>
      </c>
      <c r="F72" s="755">
        <v>22.39</v>
      </c>
      <c r="G72" s="223">
        <f t="shared" si="3"/>
        <v>671.7</v>
      </c>
      <c r="H72" s="222">
        <v>5</v>
      </c>
      <c r="I72" s="222" t="s">
        <v>621</v>
      </c>
      <c r="J72" s="223">
        <f t="shared" si="4"/>
        <v>134.34</v>
      </c>
    </row>
    <row r="73" spans="1:10" ht="13.5" x14ac:dyDescent="0.2">
      <c r="A73" s="504">
        <v>64</v>
      </c>
      <c r="B73" s="219" t="s">
        <v>717</v>
      </c>
      <c r="C73" s="220" t="s">
        <v>718</v>
      </c>
      <c r="D73" s="221" t="s">
        <v>620</v>
      </c>
      <c r="E73" s="222">
        <v>10</v>
      </c>
      <c r="F73" s="755">
        <v>70.2</v>
      </c>
      <c r="G73" s="223">
        <f t="shared" si="3"/>
        <v>702</v>
      </c>
      <c r="H73" s="222">
        <v>5</v>
      </c>
      <c r="I73" s="222" t="s">
        <v>621</v>
      </c>
      <c r="J73" s="223">
        <f t="shared" si="4"/>
        <v>140.4</v>
      </c>
    </row>
    <row r="74" spans="1:10" ht="27" x14ac:dyDescent="0.2">
      <c r="A74" s="504">
        <v>65</v>
      </c>
      <c r="B74" s="219" t="s">
        <v>719</v>
      </c>
      <c r="C74" s="220" t="s">
        <v>619</v>
      </c>
      <c r="D74" s="221" t="s">
        <v>620</v>
      </c>
      <c r="E74" s="222">
        <v>2</v>
      </c>
      <c r="F74" s="755">
        <v>25</v>
      </c>
      <c r="G74" s="223">
        <f t="shared" ref="G74:G105" si="5">E74*F74</f>
        <v>50</v>
      </c>
      <c r="H74" s="222">
        <v>5</v>
      </c>
      <c r="I74" s="222" t="s">
        <v>621</v>
      </c>
      <c r="J74" s="223">
        <f t="shared" si="4"/>
        <v>10</v>
      </c>
    </row>
    <row r="75" spans="1:10" ht="13.5" x14ac:dyDescent="0.2">
      <c r="A75" s="504">
        <v>66</v>
      </c>
      <c r="B75" s="219" t="s">
        <v>720</v>
      </c>
      <c r="C75" s="220" t="s">
        <v>619</v>
      </c>
      <c r="D75" s="221" t="s">
        <v>620</v>
      </c>
      <c r="E75" s="222">
        <v>1</v>
      </c>
      <c r="F75" s="755">
        <v>102.55</v>
      </c>
      <c r="G75" s="223">
        <f t="shared" si="5"/>
        <v>102.55</v>
      </c>
      <c r="H75" s="222">
        <v>5</v>
      </c>
      <c r="I75" s="222" t="s">
        <v>621</v>
      </c>
      <c r="J75" s="223">
        <f t="shared" si="4"/>
        <v>20.509999999999998</v>
      </c>
    </row>
    <row r="76" spans="1:10" ht="13.5" x14ac:dyDescent="0.2">
      <c r="A76" s="504">
        <v>67</v>
      </c>
      <c r="B76" s="219" t="s">
        <v>721</v>
      </c>
      <c r="C76" s="220" t="s">
        <v>619</v>
      </c>
      <c r="D76" s="221" t="s">
        <v>620</v>
      </c>
      <c r="E76" s="222">
        <v>3</v>
      </c>
      <c r="F76" s="755">
        <v>27.9</v>
      </c>
      <c r="G76" s="223">
        <f t="shared" si="5"/>
        <v>83.699999999999989</v>
      </c>
      <c r="H76" s="222">
        <v>5</v>
      </c>
      <c r="I76" s="222" t="s">
        <v>621</v>
      </c>
      <c r="J76" s="223">
        <f t="shared" si="4"/>
        <v>16.739999999999998</v>
      </c>
    </row>
    <row r="77" spans="1:10" ht="13.5" x14ac:dyDescent="0.2">
      <c r="A77" s="504">
        <v>68</v>
      </c>
      <c r="B77" s="219" t="s">
        <v>722</v>
      </c>
      <c r="C77" s="220" t="s">
        <v>619</v>
      </c>
      <c r="D77" s="221" t="s">
        <v>620</v>
      </c>
      <c r="E77" s="222">
        <v>2</v>
      </c>
      <c r="F77" s="755">
        <v>159.9</v>
      </c>
      <c r="G77" s="223">
        <f t="shared" si="5"/>
        <v>319.8</v>
      </c>
      <c r="H77" s="222">
        <v>5</v>
      </c>
      <c r="I77" s="222" t="s">
        <v>621</v>
      </c>
      <c r="J77" s="223">
        <f t="shared" si="4"/>
        <v>63.96</v>
      </c>
    </row>
    <row r="78" spans="1:10" ht="13.5" x14ac:dyDescent="0.2">
      <c r="A78" s="504">
        <v>69</v>
      </c>
      <c r="B78" s="219" t="s">
        <v>723</v>
      </c>
      <c r="C78" s="220" t="s">
        <v>724</v>
      </c>
      <c r="D78" s="221" t="s">
        <v>620</v>
      </c>
      <c r="E78" s="222">
        <v>30</v>
      </c>
      <c r="F78" s="755">
        <v>15.74</v>
      </c>
      <c r="G78" s="223">
        <f t="shared" si="5"/>
        <v>472.2</v>
      </c>
      <c r="H78" s="222">
        <v>5</v>
      </c>
      <c r="I78" s="222" t="s">
        <v>621</v>
      </c>
      <c r="J78" s="223">
        <f t="shared" si="4"/>
        <v>94.44</v>
      </c>
    </row>
    <row r="79" spans="1:10" ht="27" x14ac:dyDescent="0.2">
      <c r="A79" s="504">
        <v>70</v>
      </c>
      <c r="B79" s="219" t="s">
        <v>725</v>
      </c>
      <c r="C79" s="220" t="s">
        <v>619</v>
      </c>
      <c r="D79" s="221" t="s">
        <v>620</v>
      </c>
      <c r="E79" s="222">
        <v>2</v>
      </c>
      <c r="F79" s="755">
        <v>152.52000000000001</v>
      </c>
      <c r="G79" s="223">
        <f t="shared" si="5"/>
        <v>305.04000000000002</v>
      </c>
      <c r="H79" s="222">
        <v>5</v>
      </c>
      <c r="I79" s="222" t="s">
        <v>621</v>
      </c>
      <c r="J79" s="223">
        <f t="shared" si="4"/>
        <v>61.008000000000003</v>
      </c>
    </row>
    <row r="80" spans="1:10" ht="13.5" x14ac:dyDescent="0.2">
      <c r="A80" s="504">
        <v>71</v>
      </c>
      <c r="B80" s="219" t="s">
        <v>726</v>
      </c>
      <c r="C80" s="220" t="s">
        <v>727</v>
      </c>
      <c r="D80" s="221" t="s">
        <v>620</v>
      </c>
      <c r="E80" s="222">
        <v>1</v>
      </c>
      <c r="F80" s="755">
        <v>31.4</v>
      </c>
      <c r="G80" s="223">
        <f t="shared" si="5"/>
        <v>31.4</v>
      </c>
      <c r="H80" s="222">
        <v>5</v>
      </c>
      <c r="I80" s="222" t="s">
        <v>621</v>
      </c>
      <c r="J80" s="223">
        <f t="shared" si="4"/>
        <v>6.2799999999999994</v>
      </c>
    </row>
    <row r="81" spans="1:10" ht="13.5" x14ac:dyDescent="0.2">
      <c r="A81" s="504">
        <v>72</v>
      </c>
      <c r="B81" s="219" t="s">
        <v>728</v>
      </c>
      <c r="C81" s="220" t="s">
        <v>729</v>
      </c>
      <c r="D81" s="221" t="s">
        <v>646</v>
      </c>
      <c r="E81" s="222">
        <v>25</v>
      </c>
      <c r="F81" s="755">
        <v>14</v>
      </c>
      <c r="G81" s="223">
        <f t="shared" si="5"/>
        <v>350</v>
      </c>
      <c r="H81" s="222">
        <v>1</v>
      </c>
      <c r="I81" s="224">
        <v>0.2</v>
      </c>
      <c r="J81" s="223">
        <f t="shared" si="4"/>
        <v>350</v>
      </c>
    </row>
    <row r="82" spans="1:10" ht="27" x14ac:dyDescent="0.2">
      <c r="A82" s="504">
        <v>73</v>
      </c>
      <c r="B82" s="219" t="s">
        <v>730</v>
      </c>
      <c r="C82" s="220" t="s">
        <v>619</v>
      </c>
      <c r="D82" s="221" t="s">
        <v>620</v>
      </c>
      <c r="E82" s="222">
        <v>5</v>
      </c>
      <c r="F82" s="755">
        <v>1034</v>
      </c>
      <c r="G82" s="223">
        <f t="shared" si="5"/>
        <v>5170</v>
      </c>
      <c r="H82" s="222">
        <v>5</v>
      </c>
      <c r="I82" s="222" t="s">
        <v>621</v>
      </c>
      <c r="J82" s="223">
        <f t="shared" si="4"/>
        <v>1034</v>
      </c>
    </row>
    <row r="83" spans="1:10" ht="27" x14ac:dyDescent="0.2">
      <c r="A83" s="504">
        <v>74</v>
      </c>
      <c r="B83" s="219" t="s">
        <v>731</v>
      </c>
      <c r="C83" s="220" t="s">
        <v>619</v>
      </c>
      <c r="D83" s="221" t="s">
        <v>620</v>
      </c>
      <c r="E83" s="222">
        <v>5</v>
      </c>
      <c r="F83" s="755">
        <v>394</v>
      </c>
      <c r="G83" s="223">
        <f t="shared" si="5"/>
        <v>1970</v>
      </c>
      <c r="H83" s="222">
        <v>5</v>
      </c>
      <c r="I83" s="222" t="s">
        <v>621</v>
      </c>
      <c r="J83" s="223">
        <f t="shared" si="4"/>
        <v>394</v>
      </c>
    </row>
    <row r="84" spans="1:10" ht="13.5" x14ac:dyDescent="0.2">
      <c r="A84" s="504">
        <v>75</v>
      </c>
      <c r="B84" s="219" t="s">
        <v>732</v>
      </c>
      <c r="C84" s="220" t="s">
        <v>733</v>
      </c>
      <c r="D84" s="221" t="s">
        <v>620</v>
      </c>
      <c r="E84" s="222">
        <v>1</v>
      </c>
      <c r="F84" s="755">
        <v>73.22</v>
      </c>
      <c r="G84" s="223">
        <f t="shared" si="5"/>
        <v>73.22</v>
      </c>
      <c r="H84" s="222">
        <v>5</v>
      </c>
      <c r="I84" s="222" t="s">
        <v>621</v>
      </c>
      <c r="J84" s="223">
        <f t="shared" si="4"/>
        <v>14.644</v>
      </c>
    </row>
    <row r="85" spans="1:10" ht="13.5" x14ac:dyDescent="0.2">
      <c r="A85" s="504">
        <v>76</v>
      </c>
      <c r="B85" s="219" t="s">
        <v>734</v>
      </c>
      <c r="C85" s="220" t="s">
        <v>619</v>
      </c>
      <c r="D85" s="221" t="s">
        <v>620</v>
      </c>
      <c r="E85" s="222">
        <v>3</v>
      </c>
      <c r="F85" s="755">
        <v>304.99</v>
      </c>
      <c r="G85" s="223">
        <f t="shared" si="5"/>
        <v>914.97</v>
      </c>
      <c r="H85" s="222">
        <v>5</v>
      </c>
      <c r="I85" s="222" t="s">
        <v>621</v>
      </c>
      <c r="J85" s="223">
        <f t="shared" si="4"/>
        <v>182.994</v>
      </c>
    </row>
    <row r="86" spans="1:10" ht="27" x14ac:dyDescent="0.2">
      <c r="A86" s="504">
        <v>77</v>
      </c>
      <c r="B86" s="219" t="s">
        <v>735</v>
      </c>
      <c r="C86" s="220" t="s">
        <v>736</v>
      </c>
      <c r="D86" s="221" t="s">
        <v>620</v>
      </c>
      <c r="E86" s="222">
        <v>1</v>
      </c>
      <c r="F86" s="755">
        <v>492</v>
      </c>
      <c r="G86" s="223">
        <f t="shared" si="5"/>
        <v>492</v>
      </c>
      <c r="H86" s="222">
        <v>5</v>
      </c>
      <c r="I86" s="222" t="s">
        <v>621</v>
      </c>
      <c r="J86" s="223">
        <f t="shared" si="4"/>
        <v>98.4</v>
      </c>
    </row>
    <row r="87" spans="1:10" ht="13.5" x14ac:dyDescent="0.2">
      <c r="A87" s="504">
        <v>78</v>
      </c>
      <c r="B87" s="219" t="s">
        <v>737</v>
      </c>
      <c r="C87" s="220" t="s">
        <v>738</v>
      </c>
      <c r="D87" s="221" t="s">
        <v>646</v>
      </c>
      <c r="E87" s="222">
        <v>5</v>
      </c>
      <c r="F87" s="755">
        <v>59.85</v>
      </c>
      <c r="G87" s="223">
        <f t="shared" si="5"/>
        <v>299.25</v>
      </c>
      <c r="H87" s="222">
        <v>5</v>
      </c>
      <c r="I87" s="222" t="s">
        <v>621</v>
      </c>
      <c r="J87" s="223">
        <f t="shared" si="4"/>
        <v>59.85</v>
      </c>
    </row>
    <row r="88" spans="1:10" ht="13.5" x14ac:dyDescent="0.2">
      <c r="A88" s="504">
        <v>79</v>
      </c>
      <c r="B88" s="219" t="s">
        <v>739</v>
      </c>
      <c r="C88" s="220" t="s">
        <v>619</v>
      </c>
      <c r="D88" s="221" t="s">
        <v>620</v>
      </c>
      <c r="E88" s="222">
        <v>2</v>
      </c>
      <c r="F88" s="755">
        <v>172.94</v>
      </c>
      <c r="G88" s="223">
        <f t="shared" si="5"/>
        <v>345.88</v>
      </c>
      <c r="H88" s="222">
        <v>5</v>
      </c>
      <c r="I88" s="222" t="s">
        <v>621</v>
      </c>
      <c r="J88" s="223">
        <f t="shared" si="4"/>
        <v>69.176000000000002</v>
      </c>
    </row>
    <row r="89" spans="1:10" ht="13.5" x14ac:dyDescent="0.2">
      <c r="A89" s="504">
        <v>80</v>
      </c>
      <c r="B89" s="219" t="s">
        <v>740</v>
      </c>
      <c r="C89" s="220" t="s">
        <v>619</v>
      </c>
      <c r="D89" s="221" t="s">
        <v>620</v>
      </c>
      <c r="E89" s="222">
        <v>5</v>
      </c>
      <c r="F89" s="755">
        <v>50.99</v>
      </c>
      <c r="G89" s="223">
        <f t="shared" si="5"/>
        <v>254.95000000000002</v>
      </c>
      <c r="H89" s="222">
        <v>5</v>
      </c>
      <c r="I89" s="222" t="s">
        <v>621</v>
      </c>
      <c r="J89" s="223">
        <f t="shared" si="4"/>
        <v>50.99</v>
      </c>
    </row>
    <row r="90" spans="1:10" ht="27" x14ac:dyDescent="0.2">
      <c r="A90" s="504">
        <v>81</v>
      </c>
      <c r="B90" s="219" t="s">
        <v>741</v>
      </c>
      <c r="C90" s="220" t="s">
        <v>619</v>
      </c>
      <c r="D90" s="221" t="s">
        <v>620</v>
      </c>
      <c r="E90" s="222">
        <v>2</v>
      </c>
      <c r="F90" s="755">
        <v>28.5</v>
      </c>
      <c r="G90" s="223">
        <f t="shared" si="5"/>
        <v>57</v>
      </c>
      <c r="H90" s="222">
        <v>5</v>
      </c>
      <c r="I90" s="222" t="s">
        <v>621</v>
      </c>
      <c r="J90" s="223">
        <f t="shared" si="4"/>
        <v>11.4</v>
      </c>
    </row>
    <row r="91" spans="1:10" ht="13.5" x14ac:dyDescent="0.2">
      <c r="A91" s="504">
        <v>82</v>
      </c>
      <c r="B91" s="219" t="s">
        <v>742</v>
      </c>
      <c r="C91" s="220" t="s">
        <v>619</v>
      </c>
      <c r="D91" s="221" t="s">
        <v>620</v>
      </c>
      <c r="E91" s="222">
        <v>2</v>
      </c>
      <c r="F91" s="755">
        <v>109</v>
      </c>
      <c r="G91" s="223">
        <f t="shared" si="5"/>
        <v>218</v>
      </c>
      <c r="H91" s="222">
        <v>5</v>
      </c>
      <c r="I91" s="222" t="s">
        <v>621</v>
      </c>
      <c r="J91" s="223">
        <f t="shared" si="4"/>
        <v>43.6</v>
      </c>
    </row>
    <row r="92" spans="1:10" ht="13.5" x14ac:dyDescent="0.2">
      <c r="A92" s="504">
        <v>83</v>
      </c>
      <c r="B92" s="219" t="s">
        <v>743</v>
      </c>
      <c r="C92" s="220" t="s">
        <v>619</v>
      </c>
      <c r="D92" s="221" t="s">
        <v>620</v>
      </c>
      <c r="E92" s="222">
        <v>1</v>
      </c>
      <c r="F92" s="755">
        <v>269.89999999999998</v>
      </c>
      <c r="G92" s="223">
        <f t="shared" si="5"/>
        <v>269.89999999999998</v>
      </c>
      <c r="H92" s="222">
        <v>5</v>
      </c>
      <c r="I92" s="222" t="s">
        <v>621</v>
      </c>
      <c r="J92" s="223">
        <f t="shared" si="4"/>
        <v>53.98</v>
      </c>
    </row>
    <row r="93" spans="1:10" ht="27" x14ac:dyDescent="0.2">
      <c r="A93" s="504">
        <v>84</v>
      </c>
      <c r="B93" s="219" t="s">
        <v>744</v>
      </c>
      <c r="C93" s="220" t="s">
        <v>745</v>
      </c>
      <c r="D93" s="221" t="s">
        <v>746</v>
      </c>
      <c r="E93" s="222">
        <v>1</v>
      </c>
      <c r="F93" s="755">
        <v>1164.4000000000001</v>
      </c>
      <c r="G93" s="223">
        <f t="shared" si="5"/>
        <v>1164.4000000000001</v>
      </c>
      <c r="H93" s="222">
        <v>5</v>
      </c>
      <c r="I93" s="222" t="s">
        <v>621</v>
      </c>
      <c r="J93" s="223">
        <f t="shared" si="4"/>
        <v>232.88000000000002</v>
      </c>
    </row>
    <row r="94" spans="1:10" ht="13.5" x14ac:dyDescent="0.2">
      <c r="A94" s="504">
        <v>85</v>
      </c>
      <c r="B94" s="219" t="s">
        <v>747</v>
      </c>
      <c r="C94" s="220" t="s">
        <v>619</v>
      </c>
      <c r="D94" s="221" t="s">
        <v>620</v>
      </c>
      <c r="E94" s="222">
        <v>10</v>
      </c>
      <c r="F94" s="755">
        <v>119.69</v>
      </c>
      <c r="G94" s="223">
        <f t="shared" si="5"/>
        <v>1196.9000000000001</v>
      </c>
      <c r="H94" s="222">
        <v>5</v>
      </c>
      <c r="I94" s="222" t="s">
        <v>621</v>
      </c>
      <c r="J94" s="223">
        <f t="shared" si="4"/>
        <v>239.38000000000002</v>
      </c>
    </row>
    <row r="95" spans="1:10" ht="27" x14ac:dyDescent="0.2">
      <c r="A95" s="504">
        <v>86</v>
      </c>
      <c r="B95" s="219" t="s">
        <v>748</v>
      </c>
      <c r="C95" s="220" t="s">
        <v>619</v>
      </c>
      <c r="D95" s="221" t="s">
        <v>620</v>
      </c>
      <c r="E95" s="222">
        <v>3</v>
      </c>
      <c r="F95" s="755">
        <v>27.93</v>
      </c>
      <c r="G95" s="223">
        <f t="shared" si="5"/>
        <v>83.789999999999992</v>
      </c>
      <c r="H95" s="222">
        <v>5</v>
      </c>
      <c r="I95" s="222" t="s">
        <v>621</v>
      </c>
      <c r="J95" s="223">
        <f t="shared" ref="J95:J126" si="6">G95/H95</f>
        <v>16.757999999999999</v>
      </c>
    </row>
    <row r="96" spans="1:10" ht="13.5" x14ac:dyDescent="0.2">
      <c r="A96" s="504">
        <v>87</v>
      </c>
      <c r="B96" s="219" t="s">
        <v>749</v>
      </c>
      <c r="C96" s="220" t="s">
        <v>619</v>
      </c>
      <c r="D96" s="221" t="s">
        <v>620</v>
      </c>
      <c r="E96" s="222">
        <v>10</v>
      </c>
      <c r="F96" s="755">
        <v>26.63</v>
      </c>
      <c r="G96" s="223">
        <f t="shared" si="5"/>
        <v>266.3</v>
      </c>
      <c r="H96" s="222">
        <v>5</v>
      </c>
      <c r="I96" s="222" t="s">
        <v>621</v>
      </c>
      <c r="J96" s="223">
        <f t="shared" si="6"/>
        <v>53.260000000000005</v>
      </c>
    </row>
    <row r="97" spans="1:10" ht="13.5" x14ac:dyDescent="0.2">
      <c r="A97" s="504">
        <v>88</v>
      </c>
      <c r="B97" s="219" t="s">
        <v>750</v>
      </c>
      <c r="C97" s="220" t="s">
        <v>619</v>
      </c>
      <c r="D97" s="221" t="s">
        <v>620</v>
      </c>
      <c r="E97" s="222">
        <v>20</v>
      </c>
      <c r="F97" s="755">
        <v>36.33</v>
      </c>
      <c r="G97" s="223">
        <f t="shared" si="5"/>
        <v>726.59999999999991</v>
      </c>
      <c r="H97" s="222">
        <v>5</v>
      </c>
      <c r="I97" s="222" t="s">
        <v>621</v>
      </c>
      <c r="J97" s="223">
        <f t="shared" si="6"/>
        <v>145.32</v>
      </c>
    </row>
    <row r="98" spans="1:10" ht="27" x14ac:dyDescent="0.2">
      <c r="A98" s="504">
        <v>89</v>
      </c>
      <c r="B98" s="219" t="s">
        <v>751</v>
      </c>
      <c r="C98" s="220" t="s">
        <v>619</v>
      </c>
      <c r="D98" s="221" t="s">
        <v>620</v>
      </c>
      <c r="E98" s="222">
        <v>2</v>
      </c>
      <c r="F98" s="755">
        <v>26.61</v>
      </c>
      <c r="G98" s="223">
        <f t="shared" si="5"/>
        <v>53.22</v>
      </c>
      <c r="H98" s="222">
        <v>5</v>
      </c>
      <c r="I98" s="222" t="s">
        <v>621</v>
      </c>
      <c r="J98" s="223">
        <f t="shared" si="6"/>
        <v>10.644</v>
      </c>
    </row>
    <row r="99" spans="1:10" ht="13.5" x14ac:dyDescent="0.2">
      <c r="A99" s="504">
        <v>90</v>
      </c>
      <c r="B99" s="219" t="s">
        <v>752</v>
      </c>
      <c r="C99" s="220" t="s">
        <v>619</v>
      </c>
      <c r="D99" s="221" t="s">
        <v>620</v>
      </c>
      <c r="E99" s="222">
        <v>5</v>
      </c>
      <c r="F99" s="755">
        <v>81.61</v>
      </c>
      <c r="G99" s="223">
        <f t="shared" si="5"/>
        <v>408.05</v>
      </c>
      <c r="H99" s="222">
        <v>5</v>
      </c>
      <c r="I99" s="222" t="s">
        <v>621</v>
      </c>
      <c r="J99" s="223">
        <f t="shared" si="6"/>
        <v>81.61</v>
      </c>
    </row>
    <row r="100" spans="1:10" ht="13.5" x14ac:dyDescent="0.2">
      <c r="A100" s="504">
        <v>91</v>
      </c>
      <c r="B100" s="219" t="s">
        <v>753</v>
      </c>
      <c r="C100" s="220" t="s">
        <v>619</v>
      </c>
      <c r="D100" s="221" t="s">
        <v>620</v>
      </c>
      <c r="E100" s="222">
        <v>2</v>
      </c>
      <c r="F100" s="755">
        <v>74.900000000000006</v>
      </c>
      <c r="G100" s="223">
        <f t="shared" si="5"/>
        <v>149.80000000000001</v>
      </c>
      <c r="H100" s="222">
        <v>5</v>
      </c>
      <c r="I100" s="222" t="s">
        <v>621</v>
      </c>
      <c r="J100" s="223">
        <f t="shared" si="6"/>
        <v>29.96</v>
      </c>
    </row>
    <row r="101" spans="1:10" ht="13.5" x14ac:dyDescent="0.2">
      <c r="A101" s="504">
        <v>92</v>
      </c>
      <c r="B101" s="219" t="s">
        <v>754</v>
      </c>
      <c r="C101" s="220" t="s">
        <v>619</v>
      </c>
      <c r="D101" s="221" t="s">
        <v>620</v>
      </c>
      <c r="E101" s="222">
        <v>2</v>
      </c>
      <c r="F101" s="755">
        <v>45.9</v>
      </c>
      <c r="G101" s="223">
        <f t="shared" si="5"/>
        <v>91.8</v>
      </c>
      <c r="H101" s="222">
        <v>5</v>
      </c>
      <c r="I101" s="222" t="s">
        <v>621</v>
      </c>
      <c r="J101" s="223">
        <f t="shared" si="6"/>
        <v>18.36</v>
      </c>
    </row>
    <row r="102" spans="1:10" ht="13.5" x14ac:dyDescent="0.2">
      <c r="A102" s="504">
        <v>93</v>
      </c>
      <c r="B102" s="219" t="s">
        <v>755</v>
      </c>
      <c r="C102" s="220" t="s">
        <v>619</v>
      </c>
      <c r="D102" s="221" t="s">
        <v>620</v>
      </c>
      <c r="E102" s="222">
        <v>5</v>
      </c>
      <c r="F102" s="755">
        <v>43.5</v>
      </c>
      <c r="G102" s="223">
        <f t="shared" si="5"/>
        <v>217.5</v>
      </c>
      <c r="H102" s="222">
        <v>5</v>
      </c>
      <c r="I102" s="222" t="s">
        <v>621</v>
      </c>
      <c r="J102" s="223">
        <f t="shared" si="6"/>
        <v>43.5</v>
      </c>
    </row>
    <row r="103" spans="1:10" ht="13.5" x14ac:dyDescent="0.2">
      <c r="A103" s="504">
        <v>94</v>
      </c>
      <c r="B103" s="219" t="s">
        <v>756</v>
      </c>
      <c r="C103" s="220" t="s">
        <v>619</v>
      </c>
      <c r="D103" s="221" t="s">
        <v>620</v>
      </c>
      <c r="E103" s="222">
        <v>1</v>
      </c>
      <c r="F103" s="755">
        <v>51</v>
      </c>
      <c r="G103" s="223">
        <f t="shared" si="5"/>
        <v>51</v>
      </c>
      <c r="H103" s="222">
        <v>5</v>
      </c>
      <c r="I103" s="222" t="s">
        <v>621</v>
      </c>
      <c r="J103" s="223">
        <f t="shared" si="6"/>
        <v>10.199999999999999</v>
      </c>
    </row>
    <row r="104" spans="1:10" ht="13.5" x14ac:dyDescent="0.2">
      <c r="A104" s="504">
        <v>95</v>
      </c>
      <c r="B104" s="219" t="s">
        <v>757</v>
      </c>
      <c r="C104" s="220" t="s">
        <v>619</v>
      </c>
      <c r="D104" s="221" t="s">
        <v>620</v>
      </c>
      <c r="E104" s="222">
        <v>8</v>
      </c>
      <c r="F104" s="755">
        <v>25.9</v>
      </c>
      <c r="G104" s="223">
        <f t="shared" si="5"/>
        <v>207.2</v>
      </c>
      <c r="H104" s="222">
        <v>5</v>
      </c>
      <c r="I104" s="222" t="s">
        <v>621</v>
      </c>
      <c r="J104" s="223">
        <f t="shared" si="6"/>
        <v>41.44</v>
      </c>
    </row>
    <row r="105" spans="1:10" ht="13.5" x14ac:dyDescent="0.2">
      <c r="A105" s="504">
        <v>96</v>
      </c>
      <c r="B105" s="219" t="s">
        <v>758</v>
      </c>
      <c r="C105" s="220" t="s">
        <v>619</v>
      </c>
      <c r="D105" s="221" t="s">
        <v>620</v>
      </c>
      <c r="E105" s="222">
        <v>1</v>
      </c>
      <c r="F105" s="755">
        <v>599.99</v>
      </c>
      <c r="G105" s="223">
        <f t="shared" si="5"/>
        <v>599.99</v>
      </c>
      <c r="H105" s="222">
        <v>5</v>
      </c>
      <c r="I105" s="222" t="s">
        <v>621</v>
      </c>
      <c r="J105" s="223">
        <f t="shared" si="6"/>
        <v>119.998</v>
      </c>
    </row>
    <row r="106" spans="1:10" ht="27" x14ac:dyDescent="0.2">
      <c r="A106" s="504">
        <v>97</v>
      </c>
      <c r="B106" s="219" t="s">
        <v>759</v>
      </c>
      <c r="C106" s="220" t="s">
        <v>619</v>
      </c>
      <c r="D106" s="221" t="s">
        <v>620</v>
      </c>
      <c r="E106" s="222">
        <v>6</v>
      </c>
      <c r="F106" s="755">
        <v>26.14</v>
      </c>
      <c r="G106" s="223">
        <f t="shared" ref="G106:G137" si="7">E106*F106</f>
        <v>156.84</v>
      </c>
      <c r="H106" s="222">
        <v>5</v>
      </c>
      <c r="I106" s="222" t="s">
        <v>621</v>
      </c>
      <c r="J106" s="223">
        <f t="shared" si="6"/>
        <v>31.368000000000002</v>
      </c>
    </row>
    <row r="107" spans="1:10" ht="13.5" x14ac:dyDescent="0.2">
      <c r="A107" s="504">
        <v>98</v>
      </c>
      <c r="B107" s="219" t="s">
        <v>760</v>
      </c>
      <c r="C107" s="220" t="s">
        <v>619</v>
      </c>
      <c r="D107" s="221" t="s">
        <v>620</v>
      </c>
      <c r="E107" s="222">
        <v>2</v>
      </c>
      <c r="F107" s="755">
        <v>93.51</v>
      </c>
      <c r="G107" s="223">
        <f t="shared" si="7"/>
        <v>187.02</v>
      </c>
      <c r="H107" s="222">
        <v>5</v>
      </c>
      <c r="I107" s="222" t="s">
        <v>621</v>
      </c>
      <c r="J107" s="223">
        <f t="shared" si="6"/>
        <v>37.404000000000003</v>
      </c>
    </row>
    <row r="108" spans="1:10" ht="27" x14ac:dyDescent="0.2">
      <c r="A108" s="504">
        <v>99</v>
      </c>
      <c r="B108" s="219" t="s">
        <v>761</v>
      </c>
      <c r="C108" s="220" t="s">
        <v>619</v>
      </c>
      <c r="D108" s="221" t="s">
        <v>620</v>
      </c>
      <c r="E108" s="222">
        <v>1</v>
      </c>
      <c r="F108" s="755">
        <v>44.9</v>
      </c>
      <c r="G108" s="223">
        <f t="shared" si="7"/>
        <v>44.9</v>
      </c>
      <c r="H108" s="222">
        <v>5</v>
      </c>
      <c r="I108" s="222" t="s">
        <v>621</v>
      </c>
      <c r="J108" s="223">
        <f t="shared" si="6"/>
        <v>8.98</v>
      </c>
    </row>
    <row r="109" spans="1:10" ht="13.5" x14ac:dyDescent="0.2">
      <c r="A109" s="504">
        <v>100</v>
      </c>
      <c r="B109" s="219" t="s">
        <v>762</v>
      </c>
      <c r="C109" s="220" t="s">
        <v>619</v>
      </c>
      <c r="D109" s="221" t="s">
        <v>620</v>
      </c>
      <c r="E109" s="222">
        <v>2</v>
      </c>
      <c r="F109" s="755">
        <v>202.95</v>
      </c>
      <c r="G109" s="223">
        <f t="shared" si="7"/>
        <v>405.9</v>
      </c>
      <c r="H109" s="222">
        <v>5</v>
      </c>
      <c r="I109" s="222" t="s">
        <v>621</v>
      </c>
      <c r="J109" s="223">
        <f t="shared" si="6"/>
        <v>81.179999999999993</v>
      </c>
    </row>
    <row r="110" spans="1:10" ht="13.5" x14ac:dyDescent="0.2">
      <c r="A110" s="504">
        <v>101</v>
      </c>
      <c r="B110" s="219" t="s">
        <v>763</v>
      </c>
      <c r="C110" s="220" t="s">
        <v>4470</v>
      </c>
      <c r="D110" s="221" t="s">
        <v>620</v>
      </c>
      <c r="E110" s="222">
        <v>10</v>
      </c>
      <c r="F110" s="755">
        <v>128.27000000000001</v>
      </c>
      <c r="G110" s="223">
        <f t="shared" si="7"/>
        <v>1282.7</v>
      </c>
      <c r="H110" s="222">
        <v>5</v>
      </c>
      <c r="I110" s="222" t="s">
        <v>621</v>
      </c>
      <c r="J110" s="223">
        <f t="shared" si="6"/>
        <v>256.54000000000002</v>
      </c>
    </row>
    <row r="111" spans="1:10" ht="13.5" x14ac:dyDescent="0.2">
      <c r="A111" s="504">
        <v>102</v>
      </c>
      <c r="B111" s="219" t="s">
        <v>764</v>
      </c>
      <c r="C111" s="220" t="s">
        <v>765</v>
      </c>
      <c r="D111" s="221" t="s">
        <v>620</v>
      </c>
      <c r="E111" s="222">
        <v>1</v>
      </c>
      <c r="F111" s="755">
        <v>231.96</v>
      </c>
      <c r="G111" s="223">
        <f t="shared" si="7"/>
        <v>231.96</v>
      </c>
      <c r="H111" s="222">
        <v>5</v>
      </c>
      <c r="I111" s="224">
        <v>0.1</v>
      </c>
      <c r="J111" s="223">
        <f t="shared" si="6"/>
        <v>46.392000000000003</v>
      </c>
    </row>
    <row r="112" spans="1:10" ht="13.5" x14ac:dyDescent="0.2">
      <c r="A112" s="504">
        <v>103</v>
      </c>
      <c r="B112" s="219" t="s">
        <v>766</v>
      </c>
      <c r="C112" s="220" t="s">
        <v>619</v>
      </c>
      <c r="D112" s="221" t="s">
        <v>620</v>
      </c>
      <c r="E112" s="222">
        <v>2</v>
      </c>
      <c r="F112" s="755">
        <v>344.81</v>
      </c>
      <c r="G112" s="223">
        <f t="shared" si="7"/>
        <v>689.62</v>
      </c>
      <c r="H112" s="222">
        <v>5</v>
      </c>
      <c r="I112" s="222" t="s">
        <v>621</v>
      </c>
      <c r="J112" s="223">
        <f t="shared" si="6"/>
        <v>137.92400000000001</v>
      </c>
    </row>
    <row r="113" spans="1:10" ht="13.5" x14ac:dyDescent="0.2">
      <c r="A113" s="504">
        <v>104</v>
      </c>
      <c r="B113" s="219" t="s">
        <v>767</v>
      </c>
      <c r="C113" s="220" t="s">
        <v>619</v>
      </c>
      <c r="D113" s="221" t="s">
        <v>620</v>
      </c>
      <c r="E113" s="222">
        <v>4</v>
      </c>
      <c r="F113" s="755">
        <v>20.9</v>
      </c>
      <c r="G113" s="223">
        <f t="shared" si="7"/>
        <v>83.6</v>
      </c>
      <c r="H113" s="222">
        <v>5</v>
      </c>
      <c r="I113" s="222" t="s">
        <v>621</v>
      </c>
      <c r="J113" s="223">
        <f t="shared" si="6"/>
        <v>16.72</v>
      </c>
    </row>
    <row r="114" spans="1:10" ht="13.5" x14ac:dyDescent="0.2">
      <c r="A114" s="504">
        <v>105</v>
      </c>
      <c r="B114" s="219" t="s">
        <v>768</v>
      </c>
      <c r="C114" s="220" t="s">
        <v>769</v>
      </c>
      <c r="D114" s="221" t="s">
        <v>620</v>
      </c>
      <c r="E114" s="222">
        <v>3</v>
      </c>
      <c r="F114" s="755">
        <v>37.159999999999997</v>
      </c>
      <c r="G114" s="223">
        <f t="shared" si="7"/>
        <v>111.47999999999999</v>
      </c>
      <c r="H114" s="222">
        <v>5</v>
      </c>
      <c r="I114" s="222" t="s">
        <v>621</v>
      </c>
      <c r="J114" s="223">
        <f t="shared" si="6"/>
        <v>22.295999999999999</v>
      </c>
    </row>
    <row r="115" spans="1:10" ht="13.5" x14ac:dyDescent="0.2">
      <c r="A115" s="504">
        <v>106</v>
      </c>
      <c r="B115" s="219" t="s">
        <v>770</v>
      </c>
      <c r="C115" s="220" t="s">
        <v>771</v>
      </c>
      <c r="D115" s="221" t="s">
        <v>620</v>
      </c>
      <c r="E115" s="222">
        <v>2</v>
      </c>
      <c r="F115" s="755">
        <v>48.16</v>
      </c>
      <c r="G115" s="223">
        <f t="shared" si="7"/>
        <v>96.32</v>
      </c>
      <c r="H115" s="222">
        <v>5</v>
      </c>
      <c r="I115" s="222" t="s">
        <v>621</v>
      </c>
      <c r="J115" s="223">
        <f t="shared" si="6"/>
        <v>19.263999999999999</v>
      </c>
    </row>
    <row r="116" spans="1:10" ht="13.5" x14ac:dyDescent="0.2">
      <c r="A116" s="504">
        <v>107</v>
      </c>
      <c r="B116" s="219" t="s">
        <v>772</v>
      </c>
      <c r="C116" s="220" t="s">
        <v>773</v>
      </c>
      <c r="D116" s="221" t="s">
        <v>620</v>
      </c>
      <c r="E116" s="222">
        <v>4</v>
      </c>
      <c r="F116" s="755">
        <v>16.41</v>
      </c>
      <c r="G116" s="223">
        <f t="shared" si="7"/>
        <v>65.64</v>
      </c>
      <c r="H116" s="222">
        <v>5</v>
      </c>
      <c r="I116" s="222" t="s">
        <v>621</v>
      </c>
      <c r="J116" s="223">
        <f t="shared" si="6"/>
        <v>13.128</v>
      </c>
    </row>
    <row r="117" spans="1:10" ht="13.5" x14ac:dyDescent="0.2">
      <c r="A117" s="504">
        <v>108</v>
      </c>
      <c r="B117" s="219" t="s">
        <v>774</v>
      </c>
      <c r="C117" s="220" t="s">
        <v>775</v>
      </c>
      <c r="D117" s="221" t="s">
        <v>620</v>
      </c>
      <c r="E117" s="222">
        <v>2</v>
      </c>
      <c r="F117" s="755">
        <v>973.25</v>
      </c>
      <c r="G117" s="223">
        <f t="shared" si="7"/>
        <v>1946.5</v>
      </c>
      <c r="H117" s="222">
        <v>5</v>
      </c>
      <c r="I117" s="222" t="s">
        <v>621</v>
      </c>
      <c r="J117" s="223">
        <f t="shared" si="6"/>
        <v>389.3</v>
      </c>
    </row>
    <row r="118" spans="1:10" ht="13.5" x14ac:dyDescent="0.2">
      <c r="A118" s="504">
        <v>109</v>
      </c>
      <c r="B118" s="219" t="s">
        <v>776</v>
      </c>
      <c r="C118" s="220" t="s">
        <v>777</v>
      </c>
      <c r="D118" s="221" t="s">
        <v>746</v>
      </c>
      <c r="E118" s="222">
        <v>1</v>
      </c>
      <c r="F118" s="755">
        <v>880</v>
      </c>
      <c r="G118" s="223">
        <f t="shared" si="7"/>
        <v>880</v>
      </c>
      <c r="H118" s="222">
        <v>5</v>
      </c>
      <c r="I118" s="222" t="s">
        <v>621</v>
      </c>
      <c r="J118" s="223">
        <f t="shared" si="6"/>
        <v>176</v>
      </c>
    </row>
    <row r="119" spans="1:10" ht="13.5" x14ac:dyDescent="0.2">
      <c r="A119" s="504">
        <v>110</v>
      </c>
      <c r="B119" s="219" t="s">
        <v>778</v>
      </c>
      <c r="C119" s="220" t="s">
        <v>779</v>
      </c>
      <c r="D119" s="221" t="s">
        <v>620</v>
      </c>
      <c r="E119" s="222">
        <v>1</v>
      </c>
      <c r="F119" s="755">
        <v>331</v>
      </c>
      <c r="G119" s="223">
        <f t="shared" si="7"/>
        <v>331</v>
      </c>
      <c r="H119" s="222">
        <v>5</v>
      </c>
      <c r="I119" s="222" t="s">
        <v>621</v>
      </c>
      <c r="J119" s="223">
        <f t="shared" si="6"/>
        <v>66.2</v>
      </c>
    </row>
    <row r="120" spans="1:10" ht="13.5" x14ac:dyDescent="0.2">
      <c r="A120" s="504">
        <v>111</v>
      </c>
      <c r="B120" s="219" t="s">
        <v>780</v>
      </c>
      <c r="C120" s="220" t="s">
        <v>781</v>
      </c>
      <c r="D120" s="221" t="s">
        <v>746</v>
      </c>
      <c r="E120" s="222">
        <v>3</v>
      </c>
      <c r="F120" s="755">
        <v>66.400000000000006</v>
      </c>
      <c r="G120" s="223">
        <f t="shared" si="7"/>
        <v>199.20000000000002</v>
      </c>
      <c r="H120" s="222">
        <v>5</v>
      </c>
      <c r="I120" s="222" t="s">
        <v>621</v>
      </c>
      <c r="J120" s="223">
        <f t="shared" si="6"/>
        <v>39.840000000000003</v>
      </c>
    </row>
    <row r="121" spans="1:10" ht="13.5" x14ac:dyDescent="0.2">
      <c r="A121" s="504">
        <v>112</v>
      </c>
      <c r="B121" s="219" t="s">
        <v>782</v>
      </c>
      <c r="C121" s="220" t="s">
        <v>783</v>
      </c>
      <c r="D121" s="221" t="s">
        <v>746</v>
      </c>
      <c r="E121" s="222">
        <v>6</v>
      </c>
      <c r="F121" s="755">
        <v>37.049999999999997</v>
      </c>
      <c r="G121" s="223">
        <f t="shared" si="7"/>
        <v>222.29999999999998</v>
      </c>
      <c r="H121" s="222">
        <v>5</v>
      </c>
      <c r="I121" s="222" t="s">
        <v>621</v>
      </c>
      <c r="J121" s="223">
        <f t="shared" si="6"/>
        <v>44.459999999999994</v>
      </c>
    </row>
    <row r="122" spans="1:10" ht="13.5" x14ac:dyDescent="0.2">
      <c r="A122" s="504">
        <v>113</v>
      </c>
      <c r="B122" s="219" t="s">
        <v>784</v>
      </c>
      <c r="C122" s="220" t="s">
        <v>619</v>
      </c>
      <c r="D122" s="221" t="s">
        <v>620</v>
      </c>
      <c r="E122" s="222">
        <v>6</v>
      </c>
      <c r="F122" s="755">
        <v>70.489999999999995</v>
      </c>
      <c r="G122" s="223">
        <f t="shared" si="7"/>
        <v>422.93999999999994</v>
      </c>
      <c r="H122" s="222">
        <v>5</v>
      </c>
      <c r="I122" s="222" t="s">
        <v>621</v>
      </c>
      <c r="J122" s="223">
        <f t="shared" si="6"/>
        <v>84.587999999999994</v>
      </c>
    </row>
    <row r="123" spans="1:10" ht="13.5" x14ac:dyDescent="0.2">
      <c r="A123" s="504">
        <v>114</v>
      </c>
      <c r="B123" s="219" t="s">
        <v>785</v>
      </c>
      <c r="C123" s="220" t="s">
        <v>619</v>
      </c>
      <c r="D123" s="221" t="s">
        <v>620</v>
      </c>
      <c r="E123" s="222">
        <v>2</v>
      </c>
      <c r="F123" s="755">
        <v>118.1</v>
      </c>
      <c r="G123" s="223">
        <f t="shared" si="7"/>
        <v>236.2</v>
      </c>
      <c r="H123" s="222">
        <v>5</v>
      </c>
      <c r="I123" s="222" t="s">
        <v>621</v>
      </c>
      <c r="J123" s="223">
        <f t="shared" si="6"/>
        <v>47.239999999999995</v>
      </c>
    </row>
    <row r="124" spans="1:10" ht="13.5" x14ac:dyDescent="0.2">
      <c r="A124" s="504">
        <v>115</v>
      </c>
      <c r="B124" s="219" t="s">
        <v>786</v>
      </c>
      <c r="C124" s="220" t="s">
        <v>787</v>
      </c>
      <c r="D124" s="221" t="s">
        <v>620</v>
      </c>
      <c r="E124" s="222">
        <v>2</v>
      </c>
      <c r="F124" s="755">
        <v>31.66</v>
      </c>
      <c r="G124" s="223">
        <f t="shared" si="7"/>
        <v>63.32</v>
      </c>
      <c r="H124" s="222">
        <v>5</v>
      </c>
      <c r="I124" s="222" t="s">
        <v>621</v>
      </c>
      <c r="J124" s="223">
        <f t="shared" si="6"/>
        <v>12.664</v>
      </c>
    </row>
    <row r="125" spans="1:10" ht="13.5" x14ac:dyDescent="0.2">
      <c r="A125" s="504">
        <v>116</v>
      </c>
      <c r="B125" s="219" t="s">
        <v>788</v>
      </c>
      <c r="C125" s="220" t="s">
        <v>619</v>
      </c>
      <c r="D125" s="221" t="s">
        <v>620</v>
      </c>
      <c r="E125" s="222">
        <v>2</v>
      </c>
      <c r="F125" s="755">
        <v>42.2</v>
      </c>
      <c r="G125" s="223">
        <f t="shared" si="7"/>
        <v>84.4</v>
      </c>
      <c r="H125" s="222">
        <v>5</v>
      </c>
      <c r="I125" s="222" t="s">
        <v>621</v>
      </c>
      <c r="J125" s="223">
        <f t="shared" si="6"/>
        <v>16.880000000000003</v>
      </c>
    </row>
    <row r="126" spans="1:10" ht="13.5" x14ac:dyDescent="0.2">
      <c r="A126" s="504">
        <v>117</v>
      </c>
      <c r="B126" s="219" t="s">
        <v>789</v>
      </c>
      <c r="C126" s="220" t="s">
        <v>619</v>
      </c>
      <c r="D126" s="221" t="s">
        <v>620</v>
      </c>
      <c r="E126" s="222">
        <v>1</v>
      </c>
      <c r="F126" s="755">
        <v>21.9</v>
      </c>
      <c r="G126" s="223">
        <f t="shared" si="7"/>
        <v>21.9</v>
      </c>
      <c r="H126" s="222">
        <v>5</v>
      </c>
      <c r="I126" s="222" t="s">
        <v>621</v>
      </c>
      <c r="J126" s="223">
        <f t="shared" si="6"/>
        <v>4.38</v>
      </c>
    </row>
    <row r="127" spans="1:10" ht="13.5" x14ac:dyDescent="0.2">
      <c r="A127" s="504">
        <v>118</v>
      </c>
      <c r="B127" s="219" t="s">
        <v>790</v>
      </c>
      <c r="C127" s="220" t="s">
        <v>791</v>
      </c>
      <c r="D127" s="221" t="s">
        <v>620</v>
      </c>
      <c r="E127" s="222">
        <v>5</v>
      </c>
      <c r="F127" s="755">
        <v>45.56</v>
      </c>
      <c r="G127" s="223">
        <f t="shared" si="7"/>
        <v>227.8</v>
      </c>
      <c r="H127" s="222">
        <v>5</v>
      </c>
      <c r="I127" s="222" t="s">
        <v>621</v>
      </c>
      <c r="J127" s="223">
        <f t="shared" ref="J127:J158" si="8">G127/H127</f>
        <v>45.56</v>
      </c>
    </row>
    <row r="128" spans="1:10" ht="13.5" x14ac:dyDescent="0.2">
      <c r="A128" s="504">
        <v>119</v>
      </c>
      <c r="B128" s="219" t="s">
        <v>792</v>
      </c>
      <c r="C128" s="220" t="s">
        <v>791</v>
      </c>
      <c r="D128" s="221" t="s">
        <v>620</v>
      </c>
      <c r="E128" s="222">
        <v>5</v>
      </c>
      <c r="F128" s="755">
        <v>45.56</v>
      </c>
      <c r="G128" s="223">
        <f t="shared" si="7"/>
        <v>227.8</v>
      </c>
      <c r="H128" s="222">
        <v>5</v>
      </c>
      <c r="I128" s="222" t="s">
        <v>621</v>
      </c>
      <c r="J128" s="223">
        <f t="shared" si="8"/>
        <v>45.56</v>
      </c>
    </row>
    <row r="129" spans="1:10" ht="13.5" x14ac:dyDescent="0.2">
      <c r="A129" s="504">
        <v>120</v>
      </c>
      <c r="B129" s="219" t="s">
        <v>793</v>
      </c>
      <c r="C129" s="220" t="s">
        <v>794</v>
      </c>
      <c r="D129" s="221" t="s">
        <v>620</v>
      </c>
      <c r="E129" s="222">
        <v>1</v>
      </c>
      <c r="F129" s="755">
        <v>54.34</v>
      </c>
      <c r="G129" s="223">
        <f t="shared" si="7"/>
        <v>54.34</v>
      </c>
      <c r="H129" s="222">
        <v>5</v>
      </c>
      <c r="I129" s="222" t="s">
        <v>621</v>
      </c>
      <c r="J129" s="223">
        <f t="shared" si="8"/>
        <v>10.868</v>
      </c>
    </row>
    <row r="130" spans="1:10" ht="27" x14ac:dyDescent="0.2">
      <c r="A130" s="504">
        <v>121</v>
      </c>
      <c r="B130" s="219" t="s">
        <v>795</v>
      </c>
      <c r="C130" s="220" t="s">
        <v>796</v>
      </c>
      <c r="D130" s="221" t="s">
        <v>746</v>
      </c>
      <c r="E130" s="222">
        <v>1</v>
      </c>
      <c r="F130" s="755">
        <v>12000</v>
      </c>
      <c r="G130" s="223">
        <f t="shared" si="7"/>
        <v>12000</v>
      </c>
      <c r="H130" s="222">
        <v>10</v>
      </c>
      <c r="I130" s="224">
        <v>0.1</v>
      </c>
      <c r="J130" s="223">
        <f t="shared" si="8"/>
        <v>1200</v>
      </c>
    </row>
    <row r="131" spans="1:10" ht="13.5" x14ac:dyDescent="0.2">
      <c r="A131" s="504">
        <v>122</v>
      </c>
      <c r="B131" s="219" t="s">
        <v>797</v>
      </c>
      <c r="C131" s="220" t="s">
        <v>798</v>
      </c>
      <c r="D131" s="221" t="s">
        <v>746</v>
      </c>
      <c r="E131" s="222">
        <v>2</v>
      </c>
      <c r="F131" s="755">
        <v>43.17</v>
      </c>
      <c r="G131" s="223">
        <f t="shared" si="7"/>
        <v>86.34</v>
      </c>
      <c r="H131" s="222">
        <v>5</v>
      </c>
      <c r="I131" s="222" t="s">
        <v>621</v>
      </c>
      <c r="J131" s="223">
        <f t="shared" si="8"/>
        <v>17.268000000000001</v>
      </c>
    </row>
    <row r="132" spans="1:10" ht="13.5" x14ac:dyDescent="0.2">
      <c r="A132" s="504">
        <v>123</v>
      </c>
      <c r="B132" s="219" t="s">
        <v>799</v>
      </c>
      <c r="C132" s="220" t="s">
        <v>800</v>
      </c>
      <c r="D132" s="221" t="s">
        <v>620</v>
      </c>
      <c r="E132" s="222">
        <v>2</v>
      </c>
      <c r="F132" s="755">
        <v>197.21</v>
      </c>
      <c r="G132" s="223">
        <f t="shared" si="7"/>
        <v>394.42</v>
      </c>
      <c r="H132" s="222">
        <v>5</v>
      </c>
      <c r="I132" s="222" t="s">
        <v>621</v>
      </c>
      <c r="J132" s="223">
        <f t="shared" si="8"/>
        <v>78.884</v>
      </c>
    </row>
    <row r="133" spans="1:10" ht="13.5" x14ac:dyDescent="0.2">
      <c r="A133" s="504">
        <v>124</v>
      </c>
      <c r="B133" s="219" t="s">
        <v>801</v>
      </c>
      <c r="C133" s="220" t="s">
        <v>619</v>
      </c>
      <c r="D133" s="221" t="s">
        <v>620</v>
      </c>
      <c r="E133" s="222">
        <v>2</v>
      </c>
      <c r="F133" s="755">
        <v>16.8</v>
      </c>
      <c r="G133" s="223">
        <f t="shared" si="7"/>
        <v>33.6</v>
      </c>
      <c r="H133" s="222">
        <v>5</v>
      </c>
      <c r="I133" s="222" t="s">
        <v>621</v>
      </c>
      <c r="J133" s="223">
        <f t="shared" si="8"/>
        <v>6.7200000000000006</v>
      </c>
    </row>
    <row r="134" spans="1:10" ht="13.5" x14ac:dyDescent="0.2">
      <c r="A134" s="504">
        <v>125</v>
      </c>
      <c r="B134" s="219" t="s">
        <v>802</v>
      </c>
      <c r="C134" s="220" t="s">
        <v>803</v>
      </c>
      <c r="D134" s="221" t="s">
        <v>620</v>
      </c>
      <c r="E134" s="222">
        <v>6</v>
      </c>
      <c r="F134" s="755">
        <v>70.08</v>
      </c>
      <c r="G134" s="223">
        <f t="shared" si="7"/>
        <v>420.48</v>
      </c>
      <c r="H134" s="222">
        <v>5</v>
      </c>
      <c r="I134" s="222" t="s">
        <v>621</v>
      </c>
      <c r="J134" s="223">
        <f t="shared" si="8"/>
        <v>84.096000000000004</v>
      </c>
    </row>
    <row r="135" spans="1:10" ht="13.5" x14ac:dyDescent="0.2">
      <c r="A135" s="504">
        <v>126</v>
      </c>
      <c r="B135" s="219" t="s">
        <v>804</v>
      </c>
      <c r="C135" s="220" t="s">
        <v>619</v>
      </c>
      <c r="D135" s="221" t="s">
        <v>620</v>
      </c>
      <c r="E135" s="222">
        <v>4</v>
      </c>
      <c r="F135" s="755">
        <v>32.9</v>
      </c>
      <c r="G135" s="223">
        <f t="shared" si="7"/>
        <v>131.6</v>
      </c>
      <c r="H135" s="222">
        <v>5</v>
      </c>
      <c r="I135" s="222" t="s">
        <v>621</v>
      </c>
      <c r="J135" s="223">
        <f t="shared" si="8"/>
        <v>26.32</v>
      </c>
    </row>
    <row r="136" spans="1:10" ht="13.5" x14ac:dyDescent="0.2">
      <c r="A136" s="504">
        <v>127</v>
      </c>
      <c r="B136" s="219" t="s">
        <v>805</v>
      </c>
      <c r="C136" s="220" t="s">
        <v>619</v>
      </c>
      <c r="D136" s="221" t="s">
        <v>620</v>
      </c>
      <c r="E136" s="222">
        <v>2</v>
      </c>
      <c r="F136" s="755">
        <v>29.99</v>
      </c>
      <c r="G136" s="223">
        <f t="shared" si="7"/>
        <v>59.98</v>
      </c>
      <c r="H136" s="222">
        <v>5</v>
      </c>
      <c r="I136" s="222" t="s">
        <v>621</v>
      </c>
      <c r="J136" s="223">
        <f t="shared" si="8"/>
        <v>11.995999999999999</v>
      </c>
    </row>
    <row r="137" spans="1:10" ht="13.5" x14ac:dyDescent="0.2">
      <c r="A137" s="504">
        <v>128</v>
      </c>
      <c r="B137" s="219" t="s">
        <v>806</v>
      </c>
      <c r="C137" s="220" t="s">
        <v>678</v>
      </c>
      <c r="D137" s="221" t="s">
        <v>746</v>
      </c>
      <c r="E137" s="222">
        <v>2</v>
      </c>
      <c r="F137" s="755">
        <v>47.66</v>
      </c>
      <c r="G137" s="223">
        <f t="shared" si="7"/>
        <v>95.32</v>
      </c>
      <c r="H137" s="222">
        <v>5</v>
      </c>
      <c r="I137" s="222" t="s">
        <v>621</v>
      </c>
      <c r="J137" s="223">
        <f t="shared" si="8"/>
        <v>19.064</v>
      </c>
    </row>
    <row r="138" spans="1:10" ht="13.5" x14ac:dyDescent="0.2">
      <c r="A138" s="504">
        <v>129</v>
      </c>
      <c r="B138" s="219" t="s">
        <v>807</v>
      </c>
      <c r="C138" s="220" t="s">
        <v>619</v>
      </c>
      <c r="D138" s="221" t="s">
        <v>620</v>
      </c>
      <c r="E138" s="222">
        <v>3</v>
      </c>
      <c r="F138" s="755">
        <v>52.62</v>
      </c>
      <c r="G138" s="223">
        <f t="shared" ref="G138:G169" si="9">E138*F138</f>
        <v>157.85999999999999</v>
      </c>
      <c r="H138" s="222">
        <v>5</v>
      </c>
      <c r="I138" s="222" t="s">
        <v>621</v>
      </c>
      <c r="J138" s="223">
        <f t="shared" si="8"/>
        <v>31.571999999999996</v>
      </c>
    </row>
    <row r="139" spans="1:10" ht="13.5" x14ac:dyDescent="0.2">
      <c r="A139" s="504">
        <v>130</v>
      </c>
      <c r="B139" s="219" t="s">
        <v>808</v>
      </c>
      <c r="C139" s="220" t="s">
        <v>619</v>
      </c>
      <c r="D139" s="221" t="s">
        <v>620</v>
      </c>
      <c r="E139" s="222">
        <v>2</v>
      </c>
      <c r="F139" s="755">
        <v>29.44</v>
      </c>
      <c r="G139" s="223">
        <f t="shared" si="9"/>
        <v>58.88</v>
      </c>
      <c r="H139" s="222">
        <v>5</v>
      </c>
      <c r="I139" s="222" t="s">
        <v>621</v>
      </c>
      <c r="J139" s="223">
        <f t="shared" si="8"/>
        <v>11.776</v>
      </c>
    </row>
    <row r="140" spans="1:10" ht="13.5" x14ac:dyDescent="0.2">
      <c r="A140" s="504">
        <v>131</v>
      </c>
      <c r="B140" s="219" t="s">
        <v>809</v>
      </c>
      <c r="C140" s="220" t="s">
        <v>619</v>
      </c>
      <c r="D140" s="221" t="s">
        <v>620</v>
      </c>
      <c r="E140" s="222">
        <v>2</v>
      </c>
      <c r="F140" s="755">
        <v>28.41</v>
      </c>
      <c r="G140" s="223">
        <f t="shared" si="9"/>
        <v>56.82</v>
      </c>
      <c r="H140" s="222">
        <v>5</v>
      </c>
      <c r="I140" s="222" t="s">
        <v>621</v>
      </c>
      <c r="J140" s="223">
        <f t="shared" si="8"/>
        <v>11.364000000000001</v>
      </c>
    </row>
    <row r="141" spans="1:10" ht="13.5" x14ac:dyDescent="0.2">
      <c r="A141" s="504">
        <v>132</v>
      </c>
      <c r="B141" s="219" t="s">
        <v>810</v>
      </c>
      <c r="C141" s="220" t="s">
        <v>619</v>
      </c>
      <c r="D141" s="221" t="s">
        <v>620</v>
      </c>
      <c r="E141" s="222">
        <v>1</v>
      </c>
      <c r="F141" s="755">
        <v>20.079999999999998</v>
      </c>
      <c r="G141" s="223">
        <f t="shared" si="9"/>
        <v>20.079999999999998</v>
      </c>
      <c r="H141" s="222">
        <v>5</v>
      </c>
      <c r="I141" s="222" t="s">
        <v>621</v>
      </c>
      <c r="J141" s="223">
        <f t="shared" si="8"/>
        <v>4.016</v>
      </c>
    </row>
    <row r="142" spans="1:10" ht="13.5" x14ac:dyDescent="0.2">
      <c r="A142" s="504">
        <v>133</v>
      </c>
      <c r="B142" s="219" t="s">
        <v>811</v>
      </c>
      <c r="C142" s="220" t="s">
        <v>619</v>
      </c>
      <c r="D142" s="221" t="s">
        <v>620</v>
      </c>
      <c r="E142" s="222">
        <v>2</v>
      </c>
      <c r="F142" s="755">
        <v>74.02</v>
      </c>
      <c r="G142" s="223">
        <f t="shared" si="9"/>
        <v>148.04</v>
      </c>
      <c r="H142" s="222">
        <v>5</v>
      </c>
      <c r="I142" s="222" t="s">
        <v>621</v>
      </c>
      <c r="J142" s="223">
        <f t="shared" si="8"/>
        <v>29.607999999999997</v>
      </c>
    </row>
    <row r="143" spans="1:10" ht="13.5" x14ac:dyDescent="0.2">
      <c r="A143" s="504">
        <v>134</v>
      </c>
      <c r="B143" s="219" t="s">
        <v>812</v>
      </c>
      <c r="C143" s="220" t="s">
        <v>4471</v>
      </c>
      <c r="D143" s="221" t="s">
        <v>620</v>
      </c>
      <c r="E143" s="222">
        <v>4</v>
      </c>
      <c r="F143" s="755">
        <v>6.84</v>
      </c>
      <c r="G143" s="223">
        <f t="shared" si="9"/>
        <v>27.36</v>
      </c>
      <c r="H143" s="222">
        <v>5</v>
      </c>
      <c r="I143" s="222" t="s">
        <v>621</v>
      </c>
      <c r="J143" s="223">
        <f t="shared" si="8"/>
        <v>5.4719999999999995</v>
      </c>
    </row>
    <row r="144" spans="1:10" ht="13.5" x14ac:dyDescent="0.2">
      <c r="A144" s="504">
        <v>135</v>
      </c>
      <c r="B144" s="219" t="s">
        <v>813</v>
      </c>
      <c r="C144" s="220" t="s">
        <v>619</v>
      </c>
      <c r="D144" s="221" t="s">
        <v>620</v>
      </c>
      <c r="E144" s="222">
        <v>2</v>
      </c>
      <c r="F144" s="755">
        <v>190.29</v>
      </c>
      <c r="G144" s="223">
        <f t="shared" si="9"/>
        <v>380.58</v>
      </c>
      <c r="H144" s="222">
        <v>5</v>
      </c>
      <c r="I144" s="222" t="s">
        <v>621</v>
      </c>
      <c r="J144" s="223">
        <f t="shared" si="8"/>
        <v>76.116</v>
      </c>
    </row>
    <row r="145" spans="1:10" ht="13.5" x14ac:dyDescent="0.2">
      <c r="A145" s="504">
        <v>136</v>
      </c>
      <c r="B145" s="219" t="s">
        <v>814</v>
      </c>
      <c r="C145" s="220" t="s">
        <v>650</v>
      </c>
      <c r="D145" s="221" t="s">
        <v>620</v>
      </c>
      <c r="E145" s="222">
        <v>4</v>
      </c>
      <c r="F145" s="755">
        <v>29.41</v>
      </c>
      <c r="G145" s="223">
        <f t="shared" si="9"/>
        <v>117.64</v>
      </c>
      <c r="H145" s="222">
        <v>5</v>
      </c>
      <c r="I145" s="222" t="s">
        <v>621</v>
      </c>
      <c r="J145" s="223">
        <f t="shared" si="8"/>
        <v>23.527999999999999</v>
      </c>
    </row>
    <row r="146" spans="1:10" ht="40.5" x14ac:dyDescent="0.2">
      <c r="A146" s="504">
        <v>137</v>
      </c>
      <c r="B146" s="219" t="s">
        <v>815</v>
      </c>
      <c r="C146" s="220" t="s">
        <v>816</v>
      </c>
      <c r="D146" s="221" t="s">
        <v>620</v>
      </c>
      <c r="E146" s="222">
        <v>1</v>
      </c>
      <c r="F146" s="755">
        <v>181.38</v>
      </c>
      <c r="G146" s="223">
        <f t="shared" si="9"/>
        <v>181.38</v>
      </c>
      <c r="H146" s="222">
        <v>5</v>
      </c>
      <c r="I146" s="222" t="s">
        <v>621</v>
      </c>
      <c r="J146" s="223">
        <f t="shared" si="8"/>
        <v>36.275999999999996</v>
      </c>
    </row>
    <row r="147" spans="1:10" ht="27" x14ac:dyDescent="0.2">
      <c r="A147" s="504">
        <v>138</v>
      </c>
      <c r="B147" s="219" t="s">
        <v>817</v>
      </c>
      <c r="C147" s="220" t="s">
        <v>818</v>
      </c>
      <c r="D147" s="221" t="s">
        <v>620</v>
      </c>
      <c r="E147" s="222">
        <v>4</v>
      </c>
      <c r="F147" s="755">
        <v>37.369999999999997</v>
      </c>
      <c r="G147" s="223">
        <f t="shared" si="9"/>
        <v>149.47999999999999</v>
      </c>
      <c r="H147" s="222">
        <v>5</v>
      </c>
      <c r="I147" s="222" t="s">
        <v>621</v>
      </c>
      <c r="J147" s="223">
        <f t="shared" si="8"/>
        <v>29.895999999999997</v>
      </c>
    </row>
    <row r="148" spans="1:10" ht="27" x14ac:dyDescent="0.2">
      <c r="A148" s="504">
        <v>139</v>
      </c>
      <c r="B148" s="219" t="s">
        <v>819</v>
      </c>
      <c r="C148" s="220" t="s">
        <v>820</v>
      </c>
      <c r="D148" s="221" t="s">
        <v>620</v>
      </c>
      <c r="E148" s="222">
        <v>4</v>
      </c>
      <c r="F148" s="755">
        <v>32.31</v>
      </c>
      <c r="G148" s="223">
        <f t="shared" si="9"/>
        <v>129.24</v>
      </c>
      <c r="H148" s="222">
        <v>5</v>
      </c>
      <c r="I148" s="222" t="s">
        <v>621</v>
      </c>
      <c r="J148" s="223">
        <f t="shared" si="8"/>
        <v>25.848000000000003</v>
      </c>
    </row>
    <row r="149" spans="1:10" ht="27" x14ac:dyDescent="0.2">
      <c r="A149" s="504">
        <v>140</v>
      </c>
      <c r="B149" s="219" t="s">
        <v>821</v>
      </c>
      <c r="C149" s="220" t="s">
        <v>619</v>
      </c>
      <c r="D149" s="221" t="s">
        <v>620</v>
      </c>
      <c r="E149" s="222">
        <v>20</v>
      </c>
      <c r="F149" s="755">
        <v>507.31</v>
      </c>
      <c r="G149" s="223">
        <f t="shared" si="9"/>
        <v>10146.200000000001</v>
      </c>
      <c r="H149" s="222">
        <v>5</v>
      </c>
      <c r="I149" s="222" t="s">
        <v>621</v>
      </c>
      <c r="J149" s="223">
        <f t="shared" si="8"/>
        <v>2029.2400000000002</v>
      </c>
    </row>
    <row r="150" spans="1:10" ht="13.5" x14ac:dyDescent="0.2">
      <c r="A150" s="504">
        <v>141</v>
      </c>
      <c r="B150" s="219" t="s">
        <v>822</v>
      </c>
      <c r="C150" s="220" t="s">
        <v>619</v>
      </c>
      <c r="D150" s="221" t="s">
        <v>620</v>
      </c>
      <c r="E150" s="222">
        <v>3</v>
      </c>
      <c r="F150" s="755">
        <v>36.9</v>
      </c>
      <c r="G150" s="223">
        <f t="shared" si="9"/>
        <v>110.69999999999999</v>
      </c>
      <c r="H150" s="222">
        <v>5</v>
      </c>
      <c r="I150" s="222" t="s">
        <v>621</v>
      </c>
      <c r="J150" s="223">
        <f t="shared" si="8"/>
        <v>22.139999999999997</v>
      </c>
    </row>
    <row r="151" spans="1:10" ht="13.5" x14ac:dyDescent="0.2">
      <c r="A151" s="504">
        <v>142</v>
      </c>
      <c r="B151" s="219" t="s">
        <v>823</v>
      </c>
      <c r="C151" s="220" t="s">
        <v>619</v>
      </c>
      <c r="D151" s="221" t="s">
        <v>620</v>
      </c>
      <c r="E151" s="222">
        <v>2</v>
      </c>
      <c r="F151" s="755">
        <v>38.700000000000003</v>
      </c>
      <c r="G151" s="223">
        <f t="shared" si="9"/>
        <v>77.400000000000006</v>
      </c>
      <c r="H151" s="222">
        <v>5</v>
      </c>
      <c r="I151" s="222" t="s">
        <v>621</v>
      </c>
      <c r="J151" s="223">
        <f t="shared" si="8"/>
        <v>15.48</v>
      </c>
    </row>
    <row r="152" spans="1:10" ht="13.5" x14ac:dyDescent="0.2">
      <c r="A152" s="504">
        <v>143</v>
      </c>
      <c r="B152" s="219" t="s">
        <v>824</v>
      </c>
      <c r="C152" s="220" t="s">
        <v>825</v>
      </c>
      <c r="D152" s="221" t="s">
        <v>620</v>
      </c>
      <c r="E152" s="222">
        <v>6</v>
      </c>
      <c r="F152" s="755">
        <v>57.54</v>
      </c>
      <c r="G152" s="223">
        <f t="shared" si="9"/>
        <v>345.24</v>
      </c>
      <c r="H152" s="222">
        <v>5</v>
      </c>
      <c r="I152" s="222" t="s">
        <v>621</v>
      </c>
      <c r="J152" s="223">
        <f t="shared" si="8"/>
        <v>69.048000000000002</v>
      </c>
    </row>
    <row r="153" spans="1:10" ht="13.5" x14ac:dyDescent="0.2">
      <c r="A153" s="504">
        <v>144</v>
      </c>
      <c r="B153" s="219" t="s">
        <v>826</v>
      </c>
      <c r="C153" s="220" t="s">
        <v>4472</v>
      </c>
      <c r="D153" s="221" t="s">
        <v>620</v>
      </c>
      <c r="E153" s="222">
        <v>4</v>
      </c>
      <c r="F153" s="755">
        <v>41.99</v>
      </c>
      <c r="G153" s="223">
        <f t="shared" si="9"/>
        <v>167.96</v>
      </c>
      <c r="H153" s="222">
        <v>5</v>
      </c>
      <c r="I153" s="222" t="s">
        <v>621</v>
      </c>
      <c r="J153" s="223">
        <f t="shared" si="8"/>
        <v>33.591999999999999</v>
      </c>
    </row>
    <row r="154" spans="1:10" ht="13.5" x14ac:dyDescent="0.2">
      <c r="A154" s="504">
        <v>145</v>
      </c>
      <c r="B154" s="219" t="s">
        <v>827</v>
      </c>
      <c r="C154" s="220" t="s">
        <v>828</v>
      </c>
      <c r="D154" s="221" t="s">
        <v>620</v>
      </c>
      <c r="E154" s="222">
        <v>10</v>
      </c>
      <c r="F154" s="755">
        <v>55.2</v>
      </c>
      <c r="G154" s="223">
        <f t="shared" si="9"/>
        <v>552</v>
      </c>
      <c r="H154" s="222">
        <v>5</v>
      </c>
      <c r="I154" s="222" t="s">
        <v>621</v>
      </c>
      <c r="J154" s="223">
        <f t="shared" si="8"/>
        <v>110.4</v>
      </c>
    </row>
    <row r="155" spans="1:10" ht="13.5" x14ac:dyDescent="0.2">
      <c r="A155" s="504">
        <v>146</v>
      </c>
      <c r="B155" s="219" t="s">
        <v>829</v>
      </c>
      <c r="C155" s="220" t="s">
        <v>830</v>
      </c>
      <c r="D155" s="221" t="s">
        <v>620</v>
      </c>
      <c r="E155" s="222">
        <v>10</v>
      </c>
      <c r="F155" s="755">
        <v>22.47</v>
      </c>
      <c r="G155" s="223">
        <f t="shared" si="9"/>
        <v>224.7</v>
      </c>
      <c r="H155" s="222">
        <v>5</v>
      </c>
      <c r="I155" s="222" t="s">
        <v>621</v>
      </c>
      <c r="J155" s="223">
        <f t="shared" si="8"/>
        <v>44.94</v>
      </c>
    </row>
    <row r="156" spans="1:10" ht="13.5" x14ac:dyDescent="0.2">
      <c r="A156" s="504">
        <v>147</v>
      </c>
      <c r="B156" s="219" t="s">
        <v>831</v>
      </c>
      <c r="C156" s="220" t="s">
        <v>832</v>
      </c>
      <c r="D156" s="221" t="s">
        <v>620</v>
      </c>
      <c r="E156" s="222">
        <v>1</v>
      </c>
      <c r="F156" s="755">
        <v>990.23</v>
      </c>
      <c r="G156" s="223">
        <f t="shared" si="9"/>
        <v>990.23</v>
      </c>
      <c r="H156" s="222">
        <v>5</v>
      </c>
      <c r="I156" s="222" t="s">
        <v>621</v>
      </c>
      <c r="J156" s="223">
        <f t="shared" si="8"/>
        <v>198.04599999999999</v>
      </c>
    </row>
    <row r="157" spans="1:10" ht="13.5" x14ac:dyDescent="0.2">
      <c r="A157" s="504">
        <v>148</v>
      </c>
      <c r="B157" s="219" t="s">
        <v>833</v>
      </c>
      <c r="C157" s="220" t="s">
        <v>834</v>
      </c>
      <c r="D157" s="221" t="s">
        <v>620</v>
      </c>
      <c r="E157" s="222">
        <v>6</v>
      </c>
      <c r="F157" s="755">
        <v>46.01</v>
      </c>
      <c r="G157" s="223">
        <f t="shared" si="9"/>
        <v>276.06</v>
      </c>
      <c r="H157" s="222">
        <v>5</v>
      </c>
      <c r="I157" s="222" t="s">
        <v>621</v>
      </c>
      <c r="J157" s="223">
        <f t="shared" si="8"/>
        <v>55.212000000000003</v>
      </c>
    </row>
    <row r="158" spans="1:10" ht="13.5" x14ac:dyDescent="0.2">
      <c r="A158" s="504">
        <v>149</v>
      </c>
      <c r="B158" s="219" t="s">
        <v>835</v>
      </c>
      <c r="C158" s="220" t="s">
        <v>619</v>
      </c>
      <c r="D158" s="221" t="s">
        <v>620</v>
      </c>
      <c r="E158" s="222">
        <v>2</v>
      </c>
      <c r="F158" s="755">
        <v>13.49</v>
      </c>
      <c r="G158" s="223">
        <f t="shared" si="9"/>
        <v>26.98</v>
      </c>
      <c r="H158" s="222">
        <v>5</v>
      </c>
      <c r="I158" s="222" t="s">
        <v>621</v>
      </c>
      <c r="J158" s="223">
        <f t="shared" si="8"/>
        <v>5.3959999999999999</v>
      </c>
    </row>
    <row r="159" spans="1:10" ht="13.5" x14ac:dyDescent="0.2">
      <c r="A159" s="504">
        <v>150</v>
      </c>
      <c r="B159" s="219" t="s">
        <v>836</v>
      </c>
      <c r="C159" s="220" t="s">
        <v>4473</v>
      </c>
      <c r="D159" s="221" t="s">
        <v>620</v>
      </c>
      <c r="E159" s="222">
        <v>3</v>
      </c>
      <c r="F159" s="755">
        <v>31.27</v>
      </c>
      <c r="G159" s="223">
        <f t="shared" si="9"/>
        <v>93.81</v>
      </c>
      <c r="H159" s="222">
        <v>5</v>
      </c>
      <c r="I159" s="222" t="s">
        <v>621</v>
      </c>
      <c r="J159" s="223">
        <f t="shared" ref="J159:J172" si="10">G159/H159</f>
        <v>18.762</v>
      </c>
    </row>
    <row r="160" spans="1:10" ht="13.5" x14ac:dyDescent="0.2">
      <c r="A160" s="504">
        <v>151</v>
      </c>
      <c r="B160" s="219" t="s">
        <v>837</v>
      </c>
      <c r="C160" s="220" t="s">
        <v>619</v>
      </c>
      <c r="D160" s="221" t="s">
        <v>620</v>
      </c>
      <c r="E160" s="222">
        <v>6</v>
      </c>
      <c r="F160" s="755">
        <v>68.900000000000006</v>
      </c>
      <c r="G160" s="223">
        <f t="shared" si="9"/>
        <v>413.40000000000003</v>
      </c>
      <c r="H160" s="222">
        <v>5</v>
      </c>
      <c r="I160" s="222" t="s">
        <v>621</v>
      </c>
      <c r="J160" s="223">
        <f t="shared" si="10"/>
        <v>82.68</v>
      </c>
    </row>
    <row r="161" spans="1:10" ht="13.5" x14ac:dyDescent="0.2">
      <c r="A161" s="504">
        <v>152</v>
      </c>
      <c r="B161" s="219" t="s">
        <v>838</v>
      </c>
      <c r="C161" s="220" t="s">
        <v>839</v>
      </c>
      <c r="D161" s="221" t="s">
        <v>646</v>
      </c>
      <c r="E161" s="222">
        <v>1</v>
      </c>
      <c r="F161" s="755">
        <v>83.11</v>
      </c>
      <c r="G161" s="223">
        <f t="shared" si="9"/>
        <v>83.11</v>
      </c>
      <c r="H161" s="222">
        <v>5</v>
      </c>
      <c r="I161" s="222" t="s">
        <v>621</v>
      </c>
      <c r="J161" s="223">
        <f t="shared" si="10"/>
        <v>16.622</v>
      </c>
    </row>
    <row r="162" spans="1:10" ht="13.5" x14ac:dyDescent="0.2">
      <c r="A162" s="504">
        <v>153</v>
      </c>
      <c r="B162" s="219" t="s">
        <v>840</v>
      </c>
      <c r="C162" s="220" t="s">
        <v>619</v>
      </c>
      <c r="D162" s="221" t="s">
        <v>646</v>
      </c>
      <c r="E162" s="222">
        <v>3</v>
      </c>
      <c r="F162" s="755">
        <v>26.9</v>
      </c>
      <c r="G162" s="223">
        <f t="shared" si="9"/>
        <v>80.699999999999989</v>
      </c>
      <c r="H162" s="222">
        <v>5</v>
      </c>
      <c r="I162" s="222" t="s">
        <v>621</v>
      </c>
      <c r="J162" s="223">
        <f t="shared" si="10"/>
        <v>16.139999999999997</v>
      </c>
    </row>
    <row r="163" spans="1:10" ht="13.5" x14ac:dyDescent="0.2">
      <c r="A163" s="504">
        <v>154</v>
      </c>
      <c r="B163" s="219" t="s">
        <v>841</v>
      </c>
      <c r="C163" s="220" t="s">
        <v>619</v>
      </c>
      <c r="D163" s="221" t="s">
        <v>646</v>
      </c>
      <c r="E163" s="222">
        <v>3</v>
      </c>
      <c r="F163" s="755">
        <v>22.49</v>
      </c>
      <c r="G163" s="223">
        <f t="shared" si="9"/>
        <v>67.47</v>
      </c>
      <c r="H163" s="222">
        <v>5</v>
      </c>
      <c r="I163" s="222" t="s">
        <v>621</v>
      </c>
      <c r="J163" s="223">
        <f t="shared" si="10"/>
        <v>13.494</v>
      </c>
    </row>
    <row r="164" spans="1:10" ht="13.5" x14ac:dyDescent="0.2">
      <c r="A164" s="504">
        <v>155</v>
      </c>
      <c r="B164" s="219" t="s">
        <v>842</v>
      </c>
      <c r="C164" s="220" t="s">
        <v>619</v>
      </c>
      <c r="D164" s="221" t="s">
        <v>646</v>
      </c>
      <c r="E164" s="222">
        <v>2</v>
      </c>
      <c r="F164" s="755">
        <v>149.06</v>
      </c>
      <c r="G164" s="223">
        <f t="shared" si="9"/>
        <v>298.12</v>
      </c>
      <c r="H164" s="222">
        <v>5</v>
      </c>
      <c r="I164" s="222" t="s">
        <v>621</v>
      </c>
      <c r="J164" s="223">
        <f t="shared" si="10"/>
        <v>59.624000000000002</v>
      </c>
    </row>
    <row r="165" spans="1:10" ht="13.5" x14ac:dyDescent="0.2">
      <c r="A165" s="504">
        <v>156</v>
      </c>
      <c r="B165" s="219" t="s">
        <v>843</v>
      </c>
      <c r="C165" s="220" t="s">
        <v>4474</v>
      </c>
      <c r="D165" s="221" t="s">
        <v>646</v>
      </c>
      <c r="E165" s="222">
        <v>5</v>
      </c>
      <c r="F165" s="755">
        <v>141.4</v>
      </c>
      <c r="G165" s="223">
        <f t="shared" si="9"/>
        <v>707</v>
      </c>
      <c r="H165" s="222">
        <v>5</v>
      </c>
      <c r="I165" s="222" t="s">
        <v>621</v>
      </c>
      <c r="J165" s="223">
        <f t="shared" si="10"/>
        <v>141.4</v>
      </c>
    </row>
    <row r="166" spans="1:10" ht="13.5" x14ac:dyDescent="0.2">
      <c r="A166" s="504">
        <v>157</v>
      </c>
      <c r="B166" s="219" t="s">
        <v>844</v>
      </c>
      <c r="C166" s="220" t="s">
        <v>619</v>
      </c>
      <c r="D166" s="221" t="s">
        <v>646</v>
      </c>
      <c r="E166" s="222">
        <v>12</v>
      </c>
      <c r="F166" s="755">
        <v>14.9</v>
      </c>
      <c r="G166" s="223">
        <f t="shared" si="9"/>
        <v>178.8</v>
      </c>
      <c r="H166" s="222">
        <v>5</v>
      </c>
      <c r="I166" s="222" t="s">
        <v>621</v>
      </c>
      <c r="J166" s="223">
        <f t="shared" si="10"/>
        <v>35.760000000000005</v>
      </c>
    </row>
    <row r="167" spans="1:10" ht="13.5" x14ac:dyDescent="0.2">
      <c r="A167" s="504">
        <v>158</v>
      </c>
      <c r="B167" s="219" t="s">
        <v>845</v>
      </c>
      <c r="C167" s="220" t="s">
        <v>630</v>
      </c>
      <c r="D167" s="221" t="s">
        <v>646</v>
      </c>
      <c r="E167" s="222">
        <v>4</v>
      </c>
      <c r="F167" s="755">
        <v>26.26</v>
      </c>
      <c r="G167" s="223">
        <f t="shared" si="9"/>
        <v>105.04</v>
      </c>
      <c r="H167" s="222">
        <v>5</v>
      </c>
      <c r="I167" s="222" t="s">
        <v>621</v>
      </c>
      <c r="J167" s="223">
        <f t="shared" si="10"/>
        <v>21.008000000000003</v>
      </c>
    </row>
    <row r="168" spans="1:10" ht="13.5" x14ac:dyDescent="0.2">
      <c r="A168" s="504">
        <v>159</v>
      </c>
      <c r="B168" s="219" t="s">
        <v>846</v>
      </c>
      <c r="C168" s="220" t="s">
        <v>4475</v>
      </c>
      <c r="D168" s="221" t="s">
        <v>646</v>
      </c>
      <c r="E168" s="222">
        <v>4</v>
      </c>
      <c r="F168" s="755">
        <v>32.83</v>
      </c>
      <c r="G168" s="223">
        <f t="shared" si="9"/>
        <v>131.32</v>
      </c>
      <c r="H168" s="222">
        <v>5</v>
      </c>
      <c r="I168" s="222" t="s">
        <v>621</v>
      </c>
      <c r="J168" s="223">
        <f t="shared" si="10"/>
        <v>26.263999999999999</v>
      </c>
    </row>
    <row r="169" spans="1:10" ht="13.5" x14ac:dyDescent="0.2">
      <c r="A169" s="504">
        <v>160</v>
      </c>
      <c r="B169" s="219" t="s">
        <v>847</v>
      </c>
      <c r="C169" s="220" t="s">
        <v>619</v>
      </c>
      <c r="D169" s="221" t="s">
        <v>646</v>
      </c>
      <c r="E169" s="222">
        <v>2</v>
      </c>
      <c r="F169" s="755">
        <v>33.24</v>
      </c>
      <c r="G169" s="223">
        <f t="shared" si="9"/>
        <v>66.48</v>
      </c>
      <c r="H169" s="222">
        <v>5</v>
      </c>
      <c r="I169" s="222" t="s">
        <v>621</v>
      </c>
      <c r="J169" s="223">
        <f t="shared" si="10"/>
        <v>13.296000000000001</v>
      </c>
    </row>
    <row r="170" spans="1:10" ht="13.5" x14ac:dyDescent="0.2">
      <c r="A170" s="504">
        <v>161</v>
      </c>
      <c r="B170" s="219" t="s">
        <v>848</v>
      </c>
      <c r="C170" s="220" t="s">
        <v>849</v>
      </c>
      <c r="D170" s="221" t="s">
        <v>646</v>
      </c>
      <c r="E170" s="222">
        <v>1</v>
      </c>
      <c r="F170" s="755">
        <v>6.84</v>
      </c>
      <c r="G170" s="223">
        <f>E170*F170</f>
        <v>6.84</v>
      </c>
      <c r="H170" s="222">
        <v>5</v>
      </c>
      <c r="I170" s="222" t="s">
        <v>621</v>
      </c>
      <c r="J170" s="223">
        <f t="shared" si="10"/>
        <v>1.3679999999999999</v>
      </c>
    </row>
    <row r="171" spans="1:10" ht="13.5" x14ac:dyDescent="0.2">
      <c r="A171" s="504">
        <v>162</v>
      </c>
      <c r="B171" s="219" t="s">
        <v>850</v>
      </c>
      <c r="C171" s="220" t="s">
        <v>4476</v>
      </c>
      <c r="D171" s="221" t="s">
        <v>646</v>
      </c>
      <c r="E171" s="222">
        <v>1</v>
      </c>
      <c r="F171" s="755">
        <v>12.04</v>
      </c>
      <c r="G171" s="223">
        <f>E171*F171</f>
        <v>12.04</v>
      </c>
      <c r="H171" s="222">
        <v>5</v>
      </c>
      <c r="I171" s="222" t="s">
        <v>621</v>
      </c>
      <c r="J171" s="223">
        <f t="shared" si="10"/>
        <v>2.4079999999999999</v>
      </c>
    </row>
    <row r="172" spans="1:10" ht="13.5" x14ac:dyDescent="0.2">
      <c r="A172" s="504">
        <v>163</v>
      </c>
      <c r="B172" s="219" t="s">
        <v>851</v>
      </c>
      <c r="C172" s="220" t="s">
        <v>619</v>
      </c>
      <c r="D172" s="221" t="s">
        <v>646</v>
      </c>
      <c r="E172" s="222">
        <v>4</v>
      </c>
      <c r="F172" s="755">
        <v>72.989999999999995</v>
      </c>
      <c r="G172" s="223">
        <f>E172*F172</f>
        <v>291.95999999999998</v>
      </c>
      <c r="H172" s="222">
        <v>5</v>
      </c>
      <c r="I172" s="222" t="s">
        <v>621</v>
      </c>
      <c r="J172" s="223">
        <f t="shared" si="10"/>
        <v>58.391999999999996</v>
      </c>
    </row>
    <row r="173" spans="1:10" ht="14.25" customHeight="1" x14ac:dyDescent="0.2">
      <c r="A173" s="1437" t="s">
        <v>852</v>
      </c>
      <c r="B173" s="1437"/>
      <c r="C173" s="1437"/>
      <c r="D173" s="1437"/>
      <c r="E173" s="1437"/>
      <c r="F173" s="1437"/>
      <c r="G173" s="226">
        <f>SUM(G10:G172)</f>
        <v>101174.20999999999</v>
      </c>
      <c r="H173" s="225" t="s">
        <v>853</v>
      </c>
      <c r="I173" s="225" t="s">
        <v>853</v>
      </c>
      <c r="J173" s="226">
        <f>SUM(J10:J172)</f>
        <v>19530.041999999987</v>
      </c>
    </row>
    <row r="174" spans="1:10" ht="14.25" customHeight="1" x14ac:dyDescent="0.2">
      <c r="A174" s="1425" t="s">
        <v>854</v>
      </c>
      <c r="B174" s="1425"/>
      <c r="C174" s="1425"/>
      <c r="D174" s="1425"/>
      <c r="E174" s="1425"/>
      <c r="F174" s="1425"/>
      <c r="G174" s="1425"/>
      <c r="H174" s="1425"/>
      <c r="I174" s="1425"/>
      <c r="J174" s="227">
        <f>SUM(Dados!D11:D26)</f>
        <v>31</v>
      </c>
    </row>
    <row r="175" spans="1:10" ht="14.25" customHeight="1" x14ac:dyDescent="0.2">
      <c r="A175" s="1425" t="s">
        <v>855</v>
      </c>
      <c r="B175" s="1425"/>
      <c r="C175" s="1425"/>
      <c r="D175" s="1425"/>
      <c r="E175" s="1425"/>
      <c r="F175" s="1425"/>
      <c r="G175" s="1425"/>
      <c r="H175" s="1425"/>
      <c r="I175" s="1425"/>
      <c r="J175" s="226">
        <f>J173/J174</f>
        <v>630.00135483870929</v>
      </c>
    </row>
    <row r="176" spans="1:10" ht="14.25" customHeight="1" x14ac:dyDescent="0.2">
      <c r="A176" s="1425" t="s">
        <v>856</v>
      </c>
      <c r="B176" s="1425"/>
      <c r="C176" s="1425"/>
      <c r="D176" s="1425"/>
      <c r="E176" s="1425"/>
      <c r="F176" s="1425"/>
      <c r="G176" s="1425"/>
      <c r="H176" s="1425"/>
      <c r="I176" s="1425"/>
      <c r="J176" s="226">
        <f>J175/12</f>
        <v>52.500112903225777</v>
      </c>
    </row>
  </sheetData>
  <sheetProtection sheet="1" objects="1" scenarios="1"/>
  <protectedRanges>
    <protectedRange sqref="F10:F172" name="Intervalo1"/>
  </protectedRanges>
  <mergeCells count="15">
    <mergeCell ref="H7:J7"/>
    <mergeCell ref="H8:J8"/>
    <mergeCell ref="F7:F9"/>
    <mergeCell ref="G7:G9"/>
    <mergeCell ref="A173:F173"/>
    <mergeCell ref="A174:I174"/>
    <mergeCell ref="A175:I175"/>
    <mergeCell ref="A176:I176"/>
    <mergeCell ref="A5:J5"/>
    <mergeCell ref="A6:J6"/>
    <mergeCell ref="A7:A9"/>
    <mergeCell ref="B7:B9"/>
    <mergeCell ref="C7:C9"/>
    <mergeCell ref="D7:D9"/>
    <mergeCell ref="E7:E9"/>
  </mergeCells>
  <printOptions horizontalCentered="1"/>
  <pageMargins left="0.196527777777778" right="0.196527777777778" top="0.65902777777777799" bottom="0.65902777777777799" header="0.39374999999999999" footer="0.39374999999999999"/>
  <pageSetup paperSize="9" scale="70" fitToHeight="0" orientation="portrait" r:id="rId1"/>
  <headerFooter>
    <oddHeader>&amp;C&amp;12&amp;A</oddHeader>
    <oddFooter>&amp;C&amp;12Página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6436-895E-428F-B2E3-16EF649B155A}">
  <sheetPr>
    <tabColor rgb="FFFFFFA6"/>
    <pageSetUpPr fitToPage="1"/>
  </sheetPr>
  <dimension ref="A1:E267"/>
  <sheetViews>
    <sheetView view="pageBreakPreview" zoomScaleNormal="100" zoomScaleSheetLayoutView="100" workbookViewId="0">
      <selection activeCell="D209" sqref="D209"/>
    </sheetView>
  </sheetViews>
  <sheetFormatPr defaultColWidth="12.83203125" defaultRowHeight="12.75" customHeight="1" x14ac:dyDescent="0.2"/>
  <cols>
    <col min="1" max="1" width="12.83203125" style="1116"/>
    <col min="2" max="2" width="49" style="1116" customWidth="1"/>
    <col min="3" max="3" width="12.83203125" style="1140"/>
    <col min="4" max="4" width="12.83203125" style="1116"/>
    <col min="5" max="5" width="12.83203125" style="1140"/>
    <col min="6" max="16384" width="12.83203125" style="1116"/>
  </cols>
  <sheetData>
    <row r="1" spans="1:5" ht="12" x14ac:dyDescent="0.2">
      <c r="A1" s="1112"/>
      <c r="B1" s="1113" t="s">
        <v>120</v>
      </c>
      <c r="C1" s="1114"/>
      <c r="D1" s="1114"/>
      <c r="E1" s="1115"/>
    </row>
    <row r="2" spans="1:5" ht="12" x14ac:dyDescent="0.2">
      <c r="A2" s="1117"/>
      <c r="B2" s="1118" t="s">
        <v>1</v>
      </c>
      <c r="C2" s="1119"/>
      <c r="D2" s="1119"/>
      <c r="E2" s="1120"/>
    </row>
    <row r="3" spans="1:5" ht="12" x14ac:dyDescent="0.2">
      <c r="A3" s="1117"/>
      <c r="B3" s="1118" t="s">
        <v>2</v>
      </c>
      <c r="C3" s="1119"/>
      <c r="D3" s="1119"/>
      <c r="E3" s="1120"/>
    </row>
    <row r="4" spans="1:5" ht="12" x14ac:dyDescent="0.2">
      <c r="A4" s="1121"/>
      <c r="B4" s="1122" t="s">
        <v>493</v>
      </c>
      <c r="C4" s="1123"/>
      <c r="D4" s="1123"/>
      <c r="E4" s="1124"/>
    </row>
    <row r="5" spans="1:5" ht="13.5" customHeight="1" x14ac:dyDescent="0.2">
      <c r="A5" s="1441" t="str">
        <f>'Resumo_1.1'!$A$5</f>
        <v>ANEXO II-1.1 – PLANILHA DE CUSTOS E FORMAÇÃO DE PREÇOS DO LICITANTE – EQUIPE RESIDENTE</v>
      </c>
      <c r="B5" s="1441"/>
      <c r="C5" s="1441"/>
      <c r="D5" s="1441"/>
      <c r="E5" s="1441"/>
    </row>
    <row r="6" spans="1:5" ht="13.5" customHeight="1" x14ac:dyDescent="0.2">
      <c r="A6" s="1442" t="s">
        <v>884</v>
      </c>
      <c r="B6" s="1442"/>
      <c r="C6" s="1442"/>
      <c r="D6" s="1442"/>
      <c r="E6" s="1442"/>
    </row>
    <row r="7" spans="1:5" ht="12" x14ac:dyDescent="0.2">
      <c r="A7" s="1125"/>
      <c r="B7" s="1126"/>
      <c r="C7" s="1126"/>
      <c r="D7" s="1126"/>
      <c r="E7" s="1126"/>
    </row>
    <row r="8" spans="1:5" ht="12.75" customHeight="1" x14ac:dyDescent="0.2">
      <c r="A8" s="1440" t="s">
        <v>885</v>
      </c>
      <c r="B8" s="1440"/>
      <c r="C8" s="1440"/>
      <c r="D8" s="1440"/>
      <c r="E8" s="1440"/>
    </row>
    <row r="9" spans="1:5" ht="36" x14ac:dyDescent="0.2">
      <c r="A9" s="1107" t="s">
        <v>496</v>
      </c>
      <c r="B9" s="1107" t="s">
        <v>480</v>
      </c>
      <c r="C9" s="1107" t="s">
        <v>857</v>
      </c>
      <c r="D9" s="1108" t="s">
        <v>858</v>
      </c>
      <c r="E9" s="1108" t="s">
        <v>886</v>
      </c>
    </row>
    <row r="10" spans="1:5" ht="78.75" customHeight="1" x14ac:dyDescent="0.2">
      <c r="A10" s="1107">
        <v>1</v>
      </c>
      <c r="B10" s="1106" t="s">
        <v>859</v>
      </c>
      <c r="C10" s="1107">
        <v>2</v>
      </c>
      <c r="D10" s="1109">
        <v>75.08</v>
      </c>
      <c r="E10" s="1128">
        <f t="shared" ref="E10:E15" si="0">C10*D10</f>
        <v>150.16</v>
      </c>
    </row>
    <row r="11" spans="1:5" ht="12.75" customHeight="1" x14ac:dyDescent="0.2">
      <c r="A11" s="1107">
        <v>2</v>
      </c>
      <c r="B11" s="1106" t="s">
        <v>860</v>
      </c>
      <c r="C11" s="1107">
        <v>3</v>
      </c>
      <c r="D11" s="1109">
        <v>9.6300000000000008</v>
      </c>
      <c r="E11" s="1128">
        <f t="shared" si="0"/>
        <v>28.89</v>
      </c>
    </row>
    <row r="12" spans="1:5" ht="12.75" customHeight="1" x14ac:dyDescent="0.2">
      <c r="A12" s="1107">
        <v>3</v>
      </c>
      <c r="B12" s="1106" t="s">
        <v>861</v>
      </c>
      <c r="C12" s="1107">
        <v>1</v>
      </c>
      <c r="D12" s="1109">
        <v>82.81</v>
      </c>
      <c r="E12" s="1128">
        <f t="shared" si="0"/>
        <v>82.81</v>
      </c>
    </row>
    <row r="13" spans="1:5" ht="12.75" customHeight="1" x14ac:dyDescent="0.2">
      <c r="A13" s="1107">
        <v>4</v>
      </c>
      <c r="B13" s="1106" t="s">
        <v>862</v>
      </c>
      <c r="C13" s="1107">
        <v>1</v>
      </c>
      <c r="D13" s="1109">
        <v>5.26</v>
      </c>
      <c r="E13" s="1128">
        <f t="shared" si="0"/>
        <v>5.26</v>
      </c>
    </row>
    <row r="14" spans="1:5" ht="12.75" customHeight="1" x14ac:dyDescent="0.2">
      <c r="A14" s="1107">
        <v>5</v>
      </c>
      <c r="B14" s="1106" t="s">
        <v>863</v>
      </c>
      <c r="C14" s="1107">
        <v>3</v>
      </c>
      <c r="D14" s="1109">
        <v>38.950000000000003</v>
      </c>
      <c r="E14" s="1128">
        <f t="shared" si="0"/>
        <v>116.85000000000001</v>
      </c>
    </row>
    <row r="15" spans="1:5" ht="12.75" customHeight="1" x14ac:dyDescent="0.2">
      <c r="A15" s="1107">
        <v>6</v>
      </c>
      <c r="B15" s="1106" t="s">
        <v>864</v>
      </c>
      <c r="C15" s="1107">
        <v>1</v>
      </c>
      <c r="D15" s="1109">
        <v>40.200000000000003</v>
      </c>
      <c r="E15" s="1128">
        <f t="shared" si="0"/>
        <v>40.200000000000003</v>
      </c>
    </row>
    <row r="16" spans="1:5" ht="12.75" customHeight="1" x14ac:dyDescent="0.2">
      <c r="A16" s="1439" t="s">
        <v>887</v>
      </c>
      <c r="B16" s="1439"/>
      <c r="C16" s="1439"/>
      <c r="D16" s="1439"/>
      <c r="E16" s="1128">
        <f>SUM(E10:E15)</f>
        <v>424.17</v>
      </c>
    </row>
    <row r="17" spans="1:5" ht="12.75" customHeight="1" x14ac:dyDescent="0.2">
      <c r="A17" s="1439" t="s">
        <v>888</v>
      </c>
      <c r="B17" s="1439"/>
      <c r="C17" s="1439"/>
      <c r="D17" s="1439"/>
      <c r="E17" s="1141">
        <f>Dados!D11</f>
        <v>1</v>
      </c>
    </row>
    <row r="18" spans="1:5" ht="12.75" customHeight="1" x14ac:dyDescent="0.2">
      <c r="A18" s="1439" t="s">
        <v>889</v>
      </c>
      <c r="B18" s="1439"/>
      <c r="C18" s="1439"/>
      <c r="D18" s="1439"/>
      <c r="E18" s="1128">
        <f>E17*E16</f>
        <v>424.17</v>
      </c>
    </row>
    <row r="19" spans="1:5" ht="12.75" customHeight="1" x14ac:dyDescent="0.2">
      <c r="A19" s="1438" t="s">
        <v>890</v>
      </c>
      <c r="B19" s="1438"/>
      <c r="C19" s="1438"/>
      <c r="D19" s="1438"/>
      <c r="E19" s="1142">
        <f>E18/12</f>
        <v>35.347500000000004</v>
      </c>
    </row>
    <row r="20" spans="1:5" ht="12.75" customHeight="1" x14ac:dyDescent="0.2">
      <c r="A20" s="1438" t="s">
        <v>891</v>
      </c>
      <c r="B20" s="1438"/>
      <c r="C20" s="1438"/>
      <c r="D20" s="1438"/>
      <c r="E20" s="1142">
        <f>E16/12</f>
        <v>35.347500000000004</v>
      </c>
    </row>
    <row r="22" spans="1:5" ht="12.75" customHeight="1" x14ac:dyDescent="0.2">
      <c r="A22" s="1440" t="s">
        <v>892</v>
      </c>
      <c r="B22" s="1440"/>
      <c r="C22" s="1440"/>
      <c r="D22" s="1440"/>
      <c r="E22" s="1440"/>
    </row>
    <row r="23" spans="1:5" ht="36" x14ac:dyDescent="0.2">
      <c r="A23" s="1107" t="s">
        <v>496</v>
      </c>
      <c r="B23" s="1107" t="s">
        <v>480</v>
      </c>
      <c r="C23" s="1107" t="s">
        <v>857</v>
      </c>
      <c r="D23" s="1108" t="s">
        <v>858</v>
      </c>
      <c r="E23" s="1108" t="s">
        <v>886</v>
      </c>
    </row>
    <row r="24" spans="1:5" ht="76.5" customHeight="1" x14ac:dyDescent="0.2">
      <c r="A24" s="1107">
        <v>1</v>
      </c>
      <c r="B24" s="1106" t="s">
        <v>859</v>
      </c>
      <c r="C24" s="1107">
        <v>2</v>
      </c>
      <c r="D24" s="1109">
        <v>75.08</v>
      </c>
      <c r="E24" s="1128">
        <f t="shared" ref="E24:E29" si="1">C24*D24</f>
        <v>150.16</v>
      </c>
    </row>
    <row r="25" spans="1:5" ht="12.75" customHeight="1" x14ac:dyDescent="0.2">
      <c r="A25" s="1107">
        <v>2</v>
      </c>
      <c r="B25" s="1106" t="s">
        <v>860</v>
      </c>
      <c r="C25" s="1107">
        <v>3</v>
      </c>
      <c r="D25" s="1109">
        <v>9.6300000000000008</v>
      </c>
      <c r="E25" s="1128">
        <f t="shared" si="1"/>
        <v>28.89</v>
      </c>
    </row>
    <row r="26" spans="1:5" ht="12.75" customHeight="1" x14ac:dyDescent="0.2">
      <c r="A26" s="1107">
        <v>3</v>
      </c>
      <c r="B26" s="1106" t="s">
        <v>861</v>
      </c>
      <c r="C26" s="1107">
        <v>1</v>
      </c>
      <c r="D26" s="1109">
        <v>82.81</v>
      </c>
      <c r="E26" s="1128">
        <f t="shared" si="1"/>
        <v>82.81</v>
      </c>
    </row>
    <row r="27" spans="1:5" ht="12.75" customHeight="1" x14ac:dyDescent="0.2">
      <c r="A27" s="1107">
        <v>4</v>
      </c>
      <c r="B27" s="1106" t="s">
        <v>862</v>
      </c>
      <c r="C27" s="1107">
        <v>1</v>
      </c>
      <c r="D27" s="1109">
        <v>5.26</v>
      </c>
      <c r="E27" s="1128">
        <f t="shared" si="1"/>
        <v>5.26</v>
      </c>
    </row>
    <row r="28" spans="1:5" ht="12.75" customHeight="1" x14ac:dyDescent="0.2">
      <c r="A28" s="1107">
        <v>5</v>
      </c>
      <c r="B28" s="1106" t="s">
        <v>863</v>
      </c>
      <c r="C28" s="1107">
        <v>3</v>
      </c>
      <c r="D28" s="1109">
        <v>38.950000000000003</v>
      </c>
      <c r="E28" s="1128">
        <f t="shared" si="1"/>
        <v>116.85000000000001</v>
      </c>
    </row>
    <row r="29" spans="1:5" ht="12.75" customHeight="1" x14ac:dyDescent="0.2">
      <c r="A29" s="1107">
        <v>6</v>
      </c>
      <c r="B29" s="1106" t="s">
        <v>864</v>
      </c>
      <c r="C29" s="1107">
        <v>1</v>
      </c>
      <c r="D29" s="1109">
        <v>40.200000000000003</v>
      </c>
      <c r="E29" s="1128">
        <f t="shared" si="1"/>
        <v>40.200000000000003</v>
      </c>
    </row>
    <row r="30" spans="1:5" ht="12.75" customHeight="1" x14ac:dyDescent="0.2">
      <c r="A30" s="1439" t="s">
        <v>887</v>
      </c>
      <c r="B30" s="1439"/>
      <c r="C30" s="1439"/>
      <c r="D30" s="1439"/>
      <c r="E30" s="1128">
        <f>SUM(E24:E29)</f>
        <v>424.17</v>
      </c>
    </row>
    <row r="31" spans="1:5" ht="12.75" customHeight="1" x14ac:dyDescent="0.2">
      <c r="A31" s="1439" t="s">
        <v>888</v>
      </c>
      <c r="B31" s="1439"/>
      <c r="C31" s="1439"/>
      <c r="D31" s="1439"/>
      <c r="E31" s="1141">
        <f>Dados!D12</f>
        <v>1</v>
      </c>
    </row>
    <row r="32" spans="1:5" ht="12.75" customHeight="1" x14ac:dyDescent="0.2">
      <c r="A32" s="1439" t="s">
        <v>889</v>
      </c>
      <c r="B32" s="1439"/>
      <c r="C32" s="1439"/>
      <c r="D32" s="1439"/>
      <c r="E32" s="1128">
        <f>E31*E30</f>
        <v>424.17</v>
      </c>
    </row>
    <row r="33" spans="1:5" ht="12.75" customHeight="1" x14ac:dyDescent="0.2">
      <c r="A33" s="1438" t="s">
        <v>890</v>
      </c>
      <c r="B33" s="1438"/>
      <c r="C33" s="1438"/>
      <c r="D33" s="1438"/>
      <c r="E33" s="1142">
        <f>E32/12</f>
        <v>35.347500000000004</v>
      </c>
    </row>
    <row r="34" spans="1:5" ht="12.75" customHeight="1" x14ac:dyDescent="0.2">
      <c r="A34" s="1438" t="s">
        <v>891</v>
      </c>
      <c r="B34" s="1438"/>
      <c r="C34" s="1438"/>
      <c r="D34" s="1438"/>
      <c r="E34" s="1142">
        <f>E30/12</f>
        <v>35.347500000000004</v>
      </c>
    </row>
    <row r="36" spans="1:5" ht="12.75" customHeight="1" x14ac:dyDescent="0.2">
      <c r="A36" s="1440" t="s">
        <v>893</v>
      </c>
      <c r="B36" s="1440"/>
      <c r="C36" s="1440"/>
      <c r="D36" s="1440"/>
      <c r="E36" s="1440"/>
    </row>
    <row r="37" spans="1:5" ht="36" x14ac:dyDescent="0.2">
      <c r="A37" s="1107" t="s">
        <v>496</v>
      </c>
      <c r="B37" s="1107" t="s">
        <v>480</v>
      </c>
      <c r="C37" s="1107" t="s">
        <v>857</v>
      </c>
      <c r="D37" s="1108" t="s">
        <v>858</v>
      </c>
      <c r="E37" s="1108" t="s">
        <v>886</v>
      </c>
    </row>
    <row r="38" spans="1:5" ht="78.75" customHeight="1" x14ac:dyDescent="0.2">
      <c r="A38" s="1107">
        <v>1</v>
      </c>
      <c r="B38" s="1106" t="s">
        <v>859</v>
      </c>
      <c r="C38" s="1107">
        <v>2</v>
      </c>
      <c r="D38" s="1109">
        <v>75.08</v>
      </c>
      <c r="E38" s="1128">
        <f t="shared" ref="E38:E43" si="2">C38*D38</f>
        <v>150.16</v>
      </c>
    </row>
    <row r="39" spans="1:5" ht="12.75" customHeight="1" x14ac:dyDescent="0.2">
      <c r="A39" s="1107">
        <v>2</v>
      </c>
      <c r="B39" s="1106" t="s">
        <v>860</v>
      </c>
      <c r="C39" s="1107">
        <v>3</v>
      </c>
      <c r="D39" s="1109">
        <v>9.6300000000000008</v>
      </c>
      <c r="E39" s="1128">
        <f t="shared" si="2"/>
        <v>28.89</v>
      </c>
    </row>
    <row r="40" spans="1:5" ht="12.75" customHeight="1" x14ac:dyDescent="0.2">
      <c r="A40" s="1107">
        <v>3</v>
      </c>
      <c r="B40" s="1106" t="s">
        <v>861</v>
      </c>
      <c r="C40" s="1107">
        <v>1</v>
      </c>
      <c r="D40" s="1109">
        <v>82.81</v>
      </c>
      <c r="E40" s="1128">
        <f t="shared" si="2"/>
        <v>82.81</v>
      </c>
    </row>
    <row r="41" spans="1:5" ht="12.75" customHeight="1" x14ac:dyDescent="0.2">
      <c r="A41" s="1107">
        <v>4</v>
      </c>
      <c r="B41" s="1106" t="s">
        <v>862</v>
      </c>
      <c r="C41" s="1107">
        <v>1</v>
      </c>
      <c r="D41" s="1109">
        <v>5.26</v>
      </c>
      <c r="E41" s="1128">
        <f t="shared" si="2"/>
        <v>5.26</v>
      </c>
    </row>
    <row r="42" spans="1:5" ht="12.75" customHeight="1" x14ac:dyDescent="0.2">
      <c r="A42" s="1107">
        <v>5</v>
      </c>
      <c r="B42" s="1106" t="s">
        <v>863</v>
      </c>
      <c r="C42" s="1107">
        <v>3</v>
      </c>
      <c r="D42" s="1109">
        <v>38.950000000000003</v>
      </c>
      <c r="E42" s="1128">
        <f t="shared" si="2"/>
        <v>116.85000000000001</v>
      </c>
    </row>
    <row r="43" spans="1:5" ht="12.75" customHeight="1" x14ac:dyDescent="0.2">
      <c r="A43" s="1107">
        <v>6</v>
      </c>
      <c r="B43" s="1106" t="s">
        <v>864</v>
      </c>
      <c r="C43" s="1107">
        <v>1</v>
      </c>
      <c r="D43" s="1109">
        <v>40.200000000000003</v>
      </c>
      <c r="E43" s="1128">
        <f t="shared" si="2"/>
        <v>40.200000000000003</v>
      </c>
    </row>
    <row r="44" spans="1:5" ht="12.75" customHeight="1" x14ac:dyDescent="0.2">
      <c r="A44" s="1439" t="s">
        <v>887</v>
      </c>
      <c r="B44" s="1439"/>
      <c r="C44" s="1439"/>
      <c r="D44" s="1439"/>
      <c r="E44" s="1128">
        <f>SUM(E38:E43)</f>
        <v>424.17</v>
      </c>
    </row>
    <row r="45" spans="1:5" ht="12.75" customHeight="1" x14ac:dyDescent="0.2">
      <c r="A45" s="1439" t="s">
        <v>888</v>
      </c>
      <c r="B45" s="1439"/>
      <c r="C45" s="1439"/>
      <c r="D45" s="1439"/>
      <c r="E45" s="1141">
        <f>Dados!D13</f>
        <v>1</v>
      </c>
    </row>
    <row r="46" spans="1:5" ht="12.75" customHeight="1" x14ac:dyDescent="0.2">
      <c r="A46" s="1439" t="s">
        <v>889</v>
      </c>
      <c r="B46" s="1439"/>
      <c r="C46" s="1439"/>
      <c r="D46" s="1439"/>
      <c r="E46" s="1128">
        <f>E45*E44</f>
        <v>424.17</v>
      </c>
    </row>
    <row r="47" spans="1:5" ht="12.75" customHeight="1" x14ac:dyDescent="0.2">
      <c r="A47" s="1438" t="s">
        <v>890</v>
      </c>
      <c r="B47" s="1438"/>
      <c r="C47" s="1438"/>
      <c r="D47" s="1438"/>
      <c r="E47" s="1142">
        <f>E46/12</f>
        <v>35.347500000000004</v>
      </c>
    </row>
    <row r="48" spans="1:5" ht="12.75" customHeight="1" x14ac:dyDescent="0.2">
      <c r="A48" s="1438" t="s">
        <v>891</v>
      </c>
      <c r="B48" s="1438"/>
      <c r="C48" s="1438"/>
      <c r="D48" s="1438"/>
      <c r="E48" s="1142">
        <f>E44/12</f>
        <v>35.347500000000004</v>
      </c>
    </row>
    <row r="50" spans="1:5" ht="12.75" customHeight="1" x14ac:dyDescent="0.2">
      <c r="A50" s="1440" t="s">
        <v>894</v>
      </c>
      <c r="B50" s="1440"/>
      <c r="C50" s="1440"/>
      <c r="D50" s="1440"/>
      <c r="E50" s="1440"/>
    </row>
    <row r="51" spans="1:5" ht="36" x14ac:dyDescent="0.2">
      <c r="A51" s="1107" t="s">
        <v>496</v>
      </c>
      <c r="B51" s="1107" t="s">
        <v>480</v>
      </c>
      <c r="C51" s="1107" t="s">
        <v>857</v>
      </c>
      <c r="D51" s="1108" t="s">
        <v>858</v>
      </c>
      <c r="E51" s="1108" t="s">
        <v>886</v>
      </c>
    </row>
    <row r="52" spans="1:5" ht="78.75" customHeight="1" x14ac:dyDescent="0.2">
      <c r="A52" s="1106">
        <v>1</v>
      </c>
      <c r="B52" s="1106" t="s">
        <v>859</v>
      </c>
      <c r="C52" s="1107">
        <v>2</v>
      </c>
      <c r="D52" s="1109">
        <v>75.08</v>
      </c>
      <c r="E52" s="1128">
        <f t="shared" ref="E52:E57" si="3">C52*D52</f>
        <v>150.16</v>
      </c>
    </row>
    <row r="53" spans="1:5" ht="12.75" customHeight="1" x14ac:dyDescent="0.2">
      <c r="A53" s="1106">
        <v>2</v>
      </c>
      <c r="B53" s="1106" t="s">
        <v>860</v>
      </c>
      <c r="C53" s="1107">
        <v>3</v>
      </c>
      <c r="D53" s="1109">
        <v>9.6300000000000008</v>
      </c>
      <c r="E53" s="1128">
        <f t="shared" si="3"/>
        <v>28.89</v>
      </c>
    </row>
    <row r="54" spans="1:5" ht="12.75" customHeight="1" x14ac:dyDescent="0.2">
      <c r="A54" s="1106">
        <v>4</v>
      </c>
      <c r="B54" s="1106" t="s">
        <v>861</v>
      </c>
      <c r="C54" s="1107">
        <v>1</v>
      </c>
      <c r="D54" s="1109">
        <v>82.81</v>
      </c>
      <c r="E54" s="1128">
        <f t="shared" si="3"/>
        <v>82.81</v>
      </c>
    </row>
    <row r="55" spans="1:5" ht="12.75" customHeight="1" x14ac:dyDescent="0.2">
      <c r="A55" s="1106">
        <v>5</v>
      </c>
      <c r="B55" s="1106" t="s">
        <v>862</v>
      </c>
      <c r="C55" s="1107">
        <v>1</v>
      </c>
      <c r="D55" s="1109">
        <v>5.26</v>
      </c>
      <c r="E55" s="1128">
        <f t="shared" si="3"/>
        <v>5.26</v>
      </c>
    </row>
    <row r="56" spans="1:5" ht="12.75" customHeight="1" x14ac:dyDescent="0.2">
      <c r="A56" s="1106">
        <v>6</v>
      </c>
      <c r="B56" s="1106" t="s">
        <v>863</v>
      </c>
      <c r="C56" s="1107">
        <v>3</v>
      </c>
      <c r="D56" s="1109">
        <v>38.950000000000003</v>
      </c>
      <c r="E56" s="1128">
        <f t="shared" si="3"/>
        <v>116.85000000000001</v>
      </c>
    </row>
    <row r="57" spans="1:5" ht="12.75" customHeight="1" x14ac:dyDescent="0.2">
      <c r="A57" s="1106">
        <v>7</v>
      </c>
      <c r="B57" s="1106" t="s">
        <v>864</v>
      </c>
      <c r="C57" s="1107">
        <v>1</v>
      </c>
      <c r="D57" s="1109">
        <v>40.200000000000003</v>
      </c>
      <c r="E57" s="1128">
        <f t="shared" si="3"/>
        <v>40.200000000000003</v>
      </c>
    </row>
    <row r="58" spans="1:5" ht="12.75" customHeight="1" x14ac:dyDescent="0.2">
      <c r="A58" s="1439" t="s">
        <v>887</v>
      </c>
      <c r="B58" s="1439"/>
      <c r="C58" s="1439"/>
      <c r="D58" s="1439"/>
      <c r="E58" s="1128">
        <f>SUM(E52:E57)</f>
        <v>424.17</v>
      </c>
    </row>
    <row r="59" spans="1:5" ht="12.75" customHeight="1" x14ac:dyDescent="0.2">
      <c r="A59" s="1439" t="s">
        <v>888</v>
      </c>
      <c r="B59" s="1439"/>
      <c r="C59" s="1439"/>
      <c r="D59" s="1439"/>
      <c r="E59" s="1141">
        <f>Dados!D14</f>
        <v>1</v>
      </c>
    </row>
    <row r="60" spans="1:5" ht="12.75" customHeight="1" x14ac:dyDescent="0.2">
      <c r="A60" s="1439" t="s">
        <v>889</v>
      </c>
      <c r="B60" s="1439"/>
      <c r="C60" s="1439"/>
      <c r="D60" s="1439"/>
      <c r="E60" s="1128">
        <f>E59*E58</f>
        <v>424.17</v>
      </c>
    </row>
    <row r="61" spans="1:5" ht="12.75" customHeight="1" x14ac:dyDescent="0.2">
      <c r="A61" s="1438" t="s">
        <v>890</v>
      </c>
      <c r="B61" s="1438"/>
      <c r="C61" s="1438"/>
      <c r="D61" s="1438"/>
      <c r="E61" s="1142">
        <f>E60/12</f>
        <v>35.347500000000004</v>
      </c>
    </row>
    <row r="62" spans="1:5" ht="12.75" customHeight="1" x14ac:dyDescent="0.2">
      <c r="A62" s="1438" t="s">
        <v>891</v>
      </c>
      <c r="B62" s="1438"/>
      <c r="C62" s="1438"/>
      <c r="D62" s="1438"/>
      <c r="E62" s="1142">
        <f>E58/12</f>
        <v>35.347500000000004</v>
      </c>
    </row>
    <row r="64" spans="1:5" ht="12.75" customHeight="1" x14ac:dyDescent="0.2">
      <c r="A64" s="1440" t="s">
        <v>895</v>
      </c>
      <c r="B64" s="1440"/>
      <c r="C64" s="1440"/>
      <c r="D64" s="1440"/>
      <c r="E64" s="1440"/>
    </row>
    <row r="65" spans="1:5" ht="36" x14ac:dyDescent="0.2">
      <c r="A65" s="1107" t="s">
        <v>496</v>
      </c>
      <c r="B65" s="1107" t="s">
        <v>480</v>
      </c>
      <c r="C65" s="1107" t="s">
        <v>857</v>
      </c>
      <c r="D65" s="1108" t="s">
        <v>858</v>
      </c>
      <c r="E65" s="1108" t="s">
        <v>886</v>
      </c>
    </row>
    <row r="66" spans="1:5" ht="36" x14ac:dyDescent="0.2">
      <c r="A66" s="1107">
        <v>1</v>
      </c>
      <c r="B66" s="1106" t="s">
        <v>865</v>
      </c>
      <c r="C66" s="1107">
        <v>2</v>
      </c>
      <c r="D66" s="1110">
        <v>298.26</v>
      </c>
      <c r="E66" s="1128">
        <f>C66*D66</f>
        <v>596.52</v>
      </c>
    </row>
    <row r="67" spans="1:5" ht="12.75" customHeight="1" x14ac:dyDescent="0.2">
      <c r="A67" s="1107">
        <v>2</v>
      </c>
      <c r="B67" s="1106" t="s">
        <v>866</v>
      </c>
      <c r="C67" s="1107">
        <v>3</v>
      </c>
      <c r="D67" s="1110">
        <v>25.79</v>
      </c>
      <c r="E67" s="1128">
        <f>C67*D67</f>
        <v>77.37</v>
      </c>
    </row>
    <row r="68" spans="1:5" ht="12.75" customHeight="1" x14ac:dyDescent="0.2">
      <c r="A68" s="1107">
        <v>3</v>
      </c>
      <c r="B68" s="1106" t="s">
        <v>861</v>
      </c>
      <c r="C68" s="1107">
        <v>1</v>
      </c>
      <c r="D68" s="1110">
        <v>82.81</v>
      </c>
      <c r="E68" s="1128">
        <f>C68*D68</f>
        <v>82.81</v>
      </c>
    </row>
    <row r="69" spans="1:5" ht="12.75" customHeight="1" x14ac:dyDescent="0.2">
      <c r="A69" s="1107">
        <v>4</v>
      </c>
      <c r="B69" s="1106" t="s">
        <v>862</v>
      </c>
      <c r="C69" s="1107">
        <v>1</v>
      </c>
      <c r="D69" s="1110">
        <v>5.26</v>
      </c>
      <c r="E69" s="1128">
        <f>C69*D69</f>
        <v>5.26</v>
      </c>
    </row>
    <row r="70" spans="1:5" ht="36" x14ac:dyDescent="0.2">
      <c r="A70" s="1107">
        <v>5</v>
      </c>
      <c r="B70" s="1127" t="s">
        <v>867</v>
      </c>
      <c r="C70" s="1107">
        <v>1</v>
      </c>
      <c r="D70" s="1110">
        <v>25.26</v>
      </c>
      <c r="E70" s="1128">
        <f>D70*C70</f>
        <v>25.26</v>
      </c>
    </row>
    <row r="71" spans="1:5" ht="24" x14ac:dyDescent="0.2">
      <c r="A71" s="1107">
        <v>6</v>
      </c>
      <c r="B71" s="1106" t="s">
        <v>868</v>
      </c>
      <c r="C71" s="1107">
        <v>1</v>
      </c>
      <c r="D71" s="1110">
        <v>97.06</v>
      </c>
      <c r="E71" s="1128">
        <f>D71*C71</f>
        <v>97.06</v>
      </c>
    </row>
    <row r="72" spans="1:5" ht="48" x14ac:dyDescent="0.2">
      <c r="A72" s="1107">
        <v>7</v>
      </c>
      <c r="B72" s="1106" t="s">
        <v>869</v>
      </c>
      <c r="C72" s="1107">
        <v>1</v>
      </c>
      <c r="D72" s="1110">
        <v>47.87</v>
      </c>
      <c r="E72" s="1128">
        <f>D72*C72</f>
        <v>47.87</v>
      </c>
    </row>
    <row r="73" spans="1:5" ht="12.75" customHeight="1" x14ac:dyDescent="0.2">
      <c r="A73" s="1107">
        <v>8</v>
      </c>
      <c r="B73" s="1106" t="s">
        <v>870</v>
      </c>
      <c r="C73" s="1107">
        <v>1</v>
      </c>
      <c r="D73" s="1110">
        <v>261.27</v>
      </c>
      <c r="E73" s="1128">
        <f>C73*D73</f>
        <v>261.27</v>
      </c>
    </row>
    <row r="74" spans="1:5" ht="12.75" customHeight="1" x14ac:dyDescent="0.2">
      <c r="A74" s="1107">
        <v>9</v>
      </c>
      <c r="B74" s="1106" t="s">
        <v>871</v>
      </c>
      <c r="C74" s="1107">
        <v>1</v>
      </c>
      <c r="D74" s="1110">
        <v>789.1</v>
      </c>
      <c r="E74" s="1128">
        <f>C74*D74</f>
        <v>789.1</v>
      </c>
    </row>
    <row r="75" spans="1:5" ht="12.75" customHeight="1" x14ac:dyDescent="0.2">
      <c r="A75" s="1107">
        <v>10</v>
      </c>
      <c r="B75" s="1106" t="s">
        <v>872</v>
      </c>
      <c r="C75" s="1107">
        <v>1</v>
      </c>
      <c r="D75" s="1110">
        <v>370.47</v>
      </c>
      <c r="E75" s="1128">
        <f>C75*D75</f>
        <v>370.47</v>
      </c>
    </row>
    <row r="76" spans="1:5" ht="12.75" customHeight="1" x14ac:dyDescent="0.2">
      <c r="A76" s="1107">
        <v>11</v>
      </c>
      <c r="B76" s="1106" t="s">
        <v>873</v>
      </c>
      <c r="C76" s="1107">
        <v>1</v>
      </c>
      <c r="D76" s="1110">
        <v>810.38</v>
      </c>
      <c r="E76" s="1128">
        <f>C76*D76</f>
        <v>810.38</v>
      </c>
    </row>
    <row r="77" spans="1:5" ht="12.75" customHeight="1" x14ac:dyDescent="0.2">
      <c r="A77" s="1107">
        <v>12</v>
      </c>
      <c r="B77" s="1106" t="s">
        <v>874</v>
      </c>
      <c r="C77" s="1107">
        <v>1</v>
      </c>
      <c r="D77" s="1110">
        <v>13.71</v>
      </c>
      <c r="E77" s="1128">
        <f>C77*D77</f>
        <v>13.71</v>
      </c>
    </row>
    <row r="78" spans="1:5" ht="12.75" customHeight="1" x14ac:dyDescent="0.2">
      <c r="A78" s="1439" t="s">
        <v>896</v>
      </c>
      <c r="B78" s="1439"/>
      <c r="C78" s="1439"/>
      <c r="D78" s="1439"/>
      <c r="E78" s="1128">
        <f>SUM(E66:E77)</f>
        <v>3177.08</v>
      </c>
    </row>
    <row r="79" spans="1:5" ht="12.75" customHeight="1" x14ac:dyDescent="0.2">
      <c r="A79" s="1439" t="s">
        <v>897</v>
      </c>
      <c r="B79" s="1439"/>
      <c r="C79" s="1439"/>
      <c r="D79" s="1439"/>
      <c r="E79" s="1143">
        <f>Dados!D15</f>
        <v>2</v>
      </c>
    </row>
    <row r="80" spans="1:5" ht="12.75" customHeight="1" x14ac:dyDescent="0.2">
      <c r="A80" s="1439" t="s">
        <v>889</v>
      </c>
      <c r="B80" s="1439"/>
      <c r="C80" s="1439"/>
      <c r="D80" s="1439"/>
      <c r="E80" s="1128">
        <f>E79*E78</f>
        <v>6354.16</v>
      </c>
    </row>
    <row r="81" spans="1:5" ht="12.75" customHeight="1" x14ac:dyDescent="0.2">
      <c r="A81" s="1438" t="s">
        <v>890</v>
      </c>
      <c r="B81" s="1438"/>
      <c r="C81" s="1438"/>
      <c r="D81" s="1438"/>
      <c r="E81" s="1142">
        <f>E80/12</f>
        <v>529.51333333333332</v>
      </c>
    </row>
    <row r="82" spans="1:5" ht="12.75" customHeight="1" x14ac:dyDescent="0.2">
      <c r="A82" s="1438" t="s">
        <v>891</v>
      </c>
      <c r="B82" s="1438"/>
      <c r="C82" s="1438"/>
      <c r="D82" s="1438"/>
      <c r="E82" s="1142">
        <f>E78/12</f>
        <v>264.75666666666666</v>
      </c>
    </row>
    <row r="84" spans="1:5" ht="12.75" customHeight="1" x14ac:dyDescent="0.2">
      <c r="A84" s="1440" t="s">
        <v>898</v>
      </c>
      <c r="B84" s="1440"/>
      <c r="C84" s="1440"/>
      <c r="D84" s="1440"/>
      <c r="E84" s="1440"/>
    </row>
    <row r="85" spans="1:5" ht="36" x14ac:dyDescent="0.2">
      <c r="A85" s="1107" t="s">
        <v>496</v>
      </c>
      <c r="B85" s="1107" t="s">
        <v>480</v>
      </c>
      <c r="C85" s="1107" t="s">
        <v>857</v>
      </c>
      <c r="D85" s="1108" t="s">
        <v>858</v>
      </c>
      <c r="E85" s="1108" t="s">
        <v>886</v>
      </c>
    </row>
    <row r="86" spans="1:5" ht="54" customHeight="1" x14ac:dyDescent="0.2">
      <c r="A86" s="1107">
        <v>1</v>
      </c>
      <c r="B86" s="1106" t="s">
        <v>865</v>
      </c>
      <c r="C86" s="1107">
        <v>2</v>
      </c>
      <c r="D86" s="1110">
        <v>298.26</v>
      </c>
      <c r="E86" s="1128">
        <f>C86*D86</f>
        <v>596.52</v>
      </c>
    </row>
    <row r="87" spans="1:5" ht="12.75" customHeight="1" x14ac:dyDescent="0.2">
      <c r="A87" s="1107">
        <v>2</v>
      </c>
      <c r="B87" s="1106" t="s">
        <v>866</v>
      </c>
      <c r="C87" s="1107">
        <v>3</v>
      </c>
      <c r="D87" s="1110">
        <v>25.79</v>
      </c>
      <c r="E87" s="1128">
        <f>C87*D87</f>
        <v>77.37</v>
      </c>
    </row>
    <row r="88" spans="1:5" ht="12.75" customHeight="1" x14ac:dyDescent="0.2">
      <c r="A88" s="1107">
        <v>3</v>
      </c>
      <c r="B88" s="1106" t="s">
        <v>861</v>
      </c>
      <c r="C88" s="1107">
        <v>1</v>
      </c>
      <c r="D88" s="1110">
        <v>82.81</v>
      </c>
      <c r="E88" s="1128">
        <f>C88*D88</f>
        <v>82.81</v>
      </c>
    </row>
    <row r="89" spans="1:5" ht="12.75" customHeight="1" x14ac:dyDescent="0.2">
      <c r="A89" s="1107">
        <v>4</v>
      </c>
      <c r="B89" s="1106" t="s">
        <v>862</v>
      </c>
      <c r="C89" s="1107">
        <v>1</v>
      </c>
      <c r="D89" s="1110">
        <v>5.26</v>
      </c>
      <c r="E89" s="1128">
        <f>C89*D89</f>
        <v>5.26</v>
      </c>
    </row>
    <row r="90" spans="1:5" ht="36" x14ac:dyDescent="0.2">
      <c r="A90" s="1107">
        <v>5</v>
      </c>
      <c r="B90" s="1106" t="s">
        <v>867</v>
      </c>
      <c r="C90" s="1107">
        <v>1</v>
      </c>
      <c r="D90" s="1110">
        <v>25.26</v>
      </c>
      <c r="E90" s="1128">
        <f>D90*C90</f>
        <v>25.26</v>
      </c>
    </row>
    <row r="91" spans="1:5" ht="24" x14ac:dyDescent="0.2">
      <c r="A91" s="1107">
        <v>6</v>
      </c>
      <c r="B91" s="1106" t="s">
        <v>868</v>
      </c>
      <c r="C91" s="1107">
        <v>1</v>
      </c>
      <c r="D91" s="1110">
        <v>97.06</v>
      </c>
      <c r="E91" s="1128">
        <f>D91*C91</f>
        <v>97.06</v>
      </c>
    </row>
    <row r="92" spans="1:5" ht="48" x14ac:dyDescent="0.2">
      <c r="A92" s="1107">
        <v>7</v>
      </c>
      <c r="B92" s="1106" t="s">
        <v>869</v>
      </c>
      <c r="C92" s="1107">
        <v>1</v>
      </c>
      <c r="D92" s="1110">
        <v>47.87</v>
      </c>
      <c r="E92" s="1128">
        <f>D92*C92</f>
        <v>47.87</v>
      </c>
    </row>
    <row r="93" spans="1:5" ht="12.75" customHeight="1" x14ac:dyDescent="0.2">
      <c r="A93" s="1107">
        <v>8</v>
      </c>
      <c r="B93" s="1106" t="s">
        <v>870</v>
      </c>
      <c r="C93" s="1107">
        <v>1</v>
      </c>
      <c r="D93" s="1110">
        <v>261.27</v>
      </c>
      <c r="E93" s="1128">
        <f>C93*D93</f>
        <v>261.27</v>
      </c>
    </row>
    <row r="94" spans="1:5" ht="12.75" customHeight="1" x14ac:dyDescent="0.2">
      <c r="A94" s="1107">
        <v>9</v>
      </c>
      <c r="B94" s="1106" t="s">
        <v>871</v>
      </c>
      <c r="C94" s="1107">
        <v>1</v>
      </c>
      <c r="D94" s="1110">
        <v>789.1</v>
      </c>
      <c r="E94" s="1128">
        <f>C94*D94</f>
        <v>789.1</v>
      </c>
    </row>
    <row r="95" spans="1:5" ht="12.75" customHeight="1" x14ac:dyDescent="0.2">
      <c r="A95" s="1107">
        <v>10</v>
      </c>
      <c r="B95" s="1106" t="s">
        <v>872</v>
      </c>
      <c r="C95" s="1107">
        <v>1</v>
      </c>
      <c r="D95" s="1110">
        <v>370.47</v>
      </c>
      <c r="E95" s="1128">
        <f>C95*D95</f>
        <v>370.47</v>
      </c>
    </row>
    <row r="96" spans="1:5" ht="12.75" customHeight="1" x14ac:dyDescent="0.2">
      <c r="A96" s="1107">
        <v>11</v>
      </c>
      <c r="B96" s="1106" t="s">
        <v>873</v>
      </c>
      <c r="C96" s="1107">
        <v>1</v>
      </c>
      <c r="D96" s="1110">
        <v>810.38</v>
      </c>
      <c r="E96" s="1128">
        <f>C96*D96</f>
        <v>810.38</v>
      </c>
    </row>
    <row r="97" spans="1:5" ht="12.75" customHeight="1" x14ac:dyDescent="0.2">
      <c r="A97" s="1107">
        <v>12</v>
      </c>
      <c r="B97" s="1106" t="s">
        <v>874</v>
      </c>
      <c r="C97" s="1107">
        <v>1</v>
      </c>
      <c r="D97" s="1110">
        <v>13.71</v>
      </c>
      <c r="E97" s="1128">
        <f>C97*D97</f>
        <v>13.71</v>
      </c>
    </row>
    <row r="98" spans="1:5" ht="12.75" customHeight="1" x14ac:dyDescent="0.2">
      <c r="A98" s="1439" t="s">
        <v>896</v>
      </c>
      <c r="B98" s="1439"/>
      <c r="C98" s="1439"/>
      <c r="D98" s="1439"/>
      <c r="E98" s="1128">
        <f>SUM(E86:E97)</f>
        <v>3177.08</v>
      </c>
    </row>
    <row r="99" spans="1:5" ht="12.75" customHeight="1" x14ac:dyDescent="0.2">
      <c r="A99" s="1439" t="s">
        <v>897</v>
      </c>
      <c r="B99" s="1439"/>
      <c r="C99" s="1439"/>
      <c r="D99" s="1439"/>
      <c r="E99" s="1141">
        <f>Dados!D16</f>
        <v>2</v>
      </c>
    </row>
    <row r="100" spans="1:5" ht="12.75" customHeight="1" x14ac:dyDescent="0.2">
      <c r="A100" s="1439" t="s">
        <v>889</v>
      </c>
      <c r="B100" s="1439"/>
      <c r="C100" s="1439"/>
      <c r="D100" s="1439"/>
      <c r="E100" s="1128">
        <f>E99*E98</f>
        <v>6354.16</v>
      </c>
    </row>
    <row r="101" spans="1:5" ht="12.75" customHeight="1" x14ac:dyDescent="0.2">
      <c r="A101" s="1438" t="s">
        <v>890</v>
      </c>
      <c r="B101" s="1438"/>
      <c r="C101" s="1438"/>
      <c r="D101" s="1438"/>
      <c r="E101" s="1142">
        <f>E100/12</f>
        <v>529.51333333333332</v>
      </c>
    </row>
    <row r="102" spans="1:5" ht="12.75" customHeight="1" x14ac:dyDescent="0.2">
      <c r="A102" s="1438" t="s">
        <v>891</v>
      </c>
      <c r="B102" s="1438"/>
      <c r="C102" s="1438"/>
      <c r="D102" s="1438"/>
      <c r="E102" s="1142">
        <f>E98/12</f>
        <v>264.75666666666666</v>
      </c>
    </row>
    <row r="104" spans="1:5" ht="12.75" customHeight="1" x14ac:dyDescent="0.2">
      <c r="A104" s="1440" t="s">
        <v>899</v>
      </c>
      <c r="B104" s="1440"/>
      <c r="C104" s="1440"/>
      <c r="D104" s="1440"/>
      <c r="E104" s="1440"/>
    </row>
    <row r="105" spans="1:5" ht="12.75" customHeight="1" x14ac:dyDescent="0.2">
      <c r="A105" s="1107" t="s">
        <v>496</v>
      </c>
      <c r="B105" s="1107" t="s">
        <v>480</v>
      </c>
      <c r="C105" s="1107" t="s">
        <v>857</v>
      </c>
      <c r="D105" s="1108" t="s">
        <v>858</v>
      </c>
      <c r="E105" s="1108" t="s">
        <v>886</v>
      </c>
    </row>
    <row r="106" spans="1:5" ht="54.75" customHeight="1" x14ac:dyDescent="0.2">
      <c r="A106" s="1107">
        <v>1</v>
      </c>
      <c r="B106" s="1106" t="s">
        <v>865</v>
      </c>
      <c r="C106" s="1107">
        <v>2</v>
      </c>
      <c r="D106" s="1109">
        <v>298.26</v>
      </c>
      <c r="E106" s="1128">
        <f t="shared" ref="E106:E115" si="4">C106*D106</f>
        <v>596.52</v>
      </c>
    </row>
    <row r="107" spans="1:5" ht="15.75" customHeight="1" x14ac:dyDescent="0.2">
      <c r="A107" s="1107">
        <v>2</v>
      </c>
      <c r="B107" s="1106" t="s">
        <v>866</v>
      </c>
      <c r="C107" s="1107">
        <v>3</v>
      </c>
      <c r="D107" s="1109">
        <v>25.79</v>
      </c>
      <c r="E107" s="1128">
        <f t="shared" si="4"/>
        <v>77.37</v>
      </c>
    </row>
    <row r="108" spans="1:5" ht="12.75" customHeight="1" x14ac:dyDescent="0.2">
      <c r="A108" s="1107">
        <v>3</v>
      </c>
      <c r="B108" s="1106" t="s">
        <v>861</v>
      </c>
      <c r="C108" s="1107">
        <v>1</v>
      </c>
      <c r="D108" s="1109">
        <v>82.81</v>
      </c>
      <c r="E108" s="1128">
        <f t="shared" si="4"/>
        <v>82.81</v>
      </c>
    </row>
    <row r="109" spans="1:5" ht="12.75" customHeight="1" x14ac:dyDescent="0.2">
      <c r="A109" s="1107">
        <v>4</v>
      </c>
      <c r="B109" s="1106" t="s">
        <v>862</v>
      </c>
      <c r="C109" s="1107">
        <v>1</v>
      </c>
      <c r="D109" s="1109">
        <v>5.26</v>
      </c>
      <c r="E109" s="1128">
        <f t="shared" si="4"/>
        <v>5.26</v>
      </c>
    </row>
    <row r="110" spans="1:5" ht="36" x14ac:dyDescent="0.2">
      <c r="A110" s="1107">
        <v>5</v>
      </c>
      <c r="B110" s="1106" t="s">
        <v>867</v>
      </c>
      <c r="C110" s="1107">
        <v>1</v>
      </c>
      <c r="D110" s="1129">
        <v>25.26</v>
      </c>
      <c r="E110" s="1128">
        <f t="shared" si="4"/>
        <v>25.26</v>
      </c>
    </row>
    <row r="111" spans="1:5" ht="24" x14ac:dyDescent="0.2">
      <c r="A111" s="1107">
        <v>6</v>
      </c>
      <c r="B111" s="1106" t="s">
        <v>868</v>
      </c>
      <c r="C111" s="1107">
        <v>1</v>
      </c>
      <c r="D111" s="1129">
        <v>97.06</v>
      </c>
      <c r="E111" s="1128">
        <f t="shared" si="4"/>
        <v>97.06</v>
      </c>
    </row>
    <row r="112" spans="1:5" ht="48" x14ac:dyDescent="0.2">
      <c r="A112" s="1107">
        <v>7</v>
      </c>
      <c r="B112" s="1106" t="s">
        <v>869</v>
      </c>
      <c r="C112" s="1107">
        <v>1</v>
      </c>
      <c r="D112" s="1129">
        <v>47.87</v>
      </c>
      <c r="E112" s="1128">
        <f t="shared" si="4"/>
        <v>47.87</v>
      </c>
    </row>
    <row r="113" spans="1:5" ht="12.75" customHeight="1" x14ac:dyDescent="0.2">
      <c r="A113" s="1107">
        <v>8</v>
      </c>
      <c r="B113" s="1106" t="s">
        <v>871</v>
      </c>
      <c r="C113" s="1107">
        <v>1</v>
      </c>
      <c r="D113" s="1109">
        <v>789.1</v>
      </c>
      <c r="E113" s="1128">
        <f t="shared" si="4"/>
        <v>789.1</v>
      </c>
    </row>
    <row r="114" spans="1:5" ht="12.75" customHeight="1" x14ac:dyDescent="0.2">
      <c r="A114" s="1107">
        <v>9</v>
      </c>
      <c r="B114" s="1106" t="s">
        <v>872</v>
      </c>
      <c r="C114" s="1107">
        <v>1</v>
      </c>
      <c r="D114" s="1109">
        <v>370.47</v>
      </c>
      <c r="E114" s="1128">
        <f t="shared" si="4"/>
        <v>370.47</v>
      </c>
    </row>
    <row r="115" spans="1:5" ht="12.75" customHeight="1" x14ac:dyDescent="0.2">
      <c r="A115" s="1107">
        <v>10</v>
      </c>
      <c r="B115" s="1106" t="s">
        <v>874</v>
      </c>
      <c r="C115" s="1107">
        <v>1</v>
      </c>
      <c r="D115" s="1109">
        <v>13.71</v>
      </c>
      <c r="E115" s="1128">
        <f t="shared" si="4"/>
        <v>13.71</v>
      </c>
    </row>
    <row r="116" spans="1:5" ht="12.75" customHeight="1" x14ac:dyDescent="0.2">
      <c r="A116" s="1439" t="s">
        <v>896</v>
      </c>
      <c r="B116" s="1439"/>
      <c r="C116" s="1439"/>
      <c r="D116" s="1439"/>
      <c r="E116" s="1128">
        <f>SUM(E106:E115)</f>
        <v>2105.4300000000003</v>
      </c>
    </row>
    <row r="117" spans="1:5" ht="12.75" customHeight="1" x14ac:dyDescent="0.2">
      <c r="A117" s="1439" t="s">
        <v>897</v>
      </c>
      <c r="B117" s="1439"/>
      <c r="C117" s="1439"/>
      <c r="D117" s="1439"/>
      <c r="E117" s="1141">
        <f>Dados!D17</f>
        <v>3</v>
      </c>
    </row>
    <row r="118" spans="1:5" ht="12.75" customHeight="1" x14ac:dyDescent="0.2">
      <c r="A118" s="1439" t="s">
        <v>889</v>
      </c>
      <c r="B118" s="1439"/>
      <c r="C118" s="1439"/>
      <c r="D118" s="1439"/>
      <c r="E118" s="1128">
        <f>E117*E116</f>
        <v>6316.2900000000009</v>
      </c>
    </row>
    <row r="119" spans="1:5" ht="12.75" customHeight="1" x14ac:dyDescent="0.2">
      <c r="A119" s="1438" t="s">
        <v>890</v>
      </c>
      <c r="B119" s="1438"/>
      <c r="C119" s="1438"/>
      <c r="D119" s="1438"/>
      <c r="E119" s="1142">
        <f>E118/12</f>
        <v>526.35750000000007</v>
      </c>
    </row>
    <row r="120" spans="1:5" ht="12.75" customHeight="1" x14ac:dyDescent="0.2">
      <c r="A120" s="1438" t="s">
        <v>891</v>
      </c>
      <c r="B120" s="1438"/>
      <c r="C120" s="1438"/>
      <c r="D120" s="1438"/>
      <c r="E120" s="1142">
        <f>E116/12</f>
        <v>175.45250000000001</v>
      </c>
    </row>
    <row r="122" spans="1:5" ht="12.75" customHeight="1" x14ac:dyDescent="0.2">
      <c r="A122" s="1440" t="s">
        <v>900</v>
      </c>
      <c r="B122" s="1440"/>
      <c r="C122" s="1440"/>
      <c r="D122" s="1440"/>
      <c r="E122" s="1440"/>
    </row>
    <row r="123" spans="1:5" ht="36" x14ac:dyDescent="0.2">
      <c r="A123" s="1107" t="s">
        <v>496</v>
      </c>
      <c r="B123" s="1107" t="s">
        <v>480</v>
      </c>
      <c r="C123" s="1107" t="s">
        <v>857</v>
      </c>
      <c r="D123" s="1108" t="s">
        <v>858</v>
      </c>
      <c r="E123" s="1108" t="s">
        <v>886</v>
      </c>
    </row>
    <row r="124" spans="1:5" ht="53.25" customHeight="1" x14ac:dyDescent="0.2">
      <c r="A124" s="1107">
        <v>1</v>
      </c>
      <c r="B124" s="1106" t="s">
        <v>865</v>
      </c>
      <c r="C124" s="1107">
        <v>2</v>
      </c>
      <c r="D124" s="1109">
        <v>298.26</v>
      </c>
      <c r="E124" s="1128">
        <f t="shared" ref="E124:E132" si="5">C124*D124</f>
        <v>596.52</v>
      </c>
    </row>
    <row r="125" spans="1:5" ht="12.75" customHeight="1" x14ac:dyDescent="0.2">
      <c r="A125" s="1107">
        <v>2</v>
      </c>
      <c r="B125" s="1106" t="s">
        <v>866</v>
      </c>
      <c r="C125" s="1107">
        <v>3</v>
      </c>
      <c r="D125" s="1109">
        <v>25.79</v>
      </c>
      <c r="E125" s="1128">
        <f t="shared" si="5"/>
        <v>77.37</v>
      </c>
    </row>
    <row r="126" spans="1:5" ht="12.75" customHeight="1" x14ac:dyDescent="0.2">
      <c r="A126" s="1107">
        <v>3</v>
      </c>
      <c r="B126" s="1106" t="s">
        <v>861</v>
      </c>
      <c r="C126" s="1107">
        <v>1</v>
      </c>
      <c r="D126" s="1109">
        <v>82.81</v>
      </c>
      <c r="E126" s="1128">
        <f t="shared" si="5"/>
        <v>82.81</v>
      </c>
    </row>
    <row r="127" spans="1:5" ht="12.75" customHeight="1" x14ac:dyDescent="0.2">
      <c r="A127" s="1107">
        <v>4</v>
      </c>
      <c r="B127" s="1106" t="s">
        <v>862</v>
      </c>
      <c r="C127" s="1107">
        <v>1</v>
      </c>
      <c r="D127" s="1109">
        <v>5.26</v>
      </c>
      <c r="E127" s="1128">
        <f t="shared" si="5"/>
        <v>5.26</v>
      </c>
    </row>
    <row r="128" spans="1:5" ht="36" x14ac:dyDescent="0.2">
      <c r="A128" s="1107">
        <v>5</v>
      </c>
      <c r="B128" s="1127" t="s">
        <v>867</v>
      </c>
      <c r="C128" s="1107">
        <v>1</v>
      </c>
      <c r="D128" s="1129">
        <v>25.26</v>
      </c>
      <c r="E128" s="1128">
        <f t="shared" si="5"/>
        <v>25.26</v>
      </c>
    </row>
    <row r="129" spans="1:5" ht="24" x14ac:dyDescent="0.2">
      <c r="A129" s="1107">
        <v>6</v>
      </c>
      <c r="B129" s="1106" t="s">
        <v>868</v>
      </c>
      <c r="C129" s="1107">
        <v>1</v>
      </c>
      <c r="D129" s="1129">
        <v>97.06</v>
      </c>
      <c r="E129" s="1128">
        <f t="shared" si="5"/>
        <v>97.06</v>
      </c>
    </row>
    <row r="130" spans="1:5" ht="48" x14ac:dyDescent="0.2">
      <c r="A130" s="1107">
        <v>7</v>
      </c>
      <c r="B130" s="1106" t="s">
        <v>869</v>
      </c>
      <c r="C130" s="1107">
        <v>1</v>
      </c>
      <c r="D130" s="1129">
        <v>47.87</v>
      </c>
      <c r="E130" s="1128">
        <f t="shared" si="5"/>
        <v>47.87</v>
      </c>
    </row>
    <row r="131" spans="1:5" ht="12.75" customHeight="1" x14ac:dyDescent="0.2">
      <c r="A131" s="1107">
        <v>8</v>
      </c>
      <c r="B131" s="1106" t="s">
        <v>872</v>
      </c>
      <c r="C131" s="1107">
        <v>1</v>
      </c>
      <c r="D131" s="1109">
        <v>370.47</v>
      </c>
      <c r="E131" s="1128">
        <f t="shared" si="5"/>
        <v>370.47</v>
      </c>
    </row>
    <row r="132" spans="1:5" ht="12.75" customHeight="1" x14ac:dyDescent="0.2">
      <c r="A132" s="1107">
        <v>9</v>
      </c>
      <c r="B132" s="1106" t="s">
        <v>874</v>
      </c>
      <c r="C132" s="1107">
        <v>1</v>
      </c>
      <c r="D132" s="1109">
        <v>13.71</v>
      </c>
      <c r="E132" s="1128">
        <f t="shared" si="5"/>
        <v>13.71</v>
      </c>
    </row>
    <row r="133" spans="1:5" ht="12.75" customHeight="1" x14ac:dyDescent="0.2">
      <c r="A133" s="1439" t="s">
        <v>896</v>
      </c>
      <c r="B133" s="1439"/>
      <c r="C133" s="1439"/>
      <c r="D133" s="1439"/>
      <c r="E133" s="1128">
        <f>SUM(E124:E132)</f>
        <v>1316.33</v>
      </c>
    </row>
    <row r="134" spans="1:5" ht="12.75" customHeight="1" x14ac:dyDescent="0.2">
      <c r="A134" s="1439" t="s">
        <v>897</v>
      </c>
      <c r="B134" s="1439"/>
      <c r="C134" s="1439"/>
      <c r="D134" s="1439"/>
      <c r="E134" s="1141">
        <f>Dados!D18</f>
        <v>3</v>
      </c>
    </row>
    <row r="135" spans="1:5" ht="12.75" customHeight="1" x14ac:dyDescent="0.2">
      <c r="A135" s="1439" t="s">
        <v>889</v>
      </c>
      <c r="B135" s="1439"/>
      <c r="C135" s="1439"/>
      <c r="D135" s="1439"/>
      <c r="E135" s="1128">
        <f>E134*E133</f>
        <v>3948.99</v>
      </c>
    </row>
    <row r="136" spans="1:5" ht="12.75" customHeight="1" x14ac:dyDescent="0.2">
      <c r="A136" s="1438" t="s">
        <v>890</v>
      </c>
      <c r="B136" s="1438"/>
      <c r="C136" s="1438"/>
      <c r="D136" s="1438"/>
      <c r="E136" s="1142">
        <f>E135/12</f>
        <v>329.08249999999998</v>
      </c>
    </row>
    <row r="137" spans="1:5" ht="12.75" customHeight="1" x14ac:dyDescent="0.2">
      <c r="A137" s="1438" t="s">
        <v>891</v>
      </c>
      <c r="B137" s="1438"/>
      <c r="C137" s="1438"/>
      <c r="D137" s="1438"/>
      <c r="E137" s="1142">
        <f>E133/12</f>
        <v>109.69416666666666</v>
      </c>
    </row>
    <row r="139" spans="1:5" ht="12.75" customHeight="1" x14ac:dyDescent="0.2">
      <c r="A139" s="1440" t="s">
        <v>901</v>
      </c>
      <c r="B139" s="1440"/>
      <c r="C139" s="1440"/>
      <c r="D139" s="1440"/>
      <c r="E139" s="1440"/>
    </row>
    <row r="140" spans="1:5" ht="36" x14ac:dyDescent="0.2">
      <c r="A140" s="1107" t="s">
        <v>496</v>
      </c>
      <c r="B140" s="1107" t="s">
        <v>480</v>
      </c>
      <c r="C140" s="1107" t="s">
        <v>857</v>
      </c>
      <c r="D140" s="1108" t="s">
        <v>858</v>
      </c>
      <c r="E140" s="1108" t="s">
        <v>886</v>
      </c>
    </row>
    <row r="141" spans="1:5" ht="51.75" customHeight="1" x14ac:dyDescent="0.2">
      <c r="A141" s="1107">
        <v>1</v>
      </c>
      <c r="B141" s="1106" t="s">
        <v>865</v>
      </c>
      <c r="C141" s="1107">
        <v>2</v>
      </c>
      <c r="D141" s="1109">
        <v>298.26</v>
      </c>
      <c r="E141" s="1128">
        <f t="shared" ref="E141:E149" si="6">C141*D141</f>
        <v>596.52</v>
      </c>
    </row>
    <row r="142" spans="1:5" ht="16.5" customHeight="1" x14ac:dyDescent="0.2">
      <c r="A142" s="1107">
        <v>2</v>
      </c>
      <c r="B142" s="1106" t="s">
        <v>866</v>
      </c>
      <c r="C142" s="1107">
        <v>3</v>
      </c>
      <c r="D142" s="1109">
        <v>25.79</v>
      </c>
      <c r="E142" s="1128">
        <f t="shared" si="6"/>
        <v>77.37</v>
      </c>
    </row>
    <row r="143" spans="1:5" ht="12.75" customHeight="1" x14ac:dyDescent="0.2">
      <c r="A143" s="1107">
        <v>3</v>
      </c>
      <c r="B143" s="1106" t="s">
        <v>861</v>
      </c>
      <c r="C143" s="1107">
        <v>1</v>
      </c>
      <c r="D143" s="1109">
        <v>82.81</v>
      </c>
      <c r="E143" s="1128">
        <f t="shared" si="6"/>
        <v>82.81</v>
      </c>
    </row>
    <row r="144" spans="1:5" ht="12.75" customHeight="1" x14ac:dyDescent="0.2">
      <c r="A144" s="1107">
        <v>4</v>
      </c>
      <c r="B144" s="1106" t="s">
        <v>862</v>
      </c>
      <c r="C144" s="1107">
        <v>1</v>
      </c>
      <c r="D144" s="1109">
        <v>5.26</v>
      </c>
      <c r="E144" s="1128">
        <f t="shared" si="6"/>
        <v>5.26</v>
      </c>
    </row>
    <row r="145" spans="1:5" ht="36" x14ac:dyDescent="0.2">
      <c r="A145" s="1107">
        <v>5</v>
      </c>
      <c r="B145" s="1111" t="s">
        <v>867</v>
      </c>
      <c r="C145" s="1107">
        <v>1</v>
      </c>
      <c r="D145" s="1129">
        <v>25.26</v>
      </c>
      <c r="E145" s="1128">
        <f t="shared" si="6"/>
        <v>25.26</v>
      </c>
    </row>
    <row r="146" spans="1:5" ht="24" x14ac:dyDescent="0.2">
      <c r="A146" s="1107">
        <v>6</v>
      </c>
      <c r="B146" s="1106" t="s">
        <v>868</v>
      </c>
      <c r="C146" s="1107">
        <v>1</v>
      </c>
      <c r="D146" s="1129">
        <v>97.06</v>
      </c>
      <c r="E146" s="1128">
        <f t="shared" si="6"/>
        <v>97.06</v>
      </c>
    </row>
    <row r="147" spans="1:5" ht="48" x14ac:dyDescent="0.2">
      <c r="A147" s="1107">
        <v>7</v>
      </c>
      <c r="B147" s="1106" t="s">
        <v>869</v>
      </c>
      <c r="C147" s="1107">
        <v>1</v>
      </c>
      <c r="D147" s="1129">
        <v>47.87</v>
      </c>
      <c r="E147" s="1128">
        <f t="shared" si="6"/>
        <v>47.87</v>
      </c>
    </row>
    <row r="148" spans="1:5" ht="12.75" customHeight="1" x14ac:dyDescent="0.2">
      <c r="A148" s="1107">
        <v>8</v>
      </c>
      <c r="B148" s="1106" t="s">
        <v>872</v>
      </c>
      <c r="C148" s="1107">
        <v>1</v>
      </c>
      <c r="D148" s="1109">
        <v>370.47</v>
      </c>
      <c r="E148" s="1128">
        <f t="shared" si="6"/>
        <v>370.47</v>
      </c>
    </row>
    <row r="149" spans="1:5" ht="12.75" customHeight="1" x14ac:dyDescent="0.2">
      <c r="A149" s="1107">
        <v>9</v>
      </c>
      <c r="B149" s="1106" t="s">
        <v>874</v>
      </c>
      <c r="C149" s="1107">
        <v>1</v>
      </c>
      <c r="D149" s="1109">
        <v>13.71</v>
      </c>
      <c r="E149" s="1128">
        <f t="shared" si="6"/>
        <v>13.71</v>
      </c>
    </row>
    <row r="150" spans="1:5" ht="12.75" customHeight="1" x14ac:dyDescent="0.2">
      <c r="A150" s="1439" t="s">
        <v>896</v>
      </c>
      <c r="B150" s="1439"/>
      <c r="C150" s="1439"/>
      <c r="D150" s="1439"/>
      <c r="E150" s="1128">
        <f>SUM(E141:E149)</f>
        <v>1316.33</v>
      </c>
    </row>
    <row r="151" spans="1:5" ht="12.75" customHeight="1" x14ac:dyDescent="0.2">
      <c r="A151" s="1439" t="s">
        <v>897</v>
      </c>
      <c r="B151" s="1439"/>
      <c r="C151" s="1439"/>
      <c r="D151" s="1439"/>
      <c r="E151" s="1141">
        <f>Dados!D19</f>
        <v>2</v>
      </c>
    </row>
    <row r="152" spans="1:5" ht="12.75" customHeight="1" x14ac:dyDescent="0.2">
      <c r="A152" s="1439" t="s">
        <v>889</v>
      </c>
      <c r="B152" s="1439"/>
      <c r="C152" s="1439"/>
      <c r="D152" s="1439"/>
      <c r="E152" s="1128">
        <f>E151*E150</f>
        <v>2632.66</v>
      </c>
    </row>
    <row r="153" spans="1:5" ht="12.75" customHeight="1" x14ac:dyDescent="0.2">
      <c r="A153" s="1438" t="s">
        <v>890</v>
      </c>
      <c r="B153" s="1438"/>
      <c r="C153" s="1438"/>
      <c r="D153" s="1438"/>
      <c r="E153" s="1142">
        <f>E152/12</f>
        <v>219.38833333333332</v>
      </c>
    </row>
    <row r="154" spans="1:5" ht="12.75" customHeight="1" x14ac:dyDescent="0.2">
      <c r="A154" s="1438" t="s">
        <v>891</v>
      </c>
      <c r="B154" s="1438"/>
      <c r="C154" s="1438"/>
      <c r="D154" s="1438"/>
      <c r="E154" s="1142">
        <f>E150/12</f>
        <v>109.69416666666666</v>
      </c>
    </row>
    <row r="156" spans="1:5" ht="12.75" customHeight="1" x14ac:dyDescent="0.2">
      <c r="A156" s="1440" t="s">
        <v>902</v>
      </c>
      <c r="B156" s="1440"/>
      <c r="C156" s="1440"/>
      <c r="D156" s="1440"/>
      <c r="E156" s="1440"/>
    </row>
    <row r="157" spans="1:5" ht="36" x14ac:dyDescent="0.2">
      <c r="A157" s="1107" t="s">
        <v>496</v>
      </c>
      <c r="B157" s="1107" t="s">
        <v>480</v>
      </c>
      <c r="C157" s="1107" t="s">
        <v>857</v>
      </c>
      <c r="D157" s="1108" t="s">
        <v>858</v>
      </c>
      <c r="E157" s="1108" t="s">
        <v>886</v>
      </c>
    </row>
    <row r="158" spans="1:5" ht="78" customHeight="1" x14ac:dyDescent="0.2">
      <c r="A158" s="1107">
        <v>1</v>
      </c>
      <c r="B158" s="1106" t="s">
        <v>859</v>
      </c>
      <c r="C158" s="1107">
        <v>2</v>
      </c>
      <c r="D158" s="1109">
        <v>75.08</v>
      </c>
      <c r="E158" s="1128">
        <f t="shared" ref="E158:E163" si="7">C158*D158</f>
        <v>150.16</v>
      </c>
    </row>
    <row r="159" spans="1:5" ht="12.75" customHeight="1" x14ac:dyDescent="0.2">
      <c r="A159" s="1107">
        <v>2</v>
      </c>
      <c r="B159" s="1106" t="s">
        <v>860</v>
      </c>
      <c r="C159" s="1107">
        <v>3</v>
      </c>
      <c r="D159" s="1109">
        <v>9.6300000000000008</v>
      </c>
      <c r="E159" s="1128">
        <f t="shared" si="7"/>
        <v>28.89</v>
      </c>
    </row>
    <row r="160" spans="1:5" ht="12.75" customHeight="1" x14ac:dyDescent="0.2">
      <c r="A160" s="1107">
        <v>3</v>
      </c>
      <c r="B160" s="1106" t="s">
        <v>861</v>
      </c>
      <c r="C160" s="1107">
        <v>1</v>
      </c>
      <c r="D160" s="1109">
        <v>82.81</v>
      </c>
      <c r="E160" s="1128">
        <f t="shared" si="7"/>
        <v>82.81</v>
      </c>
    </row>
    <row r="161" spans="1:5" ht="12.75" customHeight="1" x14ac:dyDescent="0.2">
      <c r="A161" s="1107">
        <v>4</v>
      </c>
      <c r="B161" s="1106" t="s">
        <v>862</v>
      </c>
      <c r="C161" s="1107">
        <v>1</v>
      </c>
      <c r="D161" s="1109">
        <v>5.26</v>
      </c>
      <c r="E161" s="1128">
        <f t="shared" si="7"/>
        <v>5.26</v>
      </c>
    </row>
    <row r="162" spans="1:5" ht="12.75" customHeight="1" x14ac:dyDescent="0.2">
      <c r="A162" s="1107">
        <v>5</v>
      </c>
      <c r="B162" s="1106" t="s">
        <v>863</v>
      </c>
      <c r="C162" s="1107">
        <v>3</v>
      </c>
      <c r="D162" s="1109">
        <v>38.950000000000003</v>
      </c>
      <c r="E162" s="1128">
        <f t="shared" si="7"/>
        <v>116.85000000000001</v>
      </c>
    </row>
    <row r="163" spans="1:5" ht="12.75" customHeight="1" x14ac:dyDescent="0.2">
      <c r="A163" s="1107">
        <v>6</v>
      </c>
      <c r="B163" s="1106" t="s">
        <v>864</v>
      </c>
      <c r="C163" s="1107">
        <v>1</v>
      </c>
      <c r="D163" s="1109">
        <v>40.200000000000003</v>
      </c>
      <c r="E163" s="1128">
        <f t="shared" si="7"/>
        <v>40.200000000000003</v>
      </c>
    </row>
    <row r="164" spans="1:5" ht="12.75" customHeight="1" x14ac:dyDescent="0.2">
      <c r="A164" s="1439" t="s">
        <v>887</v>
      </c>
      <c r="B164" s="1439"/>
      <c r="C164" s="1439"/>
      <c r="D164" s="1439"/>
      <c r="E164" s="1128">
        <f>SUM(E158:E163)</f>
        <v>424.17</v>
      </c>
    </row>
    <row r="165" spans="1:5" ht="12.75" customHeight="1" x14ac:dyDescent="0.2">
      <c r="A165" s="1439" t="s">
        <v>888</v>
      </c>
      <c r="B165" s="1439"/>
      <c r="C165" s="1439"/>
      <c r="D165" s="1439"/>
      <c r="E165" s="1141">
        <f>Dados!D20</f>
        <v>4</v>
      </c>
    </row>
    <row r="166" spans="1:5" ht="12.75" customHeight="1" x14ac:dyDescent="0.2">
      <c r="A166" s="1439" t="s">
        <v>889</v>
      </c>
      <c r="B166" s="1439"/>
      <c r="C166" s="1439"/>
      <c r="D166" s="1439"/>
      <c r="E166" s="1128">
        <f>E165*E164</f>
        <v>1696.68</v>
      </c>
    </row>
    <row r="167" spans="1:5" ht="12.75" customHeight="1" x14ac:dyDescent="0.2">
      <c r="A167" s="1438" t="s">
        <v>890</v>
      </c>
      <c r="B167" s="1438"/>
      <c r="C167" s="1438"/>
      <c r="D167" s="1438"/>
      <c r="E167" s="1142">
        <f>E166/12</f>
        <v>141.39000000000001</v>
      </c>
    </row>
    <row r="168" spans="1:5" ht="12.75" customHeight="1" x14ac:dyDescent="0.2">
      <c r="A168" s="1438" t="s">
        <v>891</v>
      </c>
      <c r="B168" s="1438"/>
      <c r="C168" s="1438"/>
      <c r="D168" s="1438"/>
      <c r="E168" s="1142">
        <f>E164/12</f>
        <v>35.347500000000004</v>
      </c>
    </row>
    <row r="170" spans="1:5" ht="12.75" customHeight="1" x14ac:dyDescent="0.2">
      <c r="A170" s="1440" t="s">
        <v>903</v>
      </c>
      <c r="B170" s="1440"/>
      <c r="C170" s="1440"/>
      <c r="D170" s="1440"/>
      <c r="E170" s="1440"/>
    </row>
    <row r="171" spans="1:5" ht="36" x14ac:dyDescent="0.2">
      <c r="A171" s="1107" t="s">
        <v>496</v>
      </c>
      <c r="B171" s="1107" t="s">
        <v>480</v>
      </c>
      <c r="C171" s="1107" t="s">
        <v>857</v>
      </c>
      <c r="D171" s="1108" t="s">
        <v>858</v>
      </c>
      <c r="E171" s="1108" t="s">
        <v>886</v>
      </c>
    </row>
    <row r="172" spans="1:5" ht="96" x14ac:dyDescent="0.2">
      <c r="A172" s="1107">
        <v>1</v>
      </c>
      <c r="B172" s="1106" t="s">
        <v>859</v>
      </c>
      <c r="C172" s="1107">
        <v>2</v>
      </c>
      <c r="D172" s="1109">
        <v>75.08</v>
      </c>
      <c r="E172" s="1128">
        <f t="shared" ref="E172:E177" si="8">C172*D172</f>
        <v>150.16</v>
      </c>
    </row>
    <row r="173" spans="1:5" ht="12.75" customHeight="1" x14ac:dyDescent="0.2">
      <c r="A173" s="1107">
        <v>2</v>
      </c>
      <c r="B173" s="1106" t="s">
        <v>860</v>
      </c>
      <c r="C173" s="1107">
        <v>3</v>
      </c>
      <c r="D173" s="1109">
        <v>9.6300000000000008</v>
      </c>
      <c r="E173" s="1128">
        <f t="shared" si="8"/>
        <v>28.89</v>
      </c>
    </row>
    <row r="174" spans="1:5" ht="12.75" customHeight="1" x14ac:dyDescent="0.2">
      <c r="A174" s="1107">
        <v>3</v>
      </c>
      <c r="B174" s="1106" t="s">
        <v>861</v>
      </c>
      <c r="C174" s="1107">
        <v>1</v>
      </c>
      <c r="D174" s="1109">
        <v>82.81</v>
      </c>
      <c r="E174" s="1128">
        <f t="shared" si="8"/>
        <v>82.81</v>
      </c>
    </row>
    <row r="175" spans="1:5" ht="12.75" customHeight="1" x14ac:dyDescent="0.2">
      <c r="A175" s="1107">
        <v>4</v>
      </c>
      <c r="B175" s="1106" t="s">
        <v>862</v>
      </c>
      <c r="C175" s="1107">
        <v>1</v>
      </c>
      <c r="D175" s="1109">
        <v>5.26</v>
      </c>
      <c r="E175" s="1128">
        <f t="shared" si="8"/>
        <v>5.26</v>
      </c>
    </row>
    <row r="176" spans="1:5" ht="12.75" customHeight="1" x14ac:dyDescent="0.2">
      <c r="A176" s="1107">
        <v>5</v>
      </c>
      <c r="B176" s="1106" t="s">
        <v>863</v>
      </c>
      <c r="C176" s="1107">
        <v>3</v>
      </c>
      <c r="D176" s="1109">
        <v>38.950000000000003</v>
      </c>
      <c r="E176" s="1128">
        <f t="shared" si="8"/>
        <v>116.85000000000001</v>
      </c>
    </row>
    <row r="177" spans="1:5" ht="12.75" customHeight="1" x14ac:dyDescent="0.2">
      <c r="A177" s="1107">
        <v>6</v>
      </c>
      <c r="B177" s="1106" t="s">
        <v>864</v>
      </c>
      <c r="C177" s="1107">
        <v>1</v>
      </c>
      <c r="D177" s="1109">
        <v>40.200000000000003</v>
      </c>
      <c r="E177" s="1128">
        <f t="shared" si="8"/>
        <v>40.200000000000003</v>
      </c>
    </row>
    <row r="178" spans="1:5" ht="12.75" customHeight="1" x14ac:dyDescent="0.2">
      <c r="A178" s="1439" t="s">
        <v>887</v>
      </c>
      <c r="B178" s="1439"/>
      <c r="C178" s="1439"/>
      <c r="D178" s="1439"/>
      <c r="E178" s="1128">
        <f>SUM(E172:E177)</f>
        <v>424.17</v>
      </c>
    </row>
    <row r="179" spans="1:5" ht="12.75" customHeight="1" x14ac:dyDescent="0.2">
      <c r="A179" s="1439" t="s">
        <v>888</v>
      </c>
      <c r="B179" s="1439"/>
      <c r="C179" s="1439"/>
      <c r="D179" s="1439"/>
      <c r="E179" s="1141">
        <f>Dados!D21</f>
        <v>2</v>
      </c>
    </row>
    <row r="180" spans="1:5" ht="12.75" customHeight="1" x14ac:dyDescent="0.2">
      <c r="A180" s="1439" t="s">
        <v>889</v>
      </c>
      <c r="B180" s="1439"/>
      <c r="C180" s="1439"/>
      <c r="D180" s="1439"/>
      <c r="E180" s="1128">
        <f>E179*E178</f>
        <v>848.34</v>
      </c>
    </row>
    <row r="181" spans="1:5" ht="12.75" customHeight="1" x14ac:dyDescent="0.2">
      <c r="A181" s="1438" t="s">
        <v>890</v>
      </c>
      <c r="B181" s="1438"/>
      <c r="C181" s="1438"/>
      <c r="D181" s="1438"/>
      <c r="E181" s="1142">
        <f>E180/12</f>
        <v>70.695000000000007</v>
      </c>
    </row>
    <row r="182" spans="1:5" ht="12.75" customHeight="1" x14ac:dyDescent="0.2">
      <c r="A182" s="1438" t="s">
        <v>891</v>
      </c>
      <c r="B182" s="1438"/>
      <c r="C182" s="1438"/>
      <c r="D182" s="1438"/>
      <c r="E182" s="1142">
        <f>E178/12</f>
        <v>35.347500000000004</v>
      </c>
    </row>
    <row r="184" spans="1:5" ht="12.75" customHeight="1" x14ac:dyDescent="0.2">
      <c r="A184" s="1440" t="s">
        <v>904</v>
      </c>
      <c r="B184" s="1440"/>
      <c r="C184" s="1440"/>
      <c r="D184" s="1440"/>
      <c r="E184" s="1440"/>
    </row>
    <row r="185" spans="1:5" ht="12.75" customHeight="1" x14ac:dyDescent="0.2">
      <c r="A185" s="1107" t="s">
        <v>496</v>
      </c>
      <c r="B185" s="1107" t="s">
        <v>480</v>
      </c>
      <c r="C185" s="1107" t="s">
        <v>857</v>
      </c>
      <c r="D185" s="1108" t="s">
        <v>858</v>
      </c>
      <c r="E185" s="1108" t="s">
        <v>886</v>
      </c>
    </row>
    <row r="186" spans="1:5" ht="75" customHeight="1" x14ac:dyDescent="0.2">
      <c r="A186" s="1107">
        <v>1</v>
      </c>
      <c r="B186" s="1106" t="s">
        <v>859</v>
      </c>
      <c r="C186" s="1107">
        <v>2</v>
      </c>
      <c r="D186" s="1109">
        <v>75.08</v>
      </c>
      <c r="E186" s="1128">
        <f>C186*D186</f>
        <v>150.16</v>
      </c>
    </row>
    <row r="187" spans="1:5" ht="12.75" customHeight="1" x14ac:dyDescent="0.2">
      <c r="A187" s="1107">
        <v>2</v>
      </c>
      <c r="B187" s="1106" t="s">
        <v>860</v>
      </c>
      <c r="C187" s="1107">
        <v>3</v>
      </c>
      <c r="D187" s="1110">
        <v>9.6300000000000008</v>
      </c>
      <c r="E187" s="1128">
        <f>C187*D187</f>
        <v>28.89</v>
      </c>
    </row>
    <row r="188" spans="1:5" ht="12.75" customHeight="1" x14ac:dyDescent="0.2">
      <c r="A188" s="1107">
        <v>3</v>
      </c>
      <c r="B188" s="1106" t="s">
        <v>861</v>
      </c>
      <c r="C188" s="1107">
        <v>1</v>
      </c>
      <c r="D188" s="1110">
        <v>82.81</v>
      </c>
      <c r="E188" s="1128">
        <f>C188*D188</f>
        <v>82.81</v>
      </c>
    </row>
    <row r="189" spans="1:5" ht="12.75" customHeight="1" x14ac:dyDescent="0.2">
      <c r="A189" s="1107">
        <v>4</v>
      </c>
      <c r="B189" s="1106" t="s">
        <v>862</v>
      </c>
      <c r="C189" s="1107">
        <v>1</v>
      </c>
      <c r="D189" s="1110">
        <v>5.26</v>
      </c>
      <c r="E189" s="1128">
        <f>C189*D189</f>
        <v>5.26</v>
      </c>
    </row>
    <row r="190" spans="1:5" ht="36" x14ac:dyDescent="0.2">
      <c r="A190" s="1107">
        <v>5</v>
      </c>
      <c r="B190" s="1111" t="s">
        <v>875</v>
      </c>
      <c r="C190" s="1139">
        <v>2</v>
      </c>
      <c r="D190" s="1110">
        <v>21.19</v>
      </c>
      <c r="E190" s="1128">
        <f>D190*C190</f>
        <v>42.38</v>
      </c>
    </row>
    <row r="191" spans="1:5" ht="36" x14ac:dyDescent="0.2">
      <c r="A191" s="1107">
        <v>6</v>
      </c>
      <c r="B191" s="1111" t="s">
        <v>876</v>
      </c>
      <c r="C191" s="1139">
        <v>2</v>
      </c>
      <c r="D191" s="1110">
        <v>67.73</v>
      </c>
      <c r="E191" s="1128">
        <f>D191*C191</f>
        <v>135.46</v>
      </c>
    </row>
    <row r="192" spans="1:5" ht="24" x14ac:dyDescent="0.2">
      <c r="A192" s="1107">
        <v>7</v>
      </c>
      <c r="B192" s="1111" t="s">
        <v>877</v>
      </c>
      <c r="C192" s="1139">
        <v>2</v>
      </c>
      <c r="D192" s="1110">
        <v>35.19</v>
      </c>
      <c r="E192" s="1128">
        <f>D192*C192</f>
        <v>70.38</v>
      </c>
    </row>
    <row r="193" spans="1:5" ht="12" x14ac:dyDescent="0.2">
      <c r="A193" s="1107">
        <v>8</v>
      </c>
      <c r="B193" s="1111" t="s">
        <v>905</v>
      </c>
      <c r="C193" s="1139">
        <v>1</v>
      </c>
      <c r="D193" s="1110">
        <v>42.66</v>
      </c>
      <c r="E193" s="1128">
        <f>D193*C193</f>
        <v>42.66</v>
      </c>
    </row>
    <row r="194" spans="1:5" ht="24" x14ac:dyDescent="0.2">
      <c r="A194" s="1107">
        <v>9</v>
      </c>
      <c r="B194" s="1111" t="s">
        <v>878</v>
      </c>
      <c r="C194" s="1139">
        <v>1</v>
      </c>
      <c r="D194" s="1110">
        <v>289.68</v>
      </c>
      <c r="E194" s="1128">
        <f>D194*C194</f>
        <v>289.68</v>
      </c>
    </row>
    <row r="195" spans="1:5" ht="12.75" customHeight="1" x14ac:dyDescent="0.2">
      <c r="A195" s="1107">
        <v>10</v>
      </c>
      <c r="B195" s="1106" t="s">
        <v>863</v>
      </c>
      <c r="C195" s="1107">
        <v>3</v>
      </c>
      <c r="D195" s="1110">
        <v>38.950000000000003</v>
      </c>
      <c r="E195" s="1128">
        <f>C195*D195</f>
        <v>116.85000000000001</v>
      </c>
    </row>
    <row r="196" spans="1:5" ht="12.75" customHeight="1" x14ac:dyDescent="0.2">
      <c r="A196" s="1107">
        <v>11</v>
      </c>
      <c r="B196" s="1106" t="s">
        <v>864</v>
      </c>
      <c r="C196" s="1107">
        <v>1</v>
      </c>
      <c r="D196" s="1110">
        <v>40.200000000000003</v>
      </c>
      <c r="E196" s="1128">
        <f>C196*D196</f>
        <v>40.200000000000003</v>
      </c>
    </row>
    <row r="197" spans="1:5" ht="12.75" customHeight="1" x14ac:dyDescent="0.2">
      <c r="A197" s="1439" t="s">
        <v>887</v>
      </c>
      <c r="B197" s="1439"/>
      <c r="C197" s="1439"/>
      <c r="D197" s="1439"/>
      <c r="E197" s="1128">
        <f>SUM(E186:E196)</f>
        <v>1004.7300000000001</v>
      </c>
    </row>
    <row r="198" spans="1:5" ht="12.75" customHeight="1" x14ac:dyDescent="0.2">
      <c r="A198" s="1439" t="s">
        <v>888</v>
      </c>
      <c r="B198" s="1439"/>
      <c r="C198" s="1439"/>
      <c r="D198" s="1439"/>
      <c r="E198" s="1141">
        <f>Dados!D22</f>
        <v>2</v>
      </c>
    </row>
    <row r="199" spans="1:5" ht="12.75" customHeight="1" x14ac:dyDescent="0.2">
      <c r="A199" s="1439" t="s">
        <v>889</v>
      </c>
      <c r="B199" s="1439"/>
      <c r="C199" s="1439"/>
      <c r="D199" s="1439"/>
      <c r="E199" s="1128">
        <f>E198*E197</f>
        <v>2009.4600000000003</v>
      </c>
    </row>
    <row r="200" spans="1:5" ht="12.75" customHeight="1" x14ac:dyDescent="0.2">
      <c r="A200" s="1438" t="s">
        <v>890</v>
      </c>
      <c r="B200" s="1438"/>
      <c r="C200" s="1438"/>
      <c r="D200" s="1438"/>
      <c r="E200" s="1142">
        <f>E199/12</f>
        <v>167.45500000000001</v>
      </c>
    </row>
    <row r="201" spans="1:5" ht="12.75" customHeight="1" x14ac:dyDescent="0.2">
      <c r="A201" s="1438" t="s">
        <v>891</v>
      </c>
      <c r="B201" s="1438"/>
      <c r="C201" s="1438"/>
      <c r="D201" s="1438"/>
      <c r="E201" s="1142">
        <f>E197/12</f>
        <v>83.727500000000006</v>
      </c>
    </row>
    <row r="203" spans="1:5" ht="12.75" customHeight="1" x14ac:dyDescent="0.2">
      <c r="A203" s="1440" t="s">
        <v>906</v>
      </c>
      <c r="B203" s="1440"/>
      <c r="C203" s="1440"/>
      <c r="D203" s="1440"/>
      <c r="E203" s="1440"/>
    </row>
    <row r="204" spans="1:5" ht="36" x14ac:dyDescent="0.2">
      <c r="A204" s="1107" t="s">
        <v>496</v>
      </c>
      <c r="B204" s="1107" t="s">
        <v>480</v>
      </c>
      <c r="C204" s="1107" t="s">
        <v>857</v>
      </c>
      <c r="D204" s="1108" t="s">
        <v>858</v>
      </c>
      <c r="E204" s="1108" t="s">
        <v>886</v>
      </c>
    </row>
    <row r="205" spans="1:5" ht="96" x14ac:dyDescent="0.2">
      <c r="A205" s="1107">
        <v>1</v>
      </c>
      <c r="B205" s="1106" t="s">
        <v>859</v>
      </c>
      <c r="C205" s="1107">
        <v>2</v>
      </c>
      <c r="D205" s="1109">
        <v>75.08</v>
      </c>
      <c r="E205" s="1128">
        <f t="shared" ref="E205:E214" si="9">C205*D205</f>
        <v>150.16</v>
      </c>
    </row>
    <row r="206" spans="1:5" ht="12.75" customHeight="1" x14ac:dyDescent="0.2">
      <c r="A206" s="1107">
        <v>2</v>
      </c>
      <c r="B206" s="1106" t="s">
        <v>860</v>
      </c>
      <c r="C206" s="1107">
        <v>30</v>
      </c>
      <c r="D206" s="1110">
        <v>9.6300000000000008</v>
      </c>
      <c r="E206" s="1128">
        <f t="shared" si="9"/>
        <v>288.90000000000003</v>
      </c>
    </row>
    <row r="207" spans="1:5" ht="12.75" customHeight="1" x14ac:dyDescent="0.2">
      <c r="A207" s="1107">
        <v>3</v>
      </c>
      <c r="B207" s="1106" t="s">
        <v>861</v>
      </c>
      <c r="C207" s="1107">
        <v>1</v>
      </c>
      <c r="D207" s="1110">
        <v>82.81</v>
      </c>
      <c r="E207" s="1128">
        <f t="shared" si="9"/>
        <v>82.81</v>
      </c>
    </row>
    <row r="208" spans="1:5" ht="12.75" customHeight="1" x14ac:dyDescent="0.2">
      <c r="A208" s="1107">
        <v>4</v>
      </c>
      <c r="B208" s="1106" t="s">
        <v>862</v>
      </c>
      <c r="C208" s="1107">
        <v>1</v>
      </c>
      <c r="D208" s="1110">
        <v>5.26</v>
      </c>
      <c r="E208" s="1128">
        <f t="shared" si="9"/>
        <v>5.26</v>
      </c>
    </row>
    <row r="209" spans="1:5" ht="24" x14ac:dyDescent="0.2">
      <c r="A209" s="1107">
        <v>5</v>
      </c>
      <c r="B209" s="1111" t="s">
        <v>879</v>
      </c>
      <c r="C209" s="1139">
        <v>2</v>
      </c>
      <c r="D209" s="1110">
        <v>354.26</v>
      </c>
      <c r="E209" s="1128">
        <f t="shared" si="9"/>
        <v>708.52</v>
      </c>
    </row>
    <row r="210" spans="1:5" ht="36" x14ac:dyDescent="0.2">
      <c r="A210" s="1107">
        <v>6</v>
      </c>
      <c r="B210" s="1130" t="s">
        <v>867</v>
      </c>
      <c r="C210" s="1139">
        <v>2</v>
      </c>
      <c r="D210" s="1110">
        <v>25.26</v>
      </c>
      <c r="E210" s="1128">
        <f t="shared" si="9"/>
        <v>50.52</v>
      </c>
    </row>
    <row r="211" spans="1:5" ht="24" x14ac:dyDescent="0.2">
      <c r="A211" s="1107">
        <v>7</v>
      </c>
      <c r="B211" s="1111" t="s">
        <v>877</v>
      </c>
      <c r="C211" s="1139">
        <v>1</v>
      </c>
      <c r="D211" s="1110">
        <v>35.19</v>
      </c>
      <c r="E211" s="1128">
        <f t="shared" si="9"/>
        <v>35.19</v>
      </c>
    </row>
    <row r="212" spans="1:5" ht="24" x14ac:dyDescent="0.2">
      <c r="A212" s="1107">
        <v>8</v>
      </c>
      <c r="B212" s="1111" t="s">
        <v>880</v>
      </c>
      <c r="C212" s="1139">
        <v>6</v>
      </c>
      <c r="D212" s="1110">
        <v>19.23</v>
      </c>
      <c r="E212" s="1128">
        <f t="shared" si="9"/>
        <v>115.38</v>
      </c>
    </row>
    <row r="213" spans="1:5" ht="36" x14ac:dyDescent="0.2">
      <c r="A213" s="1107">
        <v>9</v>
      </c>
      <c r="B213" s="1111" t="s">
        <v>881</v>
      </c>
      <c r="C213" s="1139">
        <v>10</v>
      </c>
      <c r="D213" s="1110">
        <v>2.08</v>
      </c>
      <c r="E213" s="1128">
        <f t="shared" si="9"/>
        <v>20.8</v>
      </c>
    </row>
    <row r="214" spans="1:5" ht="12.75" customHeight="1" x14ac:dyDescent="0.2">
      <c r="A214" s="1107">
        <v>10</v>
      </c>
      <c r="B214" s="1106" t="s">
        <v>864</v>
      </c>
      <c r="C214" s="1107">
        <v>1</v>
      </c>
      <c r="D214" s="1110">
        <v>40.200000000000003</v>
      </c>
      <c r="E214" s="1128">
        <f t="shared" si="9"/>
        <v>40.200000000000003</v>
      </c>
    </row>
    <row r="215" spans="1:5" ht="12.75" customHeight="1" x14ac:dyDescent="0.2">
      <c r="A215" s="1439" t="s">
        <v>887</v>
      </c>
      <c r="B215" s="1439"/>
      <c r="C215" s="1439"/>
      <c r="D215" s="1439"/>
      <c r="E215" s="1128">
        <f>SUM(E205:E214)</f>
        <v>1497.7400000000002</v>
      </c>
    </row>
    <row r="216" spans="1:5" ht="12.75" customHeight="1" x14ac:dyDescent="0.2">
      <c r="A216" s="1439" t="s">
        <v>888</v>
      </c>
      <c r="B216" s="1439"/>
      <c r="C216" s="1439"/>
      <c r="D216" s="1439"/>
      <c r="E216" s="1141">
        <f>Dados!D23</f>
        <v>2</v>
      </c>
    </row>
    <row r="217" spans="1:5" ht="12.75" customHeight="1" x14ac:dyDescent="0.2">
      <c r="A217" s="1439" t="s">
        <v>889</v>
      </c>
      <c r="B217" s="1439"/>
      <c r="C217" s="1439"/>
      <c r="D217" s="1439"/>
      <c r="E217" s="1128">
        <f>E216*E215</f>
        <v>2995.4800000000005</v>
      </c>
    </row>
    <row r="218" spans="1:5" ht="12.75" customHeight="1" x14ac:dyDescent="0.2">
      <c r="A218" s="1438" t="s">
        <v>890</v>
      </c>
      <c r="B218" s="1438"/>
      <c r="C218" s="1438"/>
      <c r="D218" s="1438"/>
      <c r="E218" s="1142">
        <f>E217/12</f>
        <v>249.62333333333336</v>
      </c>
    </row>
    <row r="219" spans="1:5" ht="12.75" customHeight="1" x14ac:dyDescent="0.2">
      <c r="A219" s="1438" t="s">
        <v>891</v>
      </c>
      <c r="B219" s="1438"/>
      <c r="C219" s="1438"/>
      <c r="D219" s="1438"/>
      <c r="E219" s="1142">
        <f>E215/12</f>
        <v>124.81166666666668</v>
      </c>
    </row>
    <row r="221" spans="1:5" ht="12.75" customHeight="1" x14ac:dyDescent="0.2">
      <c r="A221" s="1440" t="s">
        <v>907</v>
      </c>
      <c r="B221" s="1440"/>
      <c r="C221" s="1440"/>
      <c r="D221" s="1440"/>
      <c r="E221" s="1440"/>
    </row>
    <row r="222" spans="1:5" ht="36" x14ac:dyDescent="0.2">
      <c r="A222" s="1107" t="s">
        <v>496</v>
      </c>
      <c r="B222" s="1107" t="s">
        <v>480</v>
      </c>
      <c r="C222" s="1107" t="s">
        <v>857</v>
      </c>
      <c r="D222" s="1108" t="s">
        <v>858</v>
      </c>
      <c r="E222" s="1108" t="s">
        <v>886</v>
      </c>
    </row>
    <row r="223" spans="1:5" ht="96" x14ac:dyDescent="0.2">
      <c r="A223" s="1107">
        <v>1</v>
      </c>
      <c r="B223" s="1106" t="s">
        <v>859</v>
      </c>
      <c r="C223" s="1107">
        <v>2</v>
      </c>
      <c r="D223" s="1109">
        <v>75.08</v>
      </c>
      <c r="E223" s="1128">
        <f t="shared" ref="E223:E229" si="10">C223*D223</f>
        <v>150.16</v>
      </c>
    </row>
    <row r="224" spans="1:5" ht="12.75" customHeight="1" x14ac:dyDescent="0.2">
      <c r="A224" s="1107">
        <v>2</v>
      </c>
      <c r="B224" s="1106" t="s">
        <v>860</v>
      </c>
      <c r="C224" s="1107">
        <v>3</v>
      </c>
      <c r="D224" s="1110">
        <v>9.6300000000000008</v>
      </c>
      <c r="E224" s="1128">
        <f t="shared" si="10"/>
        <v>28.89</v>
      </c>
    </row>
    <row r="225" spans="1:5" ht="12.75" customHeight="1" x14ac:dyDescent="0.2">
      <c r="A225" s="1107">
        <v>3</v>
      </c>
      <c r="B225" s="1106" t="s">
        <v>861</v>
      </c>
      <c r="C225" s="1107">
        <v>1</v>
      </c>
      <c r="D225" s="1110">
        <v>82.81</v>
      </c>
      <c r="E225" s="1128">
        <f t="shared" si="10"/>
        <v>82.81</v>
      </c>
    </row>
    <row r="226" spans="1:5" ht="12.75" customHeight="1" x14ac:dyDescent="0.2">
      <c r="A226" s="1107">
        <v>4</v>
      </c>
      <c r="B226" s="1106" t="s">
        <v>862</v>
      </c>
      <c r="C226" s="1107">
        <v>1</v>
      </c>
      <c r="D226" s="1110">
        <v>5.26</v>
      </c>
      <c r="E226" s="1128">
        <f t="shared" si="10"/>
        <v>5.26</v>
      </c>
    </row>
    <row r="227" spans="1:5" ht="36" x14ac:dyDescent="0.2">
      <c r="A227" s="1107">
        <v>5</v>
      </c>
      <c r="B227" s="1130" t="s">
        <v>867</v>
      </c>
      <c r="C227" s="1139">
        <v>2</v>
      </c>
      <c r="D227" s="1110">
        <v>25.26</v>
      </c>
      <c r="E227" s="1128">
        <f t="shared" si="10"/>
        <v>50.52</v>
      </c>
    </row>
    <row r="228" spans="1:5" ht="12.75" customHeight="1" x14ac:dyDescent="0.2">
      <c r="A228" s="1107">
        <v>6</v>
      </c>
      <c r="B228" s="1106" t="s">
        <v>863</v>
      </c>
      <c r="C228" s="1107">
        <v>3</v>
      </c>
      <c r="D228" s="1110">
        <v>38.950000000000003</v>
      </c>
      <c r="E228" s="1128">
        <f t="shared" si="10"/>
        <v>116.85000000000001</v>
      </c>
    </row>
    <row r="229" spans="1:5" ht="12.75" customHeight="1" x14ac:dyDescent="0.2">
      <c r="A229" s="1107">
        <v>7</v>
      </c>
      <c r="B229" s="1106" t="s">
        <v>864</v>
      </c>
      <c r="C229" s="1107">
        <v>1</v>
      </c>
      <c r="D229" s="1110">
        <v>40.200000000000003</v>
      </c>
      <c r="E229" s="1128">
        <f t="shared" si="10"/>
        <v>40.200000000000003</v>
      </c>
    </row>
    <row r="230" spans="1:5" ht="12.75" customHeight="1" x14ac:dyDescent="0.2">
      <c r="A230" s="1439" t="s">
        <v>887</v>
      </c>
      <c r="B230" s="1439"/>
      <c r="C230" s="1439"/>
      <c r="D230" s="1439"/>
      <c r="E230" s="1128">
        <f>SUM(E223:E229)</f>
        <v>474.69</v>
      </c>
    </row>
    <row r="231" spans="1:5" ht="12.75" customHeight="1" x14ac:dyDescent="0.2">
      <c r="A231" s="1439" t="s">
        <v>888</v>
      </c>
      <c r="B231" s="1439"/>
      <c r="C231" s="1439"/>
      <c r="D231" s="1439"/>
      <c r="E231" s="1141">
        <f>Dados!D24</f>
        <v>2</v>
      </c>
    </row>
    <row r="232" spans="1:5" ht="12.75" customHeight="1" x14ac:dyDescent="0.2">
      <c r="A232" s="1439" t="s">
        <v>889</v>
      </c>
      <c r="B232" s="1439"/>
      <c r="C232" s="1439"/>
      <c r="D232" s="1439"/>
      <c r="E232" s="1128">
        <f>E231*E230</f>
        <v>949.38</v>
      </c>
    </row>
    <row r="233" spans="1:5" ht="12.75" customHeight="1" x14ac:dyDescent="0.2">
      <c r="A233" s="1438" t="s">
        <v>890</v>
      </c>
      <c r="B233" s="1438"/>
      <c r="C233" s="1438"/>
      <c r="D233" s="1438"/>
      <c r="E233" s="1142">
        <f>E232/12</f>
        <v>79.114999999999995</v>
      </c>
    </row>
    <row r="234" spans="1:5" ht="12.75" customHeight="1" x14ac:dyDescent="0.2">
      <c r="A234" s="1438" t="s">
        <v>891</v>
      </c>
      <c r="B234" s="1438"/>
      <c r="C234" s="1438"/>
      <c r="D234" s="1438"/>
      <c r="E234" s="1142">
        <f>E230/12</f>
        <v>39.557499999999997</v>
      </c>
    </row>
    <row r="236" spans="1:5" ht="12.75" customHeight="1" x14ac:dyDescent="0.2">
      <c r="A236" s="1440" t="s">
        <v>908</v>
      </c>
      <c r="B236" s="1440"/>
      <c r="C236" s="1440"/>
      <c r="D236" s="1440"/>
      <c r="E236" s="1440"/>
    </row>
    <row r="237" spans="1:5" ht="36" x14ac:dyDescent="0.2">
      <c r="A237" s="1107" t="s">
        <v>496</v>
      </c>
      <c r="B237" s="1107" t="s">
        <v>480</v>
      </c>
      <c r="C237" s="1107" t="s">
        <v>857</v>
      </c>
      <c r="D237" s="1108" t="s">
        <v>858</v>
      </c>
      <c r="E237" s="1108" t="s">
        <v>886</v>
      </c>
    </row>
    <row r="238" spans="1:5" ht="96" x14ac:dyDescent="0.2">
      <c r="A238" s="1107">
        <v>1</v>
      </c>
      <c r="B238" s="1106" t="s">
        <v>859</v>
      </c>
      <c r="C238" s="1107">
        <v>2</v>
      </c>
      <c r="D238" s="1109">
        <v>75.08</v>
      </c>
      <c r="E238" s="1128">
        <f>C238*D238</f>
        <v>150.16</v>
      </c>
    </row>
    <row r="239" spans="1:5" ht="12.75" customHeight="1" x14ac:dyDescent="0.2">
      <c r="A239" s="1107">
        <v>2</v>
      </c>
      <c r="B239" s="1106" t="s">
        <v>860</v>
      </c>
      <c r="C239" s="1107">
        <v>3</v>
      </c>
      <c r="D239" s="1110">
        <v>9.6300000000000008</v>
      </c>
      <c r="E239" s="1128">
        <f>C239*D239</f>
        <v>28.89</v>
      </c>
    </row>
    <row r="240" spans="1:5" ht="12.75" customHeight="1" x14ac:dyDescent="0.2">
      <c r="A240" s="1107">
        <v>3</v>
      </c>
      <c r="B240" s="1106" t="s">
        <v>861</v>
      </c>
      <c r="C240" s="1107">
        <v>1</v>
      </c>
      <c r="D240" s="1110">
        <v>82.81</v>
      </c>
      <c r="E240" s="1128">
        <f>C240*D240</f>
        <v>82.81</v>
      </c>
    </row>
    <row r="241" spans="1:5" ht="12.75" customHeight="1" x14ac:dyDescent="0.2">
      <c r="A241" s="1107">
        <v>4</v>
      </c>
      <c r="B241" s="1106" t="s">
        <v>862</v>
      </c>
      <c r="C241" s="1107">
        <v>1</v>
      </c>
      <c r="D241" s="1110">
        <v>5.26</v>
      </c>
      <c r="E241" s="1128">
        <f>C241*D241</f>
        <v>5.26</v>
      </c>
    </row>
    <row r="242" spans="1:5" ht="36" x14ac:dyDescent="0.2">
      <c r="A242" s="1107">
        <v>5</v>
      </c>
      <c r="B242" s="1130" t="s">
        <v>867</v>
      </c>
      <c r="C242" s="1139">
        <v>2</v>
      </c>
      <c r="D242" s="1110">
        <v>25.26</v>
      </c>
      <c r="E242" s="1128">
        <f>D242*C242</f>
        <v>50.52</v>
      </c>
    </row>
    <row r="243" spans="1:5" ht="24" x14ac:dyDescent="0.2">
      <c r="A243" s="1107">
        <v>6</v>
      </c>
      <c r="B243" s="1111" t="s">
        <v>877</v>
      </c>
      <c r="C243" s="1139">
        <v>1</v>
      </c>
      <c r="D243" s="1110">
        <v>35.19</v>
      </c>
      <c r="E243" s="1128">
        <f>D243*C243</f>
        <v>35.19</v>
      </c>
    </row>
    <row r="244" spans="1:5" ht="36" x14ac:dyDescent="0.2">
      <c r="A244" s="1107">
        <v>7</v>
      </c>
      <c r="B244" s="1111" t="s">
        <v>881</v>
      </c>
      <c r="C244" s="1139">
        <v>1</v>
      </c>
      <c r="D244" s="1110">
        <v>2.08</v>
      </c>
      <c r="E244" s="1128">
        <f>D244*C244</f>
        <v>2.08</v>
      </c>
    </row>
    <row r="245" spans="1:5" ht="12.75" customHeight="1" x14ac:dyDescent="0.2">
      <c r="A245" s="1107">
        <v>8</v>
      </c>
      <c r="B245" s="1111" t="s">
        <v>882</v>
      </c>
      <c r="C245" s="1139">
        <v>1</v>
      </c>
      <c r="D245" s="1110">
        <v>25.79</v>
      </c>
      <c r="E245" s="1128">
        <f>D245*C245</f>
        <v>25.79</v>
      </c>
    </row>
    <row r="246" spans="1:5" ht="24" x14ac:dyDescent="0.2">
      <c r="A246" s="1107">
        <v>9</v>
      </c>
      <c r="B246" s="1111" t="s">
        <v>883</v>
      </c>
      <c r="C246" s="1139">
        <v>1</v>
      </c>
      <c r="D246" s="1110">
        <v>93.56</v>
      </c>
      <c r="E246" s="1128">
        <f>D246*C246</f>
        <v>93.56</v>
      </c>
    </row>
    <row r="247" spans="1:5" ht="12.75" customHeight="1" x14ac:dyDescent="0.2">
      <c r="A247" s="1107">
        <v>10</v>
      </c>
      <c r="B247" s="1106" t="s">
        <v>863</v>
      </c>
      <c r="C247" s="1107">
        <v>3</v>
      </c>
      <c r="D247" s="1110">
        <v>38.950000000000003</v>
      </c>
      <c r="E247" s="1128">
        <f>C247*D247</f>
        <v>116.85000000000001</v>
      </c>
    </row>
    <row r="248" spans="1:5" ht="12.75" customHeight="1" x14ac:dyDescent="0.2">
      <c r="A248" s="1107">
        <v>11</v>
      </c>
      <c r="B248" s="1106" t="s">
        <v>864</v>
      </c>
      <c r="C248" s="1107">
        <v>1</v>
      </c>
      <c r="D248" s="1110">
        <v>40.200000000000003</v>
      </c>
      <c r="E248" s="1128">
        <f>C248*D248</f>
        <v>40.200000000000003</v>
      </c>
    </row>
    <row r="249" spans="1:5" ht="12.75" customHeight="1" x14ac:dyDescent="0.2">
      <c r="A249" s="1439" t="s">
        <v>887</v>
      </c>
      <c r="B249" s="1439"/>
      <c r="C249" s="1439"/>
      <c r="D249" s="1439"/>
      <c r="E249" s="1128">
        <f>SUM(E238:E248)</f>
        <v>631.31000000000006</v>
      </c>
    </row>
    <row r="250" spans="1:5" ht="12.75" customHeight="1" x14ac:dyDescent="0.2">
      <c r="A250" s="1439" t="s">
        <v>888</v>
      </c>
      <c r="B250" s="1439"/>
      <c r="C250" s="1439"/>
      <c r="D250" s="1439"/>
      <c r="E250" s="1141">
        <f>Dados!D25</f>
        <v>1</v>
      </c>
    </row>
    <row r="251" spans="1:5" ht="12.75" customHeight="1" x14ac:dyDescent="0.2">
      <c r="A251" s="1439" t="s">
        <v>889</v>
      </c>
      <c r="B251" s="1439"/>
      <c r="C251" s="1439"/>
      <c r="D251" s="1439"/>
      <c r="E251" s="1128">
        <f>E250*E249</f>
        <v>631.31000000000006</v>
      </c>
    </row>
    <row r="252" spans="1:5" ht="12.75" customHeight="1" x14ac:dyDescent="0.2">
      <c r="A252" s="1438" t="s">
        <v>890</v>
      </c>
      <c r="B252" s="1438"/>
      <c r="C252" s="1438"/>
      <c r="D252" s="1438"/>
      <c r="E252" s="1142">
        <f>E251/12</f>
        <v>52.609166666666674</v>
      </c>
    </row>
    <row r="253" spans="1:5" ht="12.75" customHeight="1" x14ac:dyDescent="0.2">
      <c r="A253" s="1438" t="s">
        <v>891</v>
      </c>
      <c r="B253" s="1438"/>
      <c r="C253" s="1438"/>
      <c r="D253" s="1438"/>
      <c r="E253" s="1142">
        <f>E249/12</f>
        <v>52.609166666666674</v>
      </c>
    </row>
    <row r="255" spans="1:5" ht="12.75" customHeight="1" x14ac:dyDescent="0.2">
      <c r="A255" s="1440" t="s">
        <v>909</v>
      </c>
      <c r="B255" s="1440"/>
      <c r="C255" s="1440"/>
      <c r="D255" s="1440"/>
      <c r="E255" s="1440"/>
    </row>
    <row r="256" spans="1:5" ht="36" x14ac:dyDescent="0.2">
      <c r="A256" s="1107" t="s">
        <v>496</v>
      </c>
      <c r="B256" s="1107" t="s">
        <v>480</v>
      </c>
      <c r="C256" s="1107" t="s">
        <v>857</v>
      </c>
      <c r="D256" s="1108" t="s">
        <v>858</v>
      </c>
      <c r="E256" s="1108" t="s">
        <v>886</v>
      </c>
    </row>
    <row r="257" spans="1:5" ht="96" x14ac:dyDescent="0.2">
      <c r="A257" s="1107">
        <v>1</v>
      </c>
      <c r="B257" s="1106" t="s">
        <v>859</v>
      </c>
      <c r="C257" s="1107">
        <v>2</v>
      </c>
      <c r="D257" s="1109">
        <v>75.08</v>
      </c>
      <c r="E257" s="1128">
        <f t="shared" ref="E257:E262" si="11">C257*D257</f>
        <v>150.16</v>
      </c>
    </row>
    <row r="258" spans="1:5" ht="12.75" customHeight="1" x14ac:dyDescent="0.2">
      <c r="A258" s="1107">
        <v>2</v>
      </c>
      <c r="B258" s="1106" t="s">
        <v>860</v>
      </c>
      <c r="C258" s="1107">
        <v>3</v>
      </c>
      <c r="D258" s="1109">
        <v>9.6300000000000008</v>
      </c>
      <c r="E258" s="1128">
        <f t="shared" si="11"/>
        <v>28.89</v>
      </c>
    </row>
    <row r="259" spans="1:5" ht="12.75" customHeight="1" x14ac:dyDescent="0.2">
      <c r="A259" s="1107">
        <v>3</v>
      </c>
      <c r="B259" s="1106" t="s">
        <v>861</v>
      </c>
      <c r="C259" s="1107">
        <v>1</v>
      </c>
      <c r="D259" s="1109">
        <v>82.81</v>
      </c>
      <c r="E259" s="1128">
        <f t="shared" si="11"/>
        <v>82.81</v>
      </c>
    </row>
    <row r="260" spans="1:5" ht="12.75" customHeight="1" x14ac:dyDescent="0.2">
      <c r="A260" s="1107">
        <v>4</v>
      </c>
      <c r="B260" s="1106" t="s">
        <v>862</v>
      </c>
      <c r="C260" s="1107">
        <v>1</v>
      </c>
      <c r="D260" s="1109">
        <v>5.26</v>
      </c>
      <c r="E260" s="1128">
        <f t="shared" si="11"/>
        <v>5.26</v>
      </c>
    </row>
    <row r="261" spans="1:5" ht="12.75" customHeight="1" x14ac:dyDescent="0.2">
      <c r="A261" s="1107">
        <v>5</v>
      </c>
      <c r="B261" s="1106" t="s">
        <v>863</v>
      </c>
      <c r="C261" s="1107">
        <v>3</v>
      </c>
      <c r="D261" s="1109">
        <v>38.950000000000003</v>
      </c>
      <c r="E261" s="1128">
        <f t="shared" si="11"/>
        <v>116.85000000000001</v>
      </c>
    </row>
    <row r="262" spans="1:5" ht="12.75" customHeight="1" x14ac:dyDescent="0.2">
      <c r="A262" s="1107">
        <v>6</v>
      </c>
      <c r="B262" s="1106" t="s">
        <v>864</v>
      </c>
      <c r="C262" s="1107">
        <v>1</v>
      </c>
      <c r="D262" s="1109">
        <v>40.200000000000003</v>
      </c>
      <c r="E262" s="1128">
        <f t="shared" si="11"/>
        <v>40.200000000000003</v>
      </c>
    </row>
    <row r="263" spans="1:5" ht="12.75" customHeight="1" x14ac:dyDescent="0.2">
      <c r="A263" s="1439" t="s">
        <v>887</v>
      </c>
      <c r="B263" s="1439"/>
      <c r="C263" s="1439"/>
      <c r="D263" s="1439"/>
      <c r="E263" s="1128">
        <f>SUM(E257:E262)</f>
        <v>424.17</v>
      </c>
    </row>
    <row r="264" spans="1:5" ht="12.75" customHeight="1" x14ac:dyDescent="0.2">
      <c r="A264" s="1439" t="s">
        <v>888</v>
      </c>
      <c r="B264" s="1439"/>
      <c r="C264" s="1439"/>
      <c r="D264" s="1439"/>
      <c r="E264" s="1141">
        <f>Dados!D26</f>
        <v>2</v>
      </c>
    </row>
    <row r="265" spans="1:5" ht="12.75" customHeight="1" x14ac:dyDescent="0.2">
      <c r="A265" s="1439" t="s">
        <v>889</v>
      </c>
      <c r="B265" s="1439"/>
      <c r="C265" s="1439"/>
      <c r="D265" s="1439"/>
      <c r="E265" s="1128">
        <f>E264*E263</f>
        <v>848.34</v>
      </c>
    </row>
    <row r="266" spans="1:5" ht="12.75" customHeight="1" x14ac:dyDescent="0.2">
      <c r="A266" s="1438" t="s">
        <v>890</v>
      </c>
      <c r="B266" s="1438"/>
      <c r="C266" s="1438"/>
      <c r="D266" s="1438"/>
      <c r="E266" s="1142">
        <f>E265/12</f>
        <v>70.695000000000007</v>
      </c>
    </row>
    <row r="267" spans="1:5" ht="12.75" customHeight="1" x14ac:dyDescent="0.2">
      <c r="A267" s="1438" t="s">
        <v>891</v>
      </c>
      <c r="B267" s="1438"/>
      <c r="C267" s="1438"/>
      <c r="D267" s="1438"/>
      <c r="E267" s="1142">
        <f>E263/12</f>
        <v>35.347500000000004</v>
      </c>
    </row>
  </sheetData>
  <sheetProtection sheet="1" objects="1" scenarios="1"/>
  <protectedRanges>
    <protectedRange sqref="D66:D77 D124:D132 D10:D15 D106:D115 D257:D262 D141:D149 D158:D163 D172:D177 D24:D29 D38:D43 D52:D57 D186:D196 D205:D214 D86:D97 D223:D229 D238:D248" name="Intervalo1"/>
  </protectedRanges>
  <mergeCells count="98">
    <mergeCell ref="A5:E5"/>
    <mergeCell ref="A6:E6"/>
    <mergeCell ref="A8:E8"/>
    <mergeCell ref="A22:E22"/>
    <mergeCell ref="A16:D16"/>
    <mergeCell ref="A17:D17"/>
    <mergeCell ref="A18:D18"/>
    <mergeCell ref="A19:D19"/>
    <mergeCell ref="A20:D20"/>
    <mergeCell ref="A47:D47"/>
    <mergeCell ref="A48:D48"/>
    <mergeCell ref="A30:D30"/>
    <mergeCell ref="A31:D31"/>
    <mergeCell ref="A32:D32"/>
    <mergeCell ref="A33:D33"/>
    <mergeCell ref="A34:D34"/>
    <mergeCell ref="A58:D58"/>
    <mergeCell ref="A59:D59"/>
    <mergeCell ref="A60:D60"/>
    <mergeCell ref="A61:D61"/>
    <mergeCell ref="A62:D62"/>
    <mergeCell ref="A36:E36"/>
    <mergeCell ref="A50:E50"/>
    <mergeCell ref="A44:D44"/>
    <mergeCell ref="A45:D45"/>
    <mergeCell ref="A46:D46"/>
    <mergeCell ref="A64:E64"/>
    <mergeCell ref="A82:D82"/>
    <mergeCell ref="A84:E84"/>
    <mergeCell ref="A78:D78"/>
    <mergeCell ref="A79:D79"/>
    <mergeCell ref="A80:D80"/>
    <mergeCell ref="A81:D81"/>
    <mergeCell ref="A104:E104"/>
    <mergeCell ref="A98:D98"/>
    <mergeCell ref="A99:D99"/>
    <mergeCell ref="A100:D100"/>
    <mergeCell ref="A101:D101"/>
    <mergeCell ref="A102:D102"/>
    <mergeCell ref="A122:E122"/>
    <mergeCell ref="A116:D116"/>
    <mergeCell ref="A117:D117"/>
    <mergeCell ref="A118:D118"/>
    <mergeCell ref="A119:D119"/>
    <mergeCell ref="A120:D120"/>
    <mergeCell ref="A139:E139"/>
    <mergeCell ref="A133:D133"/>
    <mergeCell ref="A134:D134"/>
    <mergeCell ref="A135:D135"/>
    <mergeCell ref="A136:D136"/>
    <mergeCell ref="A137:D137"/>
    <mergeCell ref="A156:E156"/>
    <mergeCell ref="A150:D150"/>
    <mergeCell ref="A151:D151"/>
    <mergeCell ref="A152:D152"/>
    <mergeCell ref="A153:D153"/>
    <mergeCell ref="A154:D154"/>
    <mergeCell ref="A178:D178"/>
    <mergeCell ref="A179:D179"/>
    <mergeCell ref="A168:D168"/>
    <mergeCell ref="A166:D166"/>
    <mergeCell ref="A167:D167"/>
    <mergeCell ref="A164:D164"/>
    <mergeCell ref="A165:D165"/>
    <mergeCell ref="A201:D201"/>
    <mergeCell ref="A199:D199"/>
    <mergeCell ref="A200:D200"/>
    <mergeCell ref="A197:D197"/>
    <mergeCell ref="A198:D198"/>
    <mergeCell ref="A170:E170"/>
    <mergeCell ref="A184:E184"/>
    <mergeCell ref="A182:D182"/>
    <mergeCell ref="A180:D180"/>
    <mergeCell ref="A181:D181"/>
    <mergeCell ref="A217:D217"/>
    <mergeCell ref="A218:D218"/>
    <mergeCell ref="A219:D219"/>
    <mergeCell ref="A221:E221"/>
    <mergeCell ref="A232:D232"/>
    <mergeCell ref="A203:E203"/>
    <mergeCell ref="A215:D215"/>
    <mergeCell ref="A216:D216"/>
    <mergeCell ref="A252:D252"/>
    <mergeCell ref="A233:D233"/>
    <mergeCell ref="A231:D231"/>
    <mergeCell ref="A230:D230"/>
    <mergeCell ref="A234:D234"/>
    <mergeCell ref="A236:E236"/>
    <mergeCell ref="A267:D267"/>
    <mergeCell ref="A265:D265"/>
    <mergeCell ref="A266:D266"/>
    <mergeCell ref="A263:D263"/>
    <mergeCell ref="A264:D264"/>
    <mergeCell ref="A249:D249"/>
    <mergeCell ref="A250:D250"/>
    <mergeCell ref="A255:E255"/>
    <mergeCell ref="A253:D253"/>
    <mergeCell ref="A251:D251"/>
  </mergeCells>
  <conditionalFormatting sqref="B210">
    <cfRule type="duplicateValues" dxfId="2" priority="3"/>
  </conditionalFormatting>
  <conditionalFormatting sqref="B227">
    <cfRule type="duplicateValues" dxfId="1" priority="2"/>
  </conditionalFormatting>
  <conditionalFormatting sqref="B242">
    <cfRule type="duplicateValues" dxfId="0" priority="1"/>
  </conditionalFormatting>
  <printOptions horizontalCentered="1"/>
  <pageMargins left="0.196527777777778" right="0.196527777777778" top="0.65902777777777799" bottom="0.65902777777777799" header="0.39374999999999999" footer="0.39374999999999999"/>
  <pageSetup paperSize="9" scale="13" orientation="portrait" r:id="rId1"/>
  <headerFooter>
    <oddHeader>&amp;C&amp;12&amp;A</oddHeader>
    <oddFooter>&amp;C&amp;12Página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186E-A13D-4C8F-8F30-C174289F4A57}">
  <sheetPr>
    <tabColor rgb="FF00B0F0"/>
    <pageSetUpPr fitToPage="1"/>
  </sheetPr>
  <dimension ref="A1:K59"/>
  <sheetViews>
    <sheetView showGridLines="0" view="pageBreakPreview" zoomScaleNormal="100" zoomScaleSheetLayoutView="100" workbookViewId="0">
      <selection activeCell="H29" sqref="H29"/>
    </sheetView>
  </sheetViews>
  <sheetFormatPr defaultColWidth="8.6640625" defaultRowHeight="14.25" customHeight="1" x14ac:dyDescent="0.2"/>
  <cols>
    <col min="1" max="1" width="6.1640625" style="317" customWidth="1"/>
    <col min="2" max="2" width="7" style="318" customWidth="1"/>
    <col min="3" max="3" width="68.1640625" style="318" bestFit="1" customWidth="1"/>
    <col min="4" max="4" width="9.6640625" style="318" customWidth="1"/>
    <col min="5" max="5" width="16.33203125" style="318" customWidth="1"/>
    <col min="6" max="6" width="10.33203125" style="318" customWidth="1"/>
    <col min="7" max="7" width="12.83203125" style="317" customWidth="1"/>
    <col min="8" max="8" width="12.1640625" style="318" customWidth="1"/>
    <col min="9" max="9" width="19.1640625" style="318" bestFit="1" customWidth="1"/>
    <col min="10" max="10" width="13.83203125" style="318" customWidth="1"/>
    <col min="11" max="11" width="15" style="318" customWidth="1"/>
    <col min="12" max="12" width="3.33203125" style="318" customWidth="1"/>
    <col min="13" max="16384" width="8.6640625" style="318"/>
  </cols>
  <sheetData>
    <row r="1" spans="2:11" ht="15" x14ac:dyDescent="0.2">
      <c r="B1" s="317"/>
      <c r="C1" s="317"/>
      <c r="D1" s="317"/>
      <c r="E1" s="317"/>
      <c r="F1" s="317"/>
      <c r="H1" s="317"/>
    </row>
    <row r="2" spans="2:11" ht="9.75" customHeight="1" x14ac:dyDescent="0.2">
      <c r="B2" s="319"/>
      <c r="C2" s="320"/>
      <c r="D2" s="320"/>
      <c r="E2" s="320"/>
      <c r="F2" s="320"/>
      <c r="G2" s="320"/>
      <c r="H2" s="321"/>
      <c r="I2" s="321"/>
      <c r="J2" s="321"/>
      <c r="K2" s="322"/>
    </row>
    <row r="3" spans="2:11" ht="15" x14ac:dyDescent="0.2">
      <c r="B3" s="323"/>
      <c r="C3" s="317"/>
      <c r="D3" s="742" t="s">
        <v>120</v>
      </c>
      <c r="E3" s="740"/>
      <c r="F3" s="740"/>
      <c r="G3" s="740"/>
      <c r="H3" s="740"/>
      <c r="I3" s="740"/>
      <c r="J3" s="740"/>
      <c r="K3" s="741"/>
    </row>
    <row r="4" spans="2:11" ht="15" x14ac:dyDescent="0.2">
      <c r="B4" s="323"/>
      <c r="C4" s="317"/>
      <c r="D4" s="317" t="s">
        <v>121</v>
      </c>
      <c r="E4" s="738"/>
      <c r="F4" s="738"/>
      <c r="G4" s="738"/>
      <c r="H4" s="738"/>
      <c r="I4" s="738"/>
      <c r="J4" s="738"/>
      <c r="K4" s="739"/>
    </row>
    <row r="5" spans="2:11" ht="15" x14ac:dyDescent="0.2">
      <c r="B5" s="323"/>
      <c r="C5" s="317"/>
      <c r="D5" s="317" t="s">
        <v>122</v>
      </c>
      <c r="E5" s="738"/>
      <c r="F5" s="738"/>
      <c r="G5" s="738"/>
      <c r="H5" s="738"/>
      <c r="I5" s="738"/>
      <c r="J5" s="738"/>
      <c r="K5" s="739"/>
    </row>
    <row r="6" spans="2:11" ht="15" x14ac:dyDescent="0.2">
      <c r="B6" s="323"/>
      <c r="C6" s="317"/>
      <c r="D6" s="317" t="s">
        <v>123</v>
      </c>
      <c r="E6" s="738"/>
      <c r="F6" s="738"/>
      <c r="G6" s="738"/>
      <c r="H6" s="738"/>
      <c r="I6" s="738"/>
      <c r="J6" s="738"/>
      <c r="K6" s="739"/>
    </row>
    <row r="7" spans="2:11" ht="9.75" customHeight="1" x14ac:dyDescent="0.2">
      <c r="B7" s="323"/>
      <c r="C7" s="317"/>
      <c r="D7" s="317"/>
      <c r="E7" s="737"/>
      <c r="F7" s="737"/>
      <c r="K7" s="324"/>
    </row>
    <row r="8" spans="2:11" ht="16.5" customHeight="1" x14ac:dyDescent="0.2">
      <c r="B8" s="1444" t="s">
        <v>910</v>
      </c>
      <c r="C8" s="1445"/>
      <c r="D8" s="1445"/>
      <c r="E8" s="1445"/>
      <c r="F8" s="1445"/>
      <c r="G8" s="1445"/>
      <c r="H8" s="1445"/>
      <c r="I8" s="1445"/>
      <c r="J8" s="1445"/>
      <c r="K8" s="1446"/>
    </row>
    <row r="9" spans="2:11" ht="16.5" customHeight="1" x14ac:dyDescent="0.2">
      <c r="B9" s="1444" t="s">
        <v>911</v>
      </c>
      <c r="C9" s="1445"/>
      <c r="D9" s="1445"/>
      <c r="E9" s="1445"/>
      <c r="F9" s="1445"/>
      <c r="G9" s="1445"/>
      <c r="H9" s="1445"/>
      <c r="I9" s="1445"/>
      <c r="J9" s="1445"/>
      <c r="K9" s="1446"/>
    </row>
    <row r="10" spans="2:11" ht="15.75" customHeight="1" x14ac:dyDescent="0.2">
      <c r="B10" s="1447" t="str">
        <f>'Resumo_1.2'!B21</f>
        <v>DATA BASE: DATA DE APRESENTAÇÃO DA PROPOSTA</v>
      </c>
      <c r="C10" s="1448"/>
      <c r="D10" s="1448"/>
      <c r="E10" s="1448"/>
      <c r="F10" s="1448"/>
      <c r="G10" s="1448"/>
      <c r="H10" s="1448"/>
      <c r="I10" s="1448"/>
      <c r="J10" s="1448"/>
      <c r="K10" s="1449"/>
    </row>
    <row r="11" spans="2:11" ht="67.150000000000006" customHeight="1" x14ac:dyDescent="0.2">
      <c r="B11" s="325" t="s">
        <v>912</v>
      </c>
      <c r="C11" s="1450" t="str">
        <f>'Resumo_1.2'!B23</f>
        <v>Contratação de empresa especializada em Engenharia para prestação de serviços contínuos de manutenção predial preventiva, corretiva e preditiva, incluindo pequenas adaptações e reformas, por meio de postos de trabalhos, com fornecimento de ferramentas, insumos, peças, equipamentos, EPIs e materiais de reposição, assim como para realização de serviços eventuais, nos sistemas, equipamentos e instalações prediais nos imóveis ocupados pelo Tribunal Regional Federal da 6ª Região e pela Seção Judiciária de Primeiro Grau situados em Belo Horizonte/MG.</v>
      </c>
      <c r="D11" s="1450"/>
      <c r="E11" s="1450"/>
      <c r="F11" s="1450"/>
      <c r="G11" s="1450"/>
      <c r="H11" s="1450"/>
      <c r="I11" s="1450"/>
      <c r="J11" s="1450"/>
      <c r="K11" s="1450"/>
    </row>
    <row r="12" spans="2:11" ht="9.75" customHeight="1" x14ac:dyDescent="0.2">
      <c r="G12" s="318"/>
    </row>
    <row r="13" spans="2:11" ht="15" x14ac:dyDescent="0.2">
      <c r="B13" s="1451" t="s">
        <v>913</v>
      </c>
      <c r="C13" s="1452"/>
      <c r="D13" s="1452"/>
      <c r="E13" s="1452"/>
      <c r="F13" s="1452"/>
      <c r="G13" s="1452"/>
      <c r="H13" s="1452"/>
      <c r="I13" s="1452"/>
      <c r="J13" s="1452"/>
      <c r="K13" s="1453"/>
    </row>
    <row r="14" spans="2:11" ht="9.75" customHeight="1" x14ac:dyDescent="0.2">
      <c r="B14" s="317"/>
      <c r="C14" s="317"/>
      <c r="D14" s="317"/>
      <c r="E14" s="317"/>
      <c r="F14" s="317"/>
    </row>
    <row r="15" spans="2:11" ht="30" x14ac:dyDescent="0.2">
      <c r="B15" s="326" t="s">
        <v>496</v>
      </c>
      <c r="C15" s="327" t="s">
        <v>325</v>
      </c>
      <c r="D15" s="327" t="s">
        <v>914</v>
      </c>
      <c r="E15" s="328" t="s">
        <v>915</v>
      </c>
      <c r="F15" s="1454" t="s">
        <v>916</v>
      </c>
      <c r="G15" s="1454"/>
      <c r="H15" s="1454"/>
      <c r="I15" s="1454"/>
      <c r="J15" s="1454"/>
      <c r="K15" s="1454"/>
    </row>
    <row r="16" spans="2:11" ht="42.75" customHeight="1" x14ac:dyDescent="0.2">
      <c r="B16" s="814" t="s">
        <v>93</v>
      </c>
      <c r="C16" s="815" t="s">
        <v>917</v>
      </c>
      <c r="D16" s="816">
        <f>E16/$E$17</f>
        <v>1</v>
      </c>
      <c r="E16" s="817">
        <f>K37</f>
        <v>296998.83</v>
      </c>
      <c r="F16" s="1455" t="s">
        <v>918</v>
      </c>
      <c r="G16" s="1455"/>
      <c r="H16" s="1455"/>
      <c r="I16" s="1455"/>
      <c r="J16" s="1455"/>
      <c r="K16" s="1455"/>
    </row>
    <row r="17" spans="2:11" ht="27.75" customHeight="1" x14ac:dyDescent="0.2">
      <c r="B17" s="329" t="s">
        <v>334</v>
      </c>
      <c r="C17" s="329" t="s">
        <v>919</v>
      </c>
      <c r="D17" s="330">
        <f>SUM(D16)</f>
        <v>1</v>
      </c>
      <c r="E17" s="331">
        <f>SUM(E16)</f>
        <v>296998.83</v>
      </c>
      <c r="F17" s="1443" t="s">
        <v>920</v>
      </c>
      <c r="G17" s="1443"/>
      <c r="H17" s="1443"/>
      <c r="I17" s="1443"/>
      <c r="J17" s="1443"/>
      <c r="K17" s="1443"/>
    </row>
    <row r="18" spans="2:11" ht="15.75" thickBot="1" x14ac:dyDescent="0.25">
      <c r="B18" s="317"/>
      <c r="C18" s="317"/>
      <c r="D18" s="317"/>
      <c r="E18" s="317"/>
      <c r="F18" s="317"/>
    </row>
    <row r="19" spans="2:11" ht="19.5" thickBot="1" x14ac:dyDescent="0.25">
      <c r="B19" s="1460" t="str">
        <f>'Resumo_1.2'!B8</f>
        <v>ANEXO II-1.2 – PLANILHA DE CUSTOS E FORMAÇÃO DE PREÇOS DO LICITANTE – APOIO OPERACIONAL E LOGÍSTICO</v>
      </c>
      <c r="C19" s="1460"/>
      <c r="D19" s="1460"/>
      <c r="E19" s="1460"/>
      <c r="F19" s="1460"/>
      <c r="G19" s="1460"/>
      <c r="H19" s="1460"/>
      <c r="I19" s="1460"/>
      <c r="J19" s="1460"/>
      <c r="K19" s="1460"/>
    </row>
    <row r="20" spans="2:11" ht="19.5" thickBot="1" x14ac:dyDescent="0.25">
      <c r="B20" s="1460" t="s">
        <v>921</v>
      </c>
      <c r="C20" s="1460"/>
      <c r="D20" s="1460"/>
      <c r="E20" s="1460"/>
      <c r="F20" s="1460"/>
      <c r="G20" s="1460"/>
      <c r="H20" s="1460"/>
      <c r="I20" s="1460"/>
      <c r="J20" s="1460"/>
      <c r="K20" s="1460"/>
    </row>
    <row r="21" spans="2:11" ht="15.6" customHeight="1" x14ac:dyDescent="0.2">
      <c r="B21" s="1461" t="s">
        <v>922</v>
      </c>
      <c r="C21" s="1461"/>
      <c r="D21" s="332"/>
      <c r="E21" s="332"/>
      <c r="F21" s="333"/>
      <c r="G21" s="333"/>
      <c r="H21" s="333"/>
      <c r="I21" s="333"/>
      <c r="J21" s="860" t="s">
        <v>89</v>
      </c>
      <c r="K21" s="854">
        <f>'BDI Diferenciado 1.2 E 1.3'!H25</f>
        <v>0.14960000000000001</v>
      </c>
    </row>
    <row r="22" spans="2:11" ht="15.75" x14ac:dyDescent="0.2">
      <c r="B22" s="1462" t="s">
        <v>923</v>
      </c>
      <c r="C22" s="1462"/>
      <c r="D22" s="855"/>
      <c r="E22" s="855"/>
      <c r="F22" s="856"/>
      <c r="G22" s="856"/>
      <c r="H22" s="856"/>
      <c r="I22" s="856"/>
      <c r="J22" s="861" t="s">
        <v>924</v>
      </c>
      <c r="K22" s="857">
        <v>24</v>
      </c>
    </row>
    <row r="23" spans="2:11" ht="14.25" customHeight="1" x14ac:dyDescent="0.2">
      <c r="B23" s="1463" t="s">
        <v>925</v>
      </c>
      <c r="C23" s="1463"/>
      <c r="D23" s="1463"/>
      <c r="E23" s="1463"/>
      <c r="F23" s="1463"/>
      <c r="G23" s="1463"/>
      <c r="H23" s="1463"/>
      <c r="I23" s="1463"/>
      <c r="J23" s="862"/>
      <c r="K23" s="858"/>
    </row>
    <row r="24" spans="2:11" ht="21.75" customHeight="1" x14ac:dyDescent="0.2">
      <c r="B24" s="1463"/>
      <c r="C24" s="1463"/>
      <c r="D24" s="1463"/>
      <c r="E24" s="1463"/>
      <c r="F24" s="1463"/>
      <c r="G24" s="1463"/>
      <c r="H24" s="1463"/>
      <c r="I24" s="1463"/>
      <c r="J24" s="862"/>
      <c r="K24" s="858"/>
    </row>
    <row r="25" spans="2:11" ht="21.75" customHeight="1" thickBot="1" x14ac:dyDescent="0.25">
      <c r="B25" s="1464"/>
      <c r="C25" s="1464"/>
      <c r="D25" s="1464"/>
      <c r="E25" s="1464"/>
      <c r="F25" s="1464"/>
      <c r="G25" s="1464"/>
      <c r="H25" s="1464"/>
      <c r="I25" s="1464"/>
      <c r="J25" s="863"/>
      <c r="K25" s="859"/>
    </row>
    <row r="26" spans="2:11" ht="39" customHeight="1" x14ac:dyDescent="0.2">
      <c r="B26" s="334" t="s">
        <v>496</v>
      </c>
      <c r="C26" s="335" t="s">
        <v>926</v>
      </c>
      <c r="D26" s="336" t="s">
        <v>927</v>
      </c>
      <c r="E26" s="336" t="s">
        <v>928</v>
      </c>
      <c r="F26" s="336" t="s">
        <v>929</v>
      </c>
      <c r="G26" s="336" t="s">
        <v>930</v>
      </c>
      <c r="H26" s="337" t="s">
        <v>931</v>
      </c>
      <c r="I26" s="337" t="s">
        <v>932</v>
      </c>
      <c r="J26" s="338" t="s">
        <v>933</v>
      </c>
      <c r="K26" s="339" t="s">
        <v>934</v>
      </c>
    </row>
    <row r="27" spans="2:11" ht="14.25" customHeight="1" x14ac:dyDescent="0.2">
      <c r="B27" s="340" t="s">
        <v>93</v>
      </c>
      <c r="C27" s="341" t="s">
        <v>917</v>
      </c>
      <c r="D27" s="342"/>
      <c r="E27" s="342"/>
      <c r="F27" s="343"/>
      <c r="G27" s="343"/>
      <c r="H27" s="343"/>
      <c r="I27" s="344"/>
      <c r="J27" s="344"/>
      <c r="K27" s="345"/>
    </row>
    <row r="28" spans="2:11" ht="25.5" x14ac:dyDescent="0.2">
      <c r="B28" s="346" t="s">
        <v>935</v>
      </c>
      <c r="C28" s="347" t="s">
        <v>936</v>
      </c>
      <c r="D28" s="342" t="s">
        <v>937</v>
      </c>
      <c r="E28" s="342" t="s">
        <v>729</v>
      </c>
      <c r="F28" s="343" t="s">
        <v>938</v>
      </c>
      <c r="G28" s="343">
        <v>24</v>
      </c>
      <c r="H28" s="703">
        <f>'CPUs 1.2'!R27</f>
        <v>2056</v>
      </c>
      <c r="I28" s="703">
        <f t="shared" ref="I28:I35" si="0">H28*(1+$K$21)</f>
        <v>2363.5776000000001</v>
      </c>
      <c r="J28" s="703">
        <f t="shared" ref="J28:J35" si="1">G28*I28/2</f>
        <v>28362.931199999999</v>
      </c>
      <c r="K28" s="704">
        <f t="shared" ref="K28:K35" si="2">TRUNC(G28*I28,2)</f>
        <v>56725.86</v>
      </c>
    </row>
    <row r="29" spans="2:11" ht="14.25" customHeight="1" x14ac:dyDescent="0.2">
      <c r="B29" s="346" t="s">
        <v>939</v>
      </c>
      <c r="C29" s="347" t="s">
        <v>940</v>
      </c>
      <c r="D29" s="342" t="s">
        <v>941</v>
      </c>
      <c r="E29" s="342" t="s">
        <v>942</v>
      </c>
      <c r="F29" s="343" t="s">
        <v>938</v>
      </c>
      <c r="G29" s="343">
        <v>24</v>
      </c>
      <c r="H29" s="703">
        <f>'CPUs 1.2'!R58</f>
        <v>161.26999999999998</v>
      </c>
      <c r="I29" s="703">
        <f t="shared" si="0"/>
        <v>185.39599199999998</v>
      </c>
      <c r="J29" s="703">
        <f t="shared" si="1"/>
        <v>2224.7519039999997</v>
      </c>
      <c r="K29" s="704">
        <f t="shared" si="2"/>
        <v>4449.5</v>
      </c>
    </row>
    <row r="30" spans="2:11" ht="14.25" customHeight="1" x14ac:dyDescent="0.2">
      <c r="B30" s="346" t="s">
        <v>943</v>
      </c>
      <c r="C30" s="347" t="s">
        <v>944</v>
      </c>
      <c r="D30" s="342" t="s">
        <v>945</v>
      </c>
      <c r="E30" s="342" t="s">
        <v>946</v>
      </c>
      <c r="F30" s="343" t="s">
        <v>938</v>
      </c>
      <c r="G30" s="343">
        <v>24</v>
      </c>
      <c r="H30" s="703">
        <f>'CPUs 1.2'!R78</f>
        <v>229.93</v>
      </c>
      <c r="I30" s="703">
        <f t="shared" si="0"/>
        <v>264.32752799999997</v>
      </c>
      <c r="J30" s="703">
        <f t="shared" si="1"/>
        <v>3171.9303359999994</v>
      </c>
      <c r="K30" s="704">
        <f t="shared" si="2"/>
        <v>6343.86</v>
      </c>
    </row>
    <row r="31" spans="2:11" ht="14.25" customHeight="1" x14ac:dyDescent="0.2">
      <c r="B31" s="346" t="s">
        <v>947</v>
      </c>
      <c r="C31" s="347" t="s">
        <v>948</v>
      </c>
      <c r="D31" s="342" t="s">
        <v>949</v>
      </c>
      <c r="E31" s="342" t="s">
        <v>946</v>
      </c>
      <c r="F31" s="343" t="s">
        <v>938</v>
      </c>
      <c r="G31" s="343">
        <v>24</v>
      </c>
      <c r="H31" s="703">
        <f>'CPUs 1.2'!R99</f>
        <v>465.56</v>
      </c>
      <c r="I31" s="703">
        <f t="shared" si="0"/>
        <v>535.20777599999997</v>
      </c>
      <c r="J31" s="703">
        <f t="shared" si="1"/>
        <v>6422.4933119999996</v>
      </c>
      <c r="K31" s="704">
        <f t="shared" si="2"/>
        <v>12844.98</v>
      </c>
    </row>
    <row r="32" spans="2:11" ht="26.25" customHeight="1" x14ac:dyDescent="0.2">
      <c r="B32" s="346" t="s">
        <v>950</v>
      </c>
      <c r="C32" s="705" t="s">
        <v>951</v>
      </c>
      <c r="D32" s="342" t="s">
        <v>952</v>
      </c>
      <c r="E32" s="342" t="s">
        <v>946</v>
      </c>
      <c r="F32" s="343" t="s">
        <v>938</v>
      </c>
      <c r="G32" s="343">
        <v>24</v>
      </c>
      <c r="H32" s="703">
        <f>'CPUs 1.2'!R117</f>
        <v>30</v>
      </c>
      <c r="I32" s="703">
        <f t="shared" si="0"/>
        <v>34.488</v>
      </c>
      <c r="J32" s="703">
        <f t="shared" si="1"/>
        <v>413.85599999999999</v>
      </c>
      <c r="K32" s="704">
        <f t="shared" si="2"/>
        <v>827.71</v>
      </c>
    </row>
    <row r="33" spans="2:11" ht="14.25" customHeight="1" x14ac:dyDescent="0.2">
      <c r="B33" s="346" t="s">
        <v>953</v>
      </c>
      <c r="C33" s="347" t="s">
        <v>954</v>
      </c>
      <c r="D33" s="342" t="s">
        <v>955</v>
      </c>
      <c r="E33" s="342" t="s">
        <v>956</v>
      </c>
      <c r="F33" s="343" t="str">
        <f>'CPUs 1.2'!Q125</f>
        <v>unidade</v>
      </c>
      <c r="G33" s="343">
        <v>2</v>
      </c>
      <c r="H33" s="703">
        <f>'CPUs 1.2'!R136</f>
        <v>271.47000000000003</v>
      </c>
      <c r="I33" s="703">
        <f t="shared" si="0"/>
        <v>312.08191200000005</v>
      </c>
      <c r="J33" s="703">
        <f t="shared" si="1"/>
        <v>312.08191200000005</v>
      </c>
      <c r="K33" s="704">
        <f t="shared" si="2"/>
        <v>624.16</v>
      </c>
    </row>
    <row r="34" spans="2:11" ht="42" customHeight="1" x14ac:dyDescent="0.2">
      <c r="B34" s="346" t="s">
        <v>957</v>
      </c>
      <c r="C34" s="705" t="s">
        <v>958</v>
      </c>
      <c r="D34" s="342" t="s">
        <v>959</v>
      </c>
      <c r="E34" s="342" t="s">
        <v>729</v>
      </c>
      <c r="F34" s="343" t="str">
        <f>'CPUs 1.2'!Q144</f>
        <v>un. x mês</v>
      </c>
      <c r="G34" s="343">
        <f>24*4</f>
        <v>96</v>
      </c>
      <c r="H34" s="703">
        <f>'CPUs 1.2'!R161</f>
        <v>1856.26</v>
      </c>
      <c r="I34" s="703">
        <f t="shared" si="0"/>
        <v>2133.9564959999998</v>
      </c>
      <c r="J34" s="703">
        <f t="shared" si="1"/>
        <v>102429.91180799999</v>
      </c>
      <c r="K34" s="704">
        <f t="shared" si="2"/>
        <v>204859.82</v>
      </c>
    </row>
    <row r="35" spans="2:11" ht="14.25" customHeight="1" x14ac:dyDescent="0.2">
      <c r="B35" s="346" t="s">
        <v>960</v>
      </c>
      <c r="C35" s="347" t="s">
        <v>961</v>
      </c>
      <c r="D35" s="342" t="s">
        <v>962</v>
      </c>
      <c r="E35" s="342" t="s">
        <v>963</v>
      </c>
      <c r="F35" s="343" t="s">
        <v>964</v>
      </c>
      <c r="G35" s="343">
        <v>24</v>
      </c>
      <c r="H35" s="703">
        <f>'CPUs 1.2'!R184</f>
        <v>374.15</v>
      </c>
      <c r="I35" s="703">
        <f t="shared" si="0"/>
        <v>430.12283999999994</v>
      </c>
      <c r="J35" s="703">
        <f t="shared" si="1"/>
        <v>5161.474079999999</v>
      </c>
      <c r="K35" s="704">
        <f t="shared" si="2"/>
        <v>10322.94</v>
      </c>
    </row>
    <row r="36" spans="2:11" ht="14.25" customHeight="1" x14ac:dyDescent="0.2">
      <c r="B36" s="348"/>
      <c r="C36" s="347"/>
      <c r="D36" s="342"/>
      <c r="E36" s="342"/>
      <c r="F36" s="343"/>
      <c r="G36" s="343"/>
      <c r="H36" s="343"/>
      <c r="I36" s="349"/>
      <c r="J36" s="349"/>
      <c r="K36" s="350"/>
    </row>
    <row r="37" spans="2:11" ht="14.25" customHeight="1" thickBot="1" x14ac:dyDescent="0.25">
      <c r="B37" s="1465" t="s">
        <v>965</v>
      </c>
      <c r="C37" s="1465"/>
      <c r="D37" s="1465"/>
      <c r="E37" s="1465"/>
      <c r="F37" s="1465"/>
      <c r="G37" s="1465"/>
      <c r="H37" s="351"/>
      <c r="I37" s="352"/>
      <c r="J37" s="352">
        <f>ROUND(SUM(J28:J36),2)</f>
        <v>148499.43</v>
      </c>
      <c r="K37" s="353">
        <f>SUM(K28:K36)</f>
        <v>296998.83</v>
      </c>
    </row>
    <row r="38" spans="2:11" ht="14.25" customHeight="1" thickBot="1" x14ac:dyDescent="0.25">
      <c r="B38" s="1456" t="s">
        <v>966</v>
      </c>
      <c r="C38" s="1456"/>
      <c r="D38" s="1456"/>
      <c r="E38" s="1456"/>
      <c r="F38" s="1456"/>
      <c r="G38" s="1456"/>
      <c r="H38" s="1456"/>
      <c r="I38" s="1456"/>
      <c r="J38" s="354"/>
      <c r="K38" s="699">
        <f>SUBTOTAL(9,K27:K36)</f>
        <v>296998.83</v>
      </c>
    </row>
    <row r="39" spans="2:11" ht="14.25" customHeight="1" x14ac:dyDescent="0.2">
      <c r="B39" s="355"/>
      <c r="C39" s="355"/>
      <c r="D39" s="355"/>
      <c r="E39" s="355"/>
      <c r="F39" s="356"/>
      <c r="G39" s="356"/>
      <c r="H39" s="356"/>
      <c r="I39" s="357"/>
      <c r="J39" s="357"/>
      <c r="K39" s="358"/>
    </row>
    <row r="40" spans="2:11" ht="14.25" customHeight="1" x14ac:dyDescent="0.2">
      <c r="B40" s="355"/>
      <c r="C40" s="355" t="s">
        <v>137</v>
      </c>
      <c r="D40" s="355"/>
      <c r="E40" s="355"/>
      <c r="F40" s="356"/>
      <c r="G40" s="356"/>
      <c r="H40" s="356"/>
      <c r="I40" s="359"/>
      <c r="J40" s="359"/>
      <c r="K40" s="360"/>
    </row>
    <row r="41" spans="2:11" ht="26.25" customHeight="1" x14ac:dyDescent="0.2">
      <c r="B41" s="355"/>
      <c r="C41" s="355" t="s">
        <v>967</v>
      </c>
      <c r="D41" s="361"/>
      <c r="E41" s="355"/>
      <c r="F41" s="356"/>
      <c r="G41" s="356"/>
      <c r="H41" s="356"/>
      <c r="I41" s="359"/>
      <c r="J41" s="359"/>
      <c r="K41" s="362"/>
    </row>
    <row r="43" spans="2:11" ht="14.25" customHeight="1" x14ac:dyDescent="0.2">
      <c r="B43" s="1457" t="s">
        <v>968</v>
      </c>
      <c r="C43" s="1458"/>
      <c r="D43" s="1458"/>
      <c r="E43" s="1458"/>
      <c r="F43" s="1458"/>
      <c r="G43" s="1458"/>
      <c r="H43" s="1458"/>
      <c r="I43" s="1458"/>
      <c r="J43" s="1458"/>
      <c r="K43" s="1459"/>
    </row>
    <row r="44" spans="2:11" ht="14.25" customHeight="1" x14ac:dyDescent="0.2">
      <c r="B44" s="611"/>
      <c r="C44" s="612" t="s">
        <v>969</v>
      </c>
      <c r="D44" s="613"/>
      <c r="E44" s="613"/>
      <c r="F44" s="612"/>
      <c r="G44" s="614"/>
      <c r="H44" s="317"/>
      <c r="I44" s="612"/>
      <c r="J44" s="614" t="s">
        <v>970</v>
      </c>
      <c r="K44" s="615"/>
    </row>
    <row r="45" spans="2:11" ht="14.25" customHeight="1" x14ac:dyDescent="0.2">
      <c r="B45" s="616" t="s">
        <v>496</v>
      </c>
      <c r="C45" s="612" t="s">
        <v>971</v>
      </c>
      <c r="D45" s="613"/>
      <c r="E45" s="613" t="s">
        <v>972</v>
      </c>
      <c r="F45" s="617"/>
      <c r="G45" s="617"/>
      <c r="H45" s="317"/>
      <c r="I45" s="617" t="s">
        <v>973</v>
      </c>
      <c r="J45" s="614" t="s">
        <v>974</v>
      </c>
      <c r="K45" s="618" t="s">
        <v>212</v>
      </c>
    </row>
    <row r="46" spans="2:11" ht="14.25" customHeight="1" x14ac:dyDescent="0.2">
      <c r="B46" s="616">
        <v>1</v>
      </c>
      <c r="C46" s="619" t="s">
        <v>975</v>
      </c>
      <c r="D46" s="613"/>
      <c r="E46" s="613"/>
      <c r="F46" s="614"/>
      <c r="G46" s="614"/>
      <c r="H46" s="317"/>
      <c r="I46" s="614"/>
      <c r="J46" s="614"/>
      <c r="K46" s="618"/>
    </row>
    <row r="47" spans="2:11" ht="14.25" customHeight="1" x14ac:dyDescent="0.2">
      <c r="B47" s="620" t="s">
        <v>83</v>
      </c>
      <c r="C47" s="621" t="s">
        <v>976</v>
      </c>
      <c r="D47" s="622"/>
      <c r="E47" s="621" t="s">
        <v>977</v>
      </c>
      <c r="F47" s="623"/>
      <c r="G47" s="623"/>
      <c r="H47" s="317"/>
      <c r="I47" s="624">
        <v>12172.36</v>
      </c>
      <c r="J47" s="623">
        <v>17</v>
      </c>
      <c r="K47" s="625"/>
    </row>
    <row r="48" spans="2:11" ht="14.25" customHeight="1" x14ac:dyDescent="0.2">
      <c r="B48" s="620" t="s">
        <v>93</v>
      </c>
      <c r="C48" s="621" t="s">
        <v>978</v>
      </c>
      <c r="D48" s="622"/>
      <c r="E48" s="621" t="s">
        <v>979</v>
      </c>
      <c r="F48" s="623"/>
      <c r="G48" s="623"/>
      <c r="H48" s="317"/>
      <c r="I48" s="624">
        <v>16814.8</v>
      </c>
      <c r="J48" s="623">
        <v>15</v>
      </c>
      <c r="K48" s="625"/>
    </row>
    <row r="49" spans="2:11" ht="14.25" customHeight="1" x14ac:dyDescent="0.2">
      <c r="B49" s="620" t="s">
        <v>97</v>
      </c>
      <c r="C49" s="621" t="s">
        <v>980</v>
      </c>
      <c r="D49" s="622"/>
      <c r="E49" s="621" t="s">
        <v>981</v>
      </c>
      <c r="F49" s="623"/>
      <c r="G49" s="623"/>
      <c r="H49" s="317"/>
      <c r="I49" s="624">
        <v>16086.46</v>
      </c>
      <c r="J49" s="623">
        <v>18</v>
      </c>
      <c r="K49" s="625"/>
    </row>
    <row r="50" spans="2:11" ht="14.25" customHeight="1" x14ac:dyDescent="0.2">
      <c r="B50" s="620" t="s">
        <v>103</v>
      </c>
      <c r="C50" s="621" t="s">
        <v>982</v>
      </c>
      <c r="D50" s="622"/>
      <c r="E50" s="621" t="s">
        <v>983</v>
      </c>
      <c r="F50" s="623"/>
      <c r="G50" s="623"/>
      <c r="H50" s="317"/>
      <c r="I50" s="626">
        <v>351</v>
      </c>
      <c r="J50" s="623">
        <v>2</v>
      </c>
      <c r="K50" s="625"/>
    </row>
    <row r="51" spans="2:11" ht="14.25" customHeight="1" x14ac:dyDescent="0.2">
      <c r="B51" s="620" t="s">
        <v>984</v>
      </c>
      <c r="C51" s="621" t="s">
        <v>985</v>
      </c>
      <c r="D51" s="622"/>
      <c r="E51" s="621" t="s">
        <v>986</v>
      </c>
      <c r="F51" s="623"/>
      <c r="G51" s="623"/>
      <c r="H51" s="317"/>
      <c r="I51" s="626">
        <v>318.08</v>
      </c>
      <c r="J51" s="623">
        <v>2</v>
      </c>
      <c r="K51" s="625"/>
    </row>
    <row r="52" spans="2:11" ht="14.25" customHeight="1" x14ac:dyDescent="0.2">
      <c r="B52" s="620" t="s">
        <v>987</v>
      </c>
      <c r="C52" s="621" t="s">
        <v>988</v>
      </c>
      <c r="D52" s="622"/>
      <c r="E52" s="621" t="s">
        <v>989</v>
      </c>
      <c r="F52" s="623"/>
      <c r="G52" s="623"/>
      <c r="H52" s="317"/>
      <c r="I52" s="624">
        <v>5667</v>
      </c>
      <c r="J52" s="623">
        <v>3</v>
      </c>
      <c r="K52" s="627" t="s">
        <v>990</v>
      </c>
    </row>
    <row r="53" spans="2:11" ht="14.25" customHeight="1" x14ac:dyDescent="0.2">
      <c r="B53" s="620" t="s">
        <v>991</v>
      </c>
      <c r="C53" s="621" t="s">
        <v>992</v>
      </c>
      <c r="D53" s="622"/>
      <c r="E53" s="621" t="s">
        <v>993</v>
      </c>
      <c r="F53" s="623"/>
      <c r="G53" s="623"/>
      <c r="H53" s="317"/>
      <c r="I53" s="624">
        <v>1504.5</v>
      </c>
      <c r="J53" s="623">
        <v>1</v>
      </c>
      <c r="K53" s="625"/>
    </row>
    <row r="54" spans="2:11" ht="14.25" customHeight="1" x14ac:dyDescent="0.2">
      <c r="B54" s="620"/>
      <c r="C54" s="621"/>
      <c r="D54" s="622"/>
      <c r="F54" s="317"/>
      <c r="H54" s="628" t="s">
        <v>994</v>
      </c>
      <c r="I54" s="629">
        <f>ROUND(AVERAGE(I47:I53),0)</f>
        <v>7559</v>
      </c>
      <c r="J54" s="623"/>
      <c r="K54" s="625"/>
    </row>
    <row r="55" spans="2:11" ht="14.25" customHeight="1" x14ac:dyDescent="0.25">
      <c r="B55" s="611"/>
      <c r="C55" s="630"/>
      <c r="D55" s="631"/>
      <c r="E55" s="632"/>
      <c r="F55" s="630"/>
      <c r="G55" s="633"/>
      <c r="H55" s="317"/>
      <c r="I55" s="630"/>
      <c r="J55" s="633"/>
      <c r="K55" s="634"/>
    </row>
    <row r="56" spans="2:11" ht="14.25" customHeight="1" x14ac:dyDescent="0.2">
      <c r="B56" s="635" t="s">
        <v>995</v>
      </c>
      <c r="C56" s="636"/>
      <c r="D56" s="637"/>
      <c r="E56" s="637"/>
      <c r="F56" s="636"/>
      <c r="G56" s="638"/>
      <c r="H56" s="639"/>
      <c r="I56" s="636"/>
      <c r="J56" s="638"/>
      <c r="K56" s="640"/>
    </row>
    <row r="57" spans="2:11" ht="14.25" customHeight="1" x14ac:dyDescent="0.2">
      <c r="B57" s="641"/>
      <c r="C57" s="630"/>
      <c r="D57" s="630"/>
      <c r="E57" s="630"/>
      <c r="F57" s="630"/>
      <c r="G57" s="633"/>
      <c r="H57" s="630"/>
      <c r="I57" s="633"/>
      <c r="J57" s="633"/>
    </row>
    <row r="58" spans="2:11" ht="14.25" customHeight="1" x14ac:dyDescent="0.2">
      <c r="B58" s="641" t="s">
        <v>996</v>
      </c>
      <c r="C58" s="630"/>
      <c r="D58" s="630"/>
      <c r="E58" s="630"/>
      <c r="F58" s="630"/>
      <c r="G58" s="633"/>
      <c r="H58" s="630"/>
      <c r="I58" s="633"/>
      <c r="J58" s="633"/>
    </row>
    <row r="59" spans="2:11" ht="14.25" customHeight="1" x14ac:dyDescent="0.2">
      <c r="B59" s="641" t="s">
        <v>997</v>
      </c>
      <c r="C59" s="630"/>
      <c r="D59" s="630"/>
      <c r="E59" s="630"/>
      <c r="F59" s="630"/>
      <c r="G59" s="633"/>
      <c r="H59" s="630"/>
      <c r="I59" s="633"/>
      <c r="J59" s="633"/>
    </row>
  </sheetData>
  <sheetProtection sheet="1" objects="1" scenarios="1"/>
  <mergeCells count="16">
    <mergeCell ref="B38:I38"/>
    <mergeCell ref="B43:K43"/>
    <mergeCell ref="B19:K19"/>
    <mergeCell ref="B20:K20"/>
    <mergeCell ref="B21:C21"/>
    <mergeCell ref="B22:C22"/>
    <mergeCell ref="B23:I25"/>
    <mergeCell ref="B37:G37"/>
    <mergeCell ref="F17:K17"/>
    <mergeCell ref="B8:K8"/>
    <mergeCell ref="B9:K9"/>
    <mergeCell ref="B10:K10"/>
    <mergeCell ref="C11:K11"/>
    <mergeCell ref="B13:K13"/>
    <mergeCell ref="F15:K15"/>
    <mergeCell ref="F16:K16"/>
  </mergeCells>
  <printOptions horizontalCentered="1"/>
  <pageMargins left="0.196527777777778" right="0.196527777777778" top="0.62916666666666698" bottom="0.64305555555555605" header="0.39374999999999999" footer="0.39374999999999999"/>
  <pageSetup paperSize="9" scale="83" fitToHeight="0" orientation="landscape" r:id="rId1"/>
  <headerFooter>
    <oddHeader>&amp;C&amp;A</oddHeader>
    <oddFooter>&amp;C&amp;"Times New Roman,Normal"&amp;12&amp;Kffffff&amp;P de &amp;N</oddFooter>
  </headerFooter>
  <rowBreaks count="2" manualBreakCount="2">
    <brk id="18" max="11" man="1"/>
    <brk id="3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3A3A-852C-490C-A5EB-3FB4D6C3367C}">
  <sheetPr>
    <tabColor rgb="FFFFFF99"/>
    <pageSetUpPr fitToPage="1"/>
  </sheetPr>
  <dimension ref="A1:T187"/>
  <sheetViews>
    <sheetView view="pageBreakPreview" zoomScaleNormal="100" zoomScaleSheetLayoutView="100" workbookViewId="0">
      <selection activeCell="M15" sqref="M15:N15"/>
    </sheetView>
  </sheetViews>
  <sheetFormatPr defaultColWidth="8.6640625" defaultRowHeight="14.25" customHeight="1" x14ac:dyDescent="0.2"/>
  <cols>
    <col min="1" max="1" width="8.33203125" style="318" customWidth="1"/>
    <col min="2" max="2" width="13" style="318" customWidth="1"/>
    <col min="3" max="11" width="6.5" style="318" customWidth="1"/>
    <col min="12" max="14" width="8.6640625" style="318"/>
    <col min="15" max="15" width="14" style="318" customWidth="1"/>
    <col min="16" max="17" width="8.6640625" style="318"/>
    <col min="18" max="18" width="12" style="318" customWidth="1"/>
    <col min="19" max="19" width="8.6640625" style="318"/>
    <col min="20" max="20" width="13" style="318" bestFit="1" customWidth="1"/>
    <col min="21" max="16384" width="8.6640625" style="318"/>
  </cols>
  <sheetData>
    <row r="1" spans="1:18" s="363" customFormat="1" ht="12.75" customHeight="1" x14ac:dyDescent="0.25">
      <c r="A1" s="687"/>
      <c r="B1" s="688"/>
      <c r="C1" s="688"/>
      <c r="D1" s="688"/>
      <c r="E1" s="688"/>
      <c r="F1" s="688"/>
      <c r="G1" s="688"/>
      <c r="H1" s="688"/>
      <c r="I1" s="688"/>
      <c r="J1" s="688"/>
      <c r="K1" s="688"/>
      <c r="L1" s="688"/>
      <c r="M1" s="688"/>
      <c r="N1" s="688"/>
      <c r="O1" s="688"/>
      <c r="P1" s="688"/>
      <c r="Q1" s="688"/>
      <c r="R1" s="689"/>
    </row>
    <row r="2" spans="1:18" s="363" customFormat="1" ht="12.75" customHeight="1" x14ac:dyDescent="0.25">
      <c r="A2" s="690"/>
      <c r="B2" s="691"/>
      <c r="C2" s="691"/>
      <c r="D2" s="691"/>
      <c r="E2" s="691"/>
      <c r="F2" s="692" t="s">
        <v>120</v>
      </c>
      <c r="G2" s="691"/>
      <c r="H2" s="691"/>
      <c r="I2" s="691"/>
      <c r="J2" s="691"/>
      <c r="K2" s="691"/>
      <c r="L2" s="691"/>
      <c r="M2" s="691"/>
      <c r="N2" s="691"/>
      <c r="O2" s="691"/>
      <c r="P2" s="691"/>
      <c r="Q2" s="691"/>
      <c r="R2" s="693"/>
    </row>
    <row r="3" spans="1:18" s="363" customFormat="1" ht="12.75" customHeight="1" x14ac:dyDescent="0.25">
      <c r="A3" s="690"/>
      <c r="B3" s="691"/>
      <c r="C3" s="691"/>
      <c r="D3" s="691"/>
      <c r="E3" s="691"/>
      <c r="F3" s="694" t="s">
        <v>121</v>
      </c>
      <c r="G3" s="691"/>
      <c r="H3" s="691"/>
      <c r="I3" s="691"/>
      <c r="J3" s="691"/>
      <c r="K3" s="691"/>
      <c r="L3" s="691"/>
      <c r="M3" s="691"/>
      <c r="N3" s="691"/>
      <c r="O3" s="691"/>
      <c r="P3" s="691"/>
      <c r="Q3" s="691"/>
      <c r="R3" s="693"/>
    </row>
    <row r="4" spans="1:18" s="363" customFormat="1" ht="12.75" customHeight="1" x14ac:dyDescent="0.25">
      <c r="A4" s="690"/>
      <c r="B4" s="691"/>
      <c r="C4" s="691"/>
      <c r="D4" s="691"/>
      <c r="E4" s="691"/>
      <c r="F4" s="694" t="s">
        <v>122</v>
      </c>
      <c r="G4" s="691"/>
      <c r="H4" s="691"/>
      <c r="I4" s="691"/>
      <c r="J4" s="691"/>
      <c r="K4" s="691"/>
      <c r="L4" s="691"/>
      <c r="M4" s="691"/>
      <c r="N4" s="691"/>
      <c r="O4" s="691"/>
      <c r="P4" s="691"/>
      <c r="Q4" s="691"/>
      <c r="R4" s="693"/>
    </row>
    <row r="5" spans="1:18" s="363" customFormat="1" ht="12.75" customHeight="1" x14ac:dyDescent="0.25">
      <c r="A5" s="690"/>
      <c r="B5" s="691"/>
      <c r="C5" s="691"/>
      <c r="D5" s="691"/>
      <c r="E5" s="691"/>
      <c r="F5" s="694" t="s">
        <v>123</v>
      </c>
      <c r="G5" s="691"/>
      <c r="H5" s="691"/>
      <c r="I5" s="691"/>
      <c r="J5" s="691"/>
      <c r="K5" s="691"/>
      <c r="L5" s="691"/>
      <c r="M5" s="691"/>
      <c r="N5" s="691"/>
      <c r="O5" s="691"/>
      <c r="P5" s="691"/>
      <c r="Q5" s="691"/>
      <c r="R5" s="693"/>
    </row>
    <row r="6" spans="1:18" s="363" customFormat="1" ht="12.75" customHeight="1" x14ac:dyDescent="0.25">
      <c r="A6" s="695"/>
      <c r="B6" s="696"/>
      <c r="C6" s="696"/>
      <c r="D6" s="697"/>
      <c r="E6" s="696"/>
      <c r="F6" s="696"/>
      <c r="G6" s="696"/>
      <c r="H6" s="696"/>
      <c r="I6" s="696"/>
      <c r="J6" s="696"/>
      <c r="K6" s="696"/>
      <c r="L6" s="696"/>
      <c r="M6" s="696"/>
      <c r="N6" s="696"/>
      <c r="O6" s="696"/>
      <c r="P6" s="696"/>
      <c r="Q6" s="696"/>
      <c r="R6" s="698"/>
    </row>
    <row r="7" spans="1:18" s="363" customFormat="1" ht="12.75" customHeight="1" thickBot="1" x14ac:dyDescent="0.3"/>
    <row r="8" spans="1:18" ht="14.25" customHeight="1" thickBot="1" x14ac:dyDescent="0.25">
      <c r="A8" s="1524" t="s">
        <v>998</v>
      </c>
      <c r="B8" s="1524"/>
      <c r="C8" s="1524"/>
      <c r="D8" s="1524"/>
      <c r="E8" s="1524"/>
      <c r="F8" s="1524"/>
      <c r="G8" s="1524"/>
      <c r="H8" s="1524"/>
      <c r="I8" s="1524"/>
      <c r="J8" s="1524"/>
      <c r="K8" s="1524"/>
      <c r="L8" s="1524"/>
      <c r="M8" s="1524"/>
      <c r="N8" s="1524"/>
      <c r="O8" s="1524"/>
      <c r="P8" s="1524"/>
      <c r="Q8" s="1524"/>
      <c r="R8" s="1524"/>
    </row>
    <row r="9" spans="1:18" ht="14.25" customHeight="1" x14ac:dyDescent="0.2">
      <c r="A9" s="1524"/>
      <c r="B9" s="1524"/>
      <c r="C9" s="1524"/>
      <c r="D9" s="1524"/>
      <c r="E9" s="1524"/>
      <c r="F9" s="1524"/>
      <c r="G9" s="1524"/>
      <c r="H9" s="1524"/>
      <c r="I9" s="1524"/>
      <c r="J9" s="1524"/>
      <c r="K9" s="1524"/>
      <c r="L9" s="1524"/>
      <c r="M9" s="1524"/>
      <c r="N9" s="1524"/>
      <c r="O9" s="1524"/>
      <c r="P9" s="1524"/>
      <c r="Q9" s="1524"/>
      <c r="R9" s="1524"/>
    </row>
    <row r="10" spans="1:18" ht="28.5" customHeight="1" x14ac:dyDescent="0.2">
      <c r="A10" s="678" t="s">
        <v>496</v>
      </c>
      <c r="B10" s="677" t="str">
        <f>'Resumo_1.2'!B28</f>
        <v>1.2.1</v>
      </c>
      <c r="C10" s="1493" t="s">
        <v>729</v>
      </c>
      <c r="D10" s="1493"/>
      <c r="E10" s="1493"/>
      <c r="F10" s="1494" t="s">
        <v>999</v>
      </c>
      <c r="G10" s="1494"/>
      <c r="H10" s="1494"/>
      <c r="I10" s="1495" t="str">
        <f>'Resumo_1.2'!$B$21</f>
        <v>DATA BASE: DATA DE APRESENTAÇÃO DA PROPOSTA</v>
      </c>
      <c r="J10" s="1495"/>
      <c r="K10" s="1495"/>
      <c r="L10" s="1495"/>
      <c r="M10" s="1495"/>
      <c r="N10" s="1495"/>
      <c r="O10" s="1495"/>
      <c r="P10" s="1495"/>
      <c r="Q10" s="1495"/>
      <c r="R10" s="1495"/>
    </row>
    <row r="11" spans="1:18" ht="14.25" customHeight="1" x14ac:dyDescent="0.2">
      <c r="A11" s="1496" t="s">
        <v>1000</v>
      </c>
      <c r="B11" s="1496"/>
      <c r="C11" s="1480" t="s">
        <v>325</v>
      </c>
      <c r="D11" s="1480"/>
      <c r="E11" s="1480"/>
      <c r="F11" s="1480"/>
      <c r="G11" s="1480"/>
      <c r="H11" s="1480"/>
      <c r="I11" s="1480"/>
      <c r="J11" s="1480"/>
      <c r="K11" s="1480"/>
      <c r="L11" s="1480"/>
      <c r="M11" s="1480"/>
      <c r="N11" s="1480"/>
      <c r="O11" s="1480"/>
      <c r="P11" s="1480"/>
      <c r="Q11" s="1499" t="s">
        <v>929</v>
      </c>
      <c r="R11" s="1499"/>
    </row>
    <row r="12" spans="1:18" ht="14.25" customHeight="1" x14ac:dyDescent="0.2">
      <c r="A12" s="1538" t="str">
        <f>'Resumo_1.2'!D28</f>
        <v>CPU-01</v>
      </c>
      <c r="B12" s="1538"/>
      <c r="C12" s="1518" t="str">
        <f>'Resumo_1.2'!C28</f>
        <v>Veículo de apoio operacional.</v>
      </c>
      <c r="D12" s="1518"/>
      <c r="E12" s="1518"/>
      <c r="F12" s="1518"/>
      <c r="G12" s="1518"/>
      <c r="H12" s="1518"/>
      <c r="I12" s="1518"/>
      <c r="J12" s="1518"/>
      <c r="K12" s="1518"/>
      <c r="L12" s="1518"/>
      <c r="M12" s="1518"/>
      <c r="N12" s="1518"/>
      <c r="O12" s="1518"/>
      <c r="P12" s="1518"/>
      <c r="Q12" s="1503" t="s">
        <v>1001</v>
      </c>
      <c r="R12" s="1503"/>
    </row>
    <row r="13" spans="1:18" ht="14.25" customHeight="1" x14ac:dyDescent="0.2">
      <c r="A13" s="1487" t="s">
        <v>1002</v>
      </c>
      <c r="B13" s="1487"/>
      <c r="C13" s="1487"/>
      <c r="D13" s="1487"/>
      <c r="E13" s="1487"/>
      <c r="F13" s="1487"/>
      <c r="G13" s="1487"/>
      <c r="H13" s="1487"/>
      <c r="I13" s="1487"/>
      <c r="J13" s="1487"/>
      <c r="K13" s="1487"/>
      <c r="L13" s="1487"/>
      <c r="M13" s="1487"/>
      <c r="N13" s="1487"/>
      <c r="O13" s="1487"/>
      <c r="P13" s="1487"/>
      <c r="Q13" s="1487"/>
      <c r="R13" s="1487"/>
    </row>
    <row r="14" spans="1:18" ht="14.25" customHeight="1" x14ac:dyDescent="0.2">
      <c r="A14" s="1539" t="s">
        <v>927</v>
      </c>
      <c r="B14" s="1539"/>
      <c r="C14" s="1478" t="s">
        <v>325</v>
      </c>
      <c r="D14" s="1478"/>
      <c r="E14" s="1478"/>
      <c r="F14" s="1478"/>
      <c r="G14" s="1478"/>
      <c r="H14" s="1478"/>
      <c r="I14" s="1478"/>
      <c r="J14" s="1478"/>
      <c r="K14" s="1478"/>
      <c r="L14" s="667" t="s">
        <v>1003</v>
      </c>
      <c r="M14" s="1479" t="s">
        <v>1004</v>
      </c>
      <c r="N14" s="1479"/>
      <c r="O14" s="1479" t="s">
        <v>1005</v>
      </c>
      <c r="P14" s="1479"/>
      <c r="Q14" s="1479"/>
      <c r="R14" s="676" t="s">
        <v>334</v>
      </c>
    </row>
    <row r="15" spans="1:18" ht="61.5" customHeight="1" x14ac:dyDescent="0.2">
      <c r="A15" s="1540" t="s">
        <v>1006</v>
      </c>
      <c r="B15" s="1540"/>
      <c r="C15" s="1541" t="s">
        <v>1007</v>
      </c>
      <c r="D15" s="1541"/>
      <c r="E15" s="1541"/>
      <c r="F15" s="1541"/>
      <c r="G15" s="1541"/>
      <c r="H15" s="1541"/>
      <c r="I15" s="1541"/>
      <c r="J15" s="1541"/>
      <c r="K15" s="1541"/>
      <c r="L15" s="661" t="s">
        <v>1001</v>
      </c>
      <c r="M15" s="1506">
        <v>1</v>
      </c>
      <c r="N15" s="1506"/>
      <c r="O15" s="1500">
        <v>2056</v>
      </c>
      <c r="P15" s="1500"/>
      <c r="Q15" s="1500"/>
      <c r="R15" s="663">
        <f>TRUNC(M15*O15,2)</f>
        <v>2056</v>
      </c>
    </row>
    <row r="16" spans="1:18" ht="14.25" customHeight="1" x14ac:dyDescent="0.2">
      <c r="A16" s="1528"/>
      <c r="B16" s="1528"/>
      <c r="C16" s="1529"/>
      <c r="D16" s="1529"/>
      <c r="E16" s="1529"/>
      <c r="F16" s="1529"/>
      <c r="G16" s="1529"/>
      <c r="H16" s="1529"/>
      <c r="I16" s="1529"/>
      <c r="J16" s="1529"/>
      <c r="K16" s="1529"/>
      <c r="L16" s="661"/>
      <c r="M16" s="1536"/>
      <c r="N16" s="1536"/>
      <c r="O16" s="1486" t="s">
        <v>1008</v>
      </c>
      <c r="P16" s="1486"/>
      <c r="Q16" s="1486"/>
      <c r="R16" s="662">
        <f>SUBTOTAL(9,R15)</f>
        <v>2056</v>
      </c>
    </row>
    <row r="17" spans="1:18" ht="14.25" customHeight="1" x14ac:dyDescent="0.2">
      <c r="A17" s="1487" t="s">
        <v>1009</v>
      </c>
      <c r="B17" s="1487"/>
      <c r="C17" s="1487"/>
      <c r="D17" s="1487"/>
      <c r="E17" s="1487"/>
      <c r="F17" s="1487"/>
      <c r="G17" s="1487"/>
      <c r="H17" s="1487"/>
      <c r="I17" s="1487"/>
      <c r="J17" s="1487"/>
      <c r="K17" s="1487"/>
      <c r="L17" s="1487"/>
      <c r="M17" s="1487"/>
      <c r="N17" s="1487"/>
      <c r="O17" s="1487"/>
      <c r="P17" s="1487"/>
      <c r="Q17" s="1487"/>
      <c r="R17" s="1487"/>
    </row>
    <row r="18" spans="1:18" ht="14.25" customHeight="1" x14ac:dyDescent="0.2">
      <c r="A18" s="1539" t="s">
        <v>927</v>
      </c>
      <c r="B18" s="1539"/>
      <c r="C18" s="1478" t="s">
        <v>325</v>
      </c>
      <c r="D18" s="1478"/>
      <c r="E18" s="1478"/>
      <c r="F18" s="1478"/>
      <c r="G18" s="1478"/>
      <c r="H18" s="1478"/>
      <c r="I18" s="1478"/>
      <c r="J18" s="1478"/>
      <c r="K18" s="1478"/>
      <c r="L18" s="667" t="s">
        <v>1003</v>
      </c>
      <c r="M18" s="1479" t="s">
        <v>1004</v>
      </c>
      <c r="N18" s="1479"/>
      <c r="O18" s="1479" t="s">
        <v>1005</v>
      </c>
      <c r="P18" s="1479"/>
      <c r="Q18" s="1479"/>
      <c r="R18" s="676" t="s">
        <v>334</v>
      </c>
    </row>
    <row r="19" spans="1:18" ht="14.25" customHeight="1" x14ac:dyDescent="0.2">
      <c r="A19" s="1540"/>
      <c r="B19" s="1540"/>
      <c r="C19" s="1515"/>
      <c r="D19" s="1515"/>
      <c r="E19" s="1515"/>
      <c r="F19" s="1515"/>
      <c r="G19" s="1515"/>
      <c r="H19" s="1515"/>
      <c r="I19" s="1515"/>
      <c r="J19" s="1515"/>
      <c r="K19" s="1515"/>
      <c r="L19" s="661"/>
      <c r="M19" s="1506"/>
      <c r="N19" s="1506"/>
      <c r="O19" s="1497"/>
      <c r="P19" s="1497"/>
      <c r="Q19" s="1497"/>
      <c r="R19" s="663"/>
    </row>
    <row r="20" spans="1:18" ht="14.25" customHeight="1" x14ac:dyDescent="0.2">
      <c r="A20" s="1528"/>
      <c r="B20" s="1528"/>
      <c r="C20" s="1529"/>
      <c r="D20" s="1529"/>
      <c r="E20" s="1529"/>
      <c r="F20" s="1529"/>
      <c r="G20" s="1529"/>
      <c r="H20" s="1529"/>
      <c r="I20" s="1529"/>
      <c r="J20" s="1529"/>
      <c r="K20" s="1529"/>
      <c r="L20" s="661"/>
      <c r="M20" s="1536"/>
      <c r="N20" s="1536"/>
      <c r="O20" s="1486" t="s">
        <v>1010</v>
      </c>
      <c r="P20" s="1486"/>
      <c r="Q20" s="1486"/>
      <c r="R20" s="662">
        <f>SUBTOTAL(9,R19)</f>
        <v>0</v>
      </c>
    </row>
    <row r="21" spans="1:18" ht="14.25" customHeight="1" x14ac:dyDescent="0.2">
      <c r="A21" s="1484" t="s">
        <v>1011</v>
      </c>
      <c r="B21" s="1484"/>
      <c r="C21" s="1484"/>
      <c r="D21" s="1484"/>
      <c r="E21" s="1484"/>
      <c r="F21" s="1484"/>
      <c r="G21" s="1484"/>
      <c r="H21" s="1484"/>
      <c r="I21" s="1484"/>
      <c r="J21" s="1484"/>
      <c r="K21" s="1484"/>
      <c r="L21" s="1484"/>
      <c r="M21" s="1484"/>
      <c r="N21" s="1484"/>
      <c r="O21" s="1484"/>
      <c r="P21" s="1484"/>
      <c r="Q21" s="1484"/>
      <c r="R21" s="1484"/>
    </row>
    <row r="22" spans="1:18" ht="14.25" customHeight="1" x14ac:dyDescent="0.2">
      <c r="A22" s="1488" t="s">
        <v>927</v>
      </c>
      <c r="B22" s="1488"/>
      <c r="C22" s="1478" t="s">
        <v>325</v>
      </c>
      <c r="D22" s="1478"/>
      <c r="E22" s="1478"/>
      <c r="F22" s="1478"/>
      <c r="G22" s="1478"/>
      <c r="H22" s="1478"/>
      <c r="I22" s="1478"/>
      <c r="J22" s="1478"/>
      <c r="K22" s="1478"/>
      <c r="L22" s="667" t="s">
        <v>1003</v>
      </c>
      <c r="M22" s="1479" t="s">
        <v>1004</v>
      </c>
      <c r="N22" s="1479"/>
      <c r="O22" s="1479" t="s">
        <v>1005</v>
      </c>
      <c r="P22" s="1479"/>
      <c r="Q22" s="1479"/>
      <c r="R22" s="676" t="s">
        <v>334</v>
      </c>
    </row>
    <row r="23" spans="1:18" ht="14.25" customHeight="1" x14ac:dyDescent="0.2">
      <c r="A23" s="1466"/>
      <c r="B23" s="1466"/>
      <c r="C23" s="1467"/>
      <c r="D23" s="1467"/>
      <c r="E23" s="1467"/>
      <c r="F23" s="1467"/>
      <c r="G23" s="1467"/>
      <c r="H23" s="1467"/>
      <c r="I23" s="1467"/>
      <c r="J23" s="1467"/>
      <c r="K23" s="1467"/>
      <c r="L23" s="686"/>
      <c r="M23" s="1533"/>
      <c r="N23" s="1533"/>
      <c r="O23" s="1534">
        <v>0</v>
      </c>
      <c r="P23" s="1534"/>
      <c r="Q23" s="1534"/>
      <c r="R23" s="663">
        <f>TRUNC(M23*O23,2)</f>
        <v>0</v>
      </c>
    </row>
    <row r="24" spans="1:18" ht="14.25" customHeight="1" x14ac:dyDescent="0.2">
      <c r="A24" s="1466"/>
      <c r="B24" s="1466"/>
      <c r="C24" s="1467"/>
      <c r="D24" s="1467"/>
      <c r="E24" s="1467"/>
      <c r="F24" s="1467"/>
      <c r="G24" s="1467"/>
      <c r="H24" s="1467"/>
      <c r="I24" s="1467"/>
      <c r="J24" s="1467"/>
      <c r="K24" s="1467"/>
      <c r="L24" s="686"/>
      <c r="M24" s="1533"/>
      <c r="N24" s="1533"/>
      <c r="O24" s="1534"/>
      <c r="P24" s="1534"/>
      <c r="Q24" s="1534"/>
      <c r="R24" s="663"/>
    </row>
    <row r="25" spans="1:18" ht="14.25" customHeight="1" x14ac:dyDescent="0.2">
      <c r="A25" s="1528"/>
      <c r="B25" s="1528"/>
      <c r="C25" s="1529"/>
      <c r="D25" s="1529"/>
      <c r="E25" s="1529"/>
      <c r="F25" s="1529"/>
      <c r="G25" s="1529"/>
      <c r="H25" s="1529"/>
      <c r="I25" s="1529"/>
      <c r="J25" s="1529"/>
      <c r="K25" s="1529"/>
      <c r="L25" s="661"/>
      <c r="M25" s="1526"/>
      <c r="N25" s="1526"/>
      <c r="O25" s="1469" t="s">
        <v>1012</v>
      </c>
      <c r="P25" s="1469"/>
      <c r="Q25" s="1469"/>
      <c r="R25" s="662">
        <f>SUBTOTAL(9,R23:R24)</f>
        <v>0</v>
      </c>
    </row>
    <row r="26" spans="1:18" ht="14.25" customHeight="1" x14ac:dyDescent="0.2">
      <c r="A26" s="1481"/>
      <c r="B26" s="1481"/>
      <c r="C26" s="1535"/>
      <c r="D26" s="1535"/>
      <c r="E26" s="1535"/>
      <c r="F26" s="1535"/>
      <c r="G26" s="1535"/>
      <c r="H26" s="1535"/>
      <c r="I26" s="1535"/>
      <c r="J26" s="1535"/>
      <c r="K26" s="1535"/>
      <c r="L26" s="685"/>
      <c r="M26" s="1517"/>
      <c r="N26" s="1517"/>
      <c r="O26" s="1509"/>
      <c r="P26" s="1509"/>
      <c r="Q26" s="1509"/>
      <c r="R26" s="675"/>
    </row>
    <row r="27" spans="1:18" ht="14.25" customHeight="1" x14ac:dyDescent="0.2">
      <c r="A27" s="1537" t="s">
        <v>1013</v>
      </c>
      <c r="B27" s="1537"/>
      <c r="C27" s="1537"/>
      <c r="D27" s="1537"/>
      <c r="E27" s="1537"/>
      <c r="F27" s="1537"/>
      <c r="G27" s="1537"/>
      <c r="H27" s="1537"/>
      <c r="I27" s="1537"/>
      <c r="J27" s="1537"/>
      <c r="K27" s="1537"/>
      <c r="L27" s="1537"/>
      <c r="M27" s="1537"/>
      <c r="N27" s="1537"/>
      <c r="O27" s="1537"/>
      <c r="P27" s="1537"/>
      <c r="Q27" s="1537"/>
      <c r="R27" s="659">
        <f>SUBTOTAL(9,R15:R26)</f>
        <v>2056</v>
      </c>
    </row>
    <row r="28" spans="1:18" ht="14.25" customHeight="1" x14ac:dyDescent="0.2">
      <c r="A28" s="658" t="s">
        <v>1014</v>
      </c>
      <c r="B28" s="656"/>
      <c r="C28" s="657"/>
      <c r="D28" s="656"/>
      <c r="E28" s="656"/>
      <c r="F28" s="656"/>
      <c r="G28" s="656"/>
      <c r="H28" s="656"/>
      <c r="I28" s="656"/>
      <c r="J28" s="656"/>
      <c r="K28" s="656"/>
      <c r="L28" s="656"/>
      <c r="M28" s="656"/>
      <c r="N28" s="656"/>
      <c r="O28" s="655"/>
      <c r="P28" s="655"/>
      <c r="Q28" s="655"/>
      <c r="R28" s="654"/>
    </row>
    <row r="29" spans="1:18" ht="14.25" customHeight="1" x14ac:dyDescent="0.2">
      <c r="A29" s="653" t="s">
        <v>1015</v>
      </c>
      <c r="B29" s="651"/>
      <c r="C29" s="652"/>
      <c r="D29" s="651"/>
      <c r="E29" s="651"/>
      <c r="F29" s="651"/>
      <c r="G29" s="651"/>
      <c r="H29" s="651"/>
      <c r="I29" s="651"/>
      <c r="J29" s="651"/>
      <c r="K29" s="651"/>
      <c r="L29" s="651"/>
      <c r="M29" s="651"/>
      <c r="N29" s="651"/>
      <c r="O29" s="650"/>
      <c r="P29" s="650"/>
      <c r="Q29" s="650"/>
      <c r="R29" s="674"/>
    </row>
    <row r="30" spans="1:18" ht="14.25" customHeight="1" thickBot="1" x14ac:dyDescent="0.25">
      <c r="A30" s="653"/>
      <c r="B30" s="651"/>
      <c r="C30" s="683"/>
      <c r="D30" s="684"/>
      <c r="E30" s="684"/>
      <c r="F30" s="682"/>
      <c r="G30" s="683"/>
      <c r="H30" s="682"/>
      <c r="I30" s="682"/>
      <c r="J30" s="651"/>
      <c r="K30" s="683"/>
      <c r="L30" s="682" t="s">
        <v>1016</v>
      </c>
      <c r="M30" s="651"/>
      <c r="N30" s="651"/>
      <c r="O30" s="650"/>
      <c r="P30" s="650"/>
      <c r="Q30" s="650"/>
      <c r="R30" s="649"/>
    </row>
    <row r="31" spans="1:18" ht="14.25" customHeight="1" thickBot="1" x14ac:dyDescent="0.25">
      <c r="A31" s="1524" t="s">
        <v>998</v>
      </c>
      <c r="B31" s="1524"/>
      <c r="C31" s="1524"/>
      <c r="D31" s="1524"/>
      <c r="E31" s="1524"/>
      <c r="F31" s="1524"/>
      <c r="G31" s="1524"/>
      <c r="H31" s="1524"/>
      <c r="I31" s="1524"/>
      <c r="J31" s="1524"/>
      <c r="K31" s="1524"/>
      <c r="L31" s="1524"/>
      <c r="M31" s="1524"/>
      <c r="N31" s="1524"/>
      <c r="O31" s="1524"/>
      <c r="P31" s="1524"/>
      <c r="Q31" s="1524"/>
      <c r="R31" s="1524"/>
    </row>
    <row r="32" spans="1:18" ht="14.25" customHeight="1" x14ac:dyDescent="0.2">
      <c r="A32" s="1524"/>
      <c r="B32" s="1524"/>
      <c r="C32" s="1524"/>
      <c r="D32" s="1524"/>
      <c r="E32" s="1524"/>
      <c r="F32" s="1524"/>
      <c r="G32" s="1524"/>
      <c r="H32" s="1524"/>
      <c r="I32" s="1524"/>
      <c r="J32" s="1524"/>
      <c r="K32" s="1524"/>
      <c r="L32" s="1524"/>
      <c r="M32" s="1524"/>
      <c r="N32" s="1524"/>
      <c r="O32" s="1524"/>
      <c r="P32" s="1524"/>
      <c r="Q32" s="1524"/>
      <c r="R32" s="1524"/>
    </row>
    <row r="33" spans="1:18" ht="29.25" customHeight="1" x14ac:dyDescent="0.2">
      <c r="A33" s="678" t="s">
        <v>496</v>
      </c>
      <c r="B33" s="677" t="str">
        <f>'Resumo_1.2'!B29</f>
        <v>1.2.2</v>
      </c>
      <c r="C33" s="1493" t="s">
        <v>942</v>
      </c>
      <c r="D33" s="1493"/>
      <c r="E33" s="1493"/>
      <c r="F33" s="1494" t="s">
        <v>999</v>
      </c>
      <c r="G33" s="1494"/>
      <c r="H33" s="1494"/>
      <c r="I33" s="1495" t="str">
        <f>'Resumo_1.2'!$B$21</f>
        <v>DATA BASE: DATA DE APRESENTAÇÃO DA PROPOSTA</v>
      </c>
      <c r="J33" s="1495"/>
      <c r="K33" s="1495"/>
      <c r="L33" s="1495"/>
      <c r="M33" s="1495"/>
      <c r="N33" s="1495"/>
      <c r="O33" s="1495"/>
      <c r="P33" s="1495"/>
      <c r="Q33" s="1495"/>
      <c r="R33" s="1495"/>
    </row>
    <row r="34" spans="1:18" ht="14.25" customHeight="1" x14ac:dyDescent="0.2">
      <c r="A34" s="1498" t="s">
        <v>1000</v>
      </c>
      <c r="B34" s="1498"/>
      <c r="C34" s="1480" t="s">
        <v>325</v>
      </c>
      <c r="D34" s="1480"/>
      <c r="E34" s="1480"/>
      <c r="F34" s="1480"/>
      <c r="G34" s="1480"/>
      <c r="H34" s="1480"/>
      <c r="I34" s="1480"/>
      <c r="J34" s="1480"/>
      <c r="K34" s="1480"/>
      <c r="L34" s="1480"/>
      <c r="M34" s="1480"/>
      <c r="N34" s="1480"/>
      <c r="O34" s="1480"/>
      <c r="P34" s="1480"/>
      <c r="Q34" s="1499" t="s">
        <v>929</v>
      </c>
      <c r="R34" s="1499"/>
    </row>
    <row r="35" spans="1:18" ht="14.25" customHeight="1" x14ac:dyDescent="0.2">
      <c r="A35" s="1501" t="str">
        <f>'Resumo_1.2'!D29</f>
        <v>CPU-02</v>
      </c>
      <c r="B35" s="1501"/>
      <c r="C35" s="1518" t="str">
        <f>'Resumo_1.2'!C29</f>
        <v>Impressões e serviços gráficos</v>
      </c>
      <c r="D35" s="1518"/>
      <c r="E35" s="1518"/>
      <c r="F35" s="1518"/>
      <c r="G35" s="1518"/>
      <c r="H35" s="1518"/>
      <c r="I35" s="1518"/>
      <c r="J35" s="1518"/>
      <c r="K35" s="1518"/>
      <c r="L35" s="1518"/>
      <c r="M35" s="1518"/>
      <c r="N35" s="1518"/>
      <c r="O35" s="1518"/>
      <c r="P35" s="1518"/>
      <c r="Q35" s="1503" t="s">
        <v>1001</v>
      </c>
      <c r="R35" s="1503"/>
    </row>
    <row r="36" spans="1:18" ht="14.25" customHeight="1" x14ac:dyDescent="0.2">
      <c r="A36" s="1487" t="s">
        <v>1002</v>
      </c>
      <c r="B36" s="1487"/>
      <c r="C36" s="1487"/>
      <c r="D36" s="1487"/>
      <c r="E36" s="1487"/>
      <c r="F36" s="1487"/>
      <c r="G36" s="1487"/>
      <c r="H36" s="1487"/>
      <c r="I36" s="1487"/>
      <c r="J36" s="1487"/>
      <c r="K36" s="1487"/>
      <c r="L36" s="1487"/>
      <c r="M36" s="1487"/>
      <c r="N36" s="1487"/>
      <c r="O36" s="1487"/>
      <c r="P36" s="1487"/>
      <c r="Q36" s="1487"/>
      <c r="R36" s="1487"/>
    </row>
    <row r="37" spans="1:18" ht="14.25" customHeight="1" x14ac:dyDescent="0.2">
      <c r="A37" s="1485" t="s">
        <v>927</v>
      </c>
      <c r="B37" s="1485"/>
      <c r="C37" s="1478" t="s">
        <v>325</v>
      </c>
      <c r="D37" s="1478"/>
      <c r="E37" s="1478"/>
      <c r="F37" s="1478"/>
      <c r="G37" s="1478"/>
      <c r="H37" s="1478"/>
      <c r="I37" s="1478"/>
      <c r="J37" s="1478"/>
      <c r="K37" s="1478"/>
      <c r="L37" s="667" t="s">
        <v>1003</v>
      </c>
      <c r="M37" s="1479" t="s">
        <v>1004</v>
      </c>
      <c r="N37" s="1479"/>
      <c r="O37" s="1479" t="s">
        <v>1005</v>
      </c>
      <c r="P37" s="1479"/>
      <c r="Q37" s="1479"/>
      <c r="R37" s="676" t="s">
        <v>334</v>
      </c>
    </row>
    <row r="38" spans="1:18" ht="14.25" customHeight="1" x14ac:dyDescent="0.2">
      <c r="A38" s="1512" t="s">
        <v>1017</v>
      </c>
      <c r="B38" s="1512"/>
      <c r="C38" s="1532" t="s">
        <v>1018</v>
      </c>
      <c r="D38" s="1532"/>
      <c r="E38" s="1532"/>
      <c r="F38" s="1532"/>
      <c r="G38" s="1532"/>
      <c r="H38" s="1532"/>
      <c r="I38" s="1532"/>
      <c r="J38" s="1532"/>
      <c r="K38" s="1532"/>
      <c r="L38" s="664" t="s">
        <v>1019</v>
      </c>
      <c r="M38" s="1506">
        <v>1</v>
      </c>
      <c r="N38" s="1506"/>
      <c r="O38" s="1474">
        <f>2222.21/60*0.8</f>
        <v>29.629466666666669</v>
      </c>
      <c r="P38" s="1474"/>
      <c r="Q38" s="1474"/>
      <c r="R38" s="663">
        <f>TRUNC(M38*O38,2)</f>
        <v>29.62</v>
      </c>
    </row>
    <row r="39" spans="1:18" ht="14.25" customHeight="1" x14ac:dyDescent="0.2">
      <c r="A39" s="1481"/>
      <c r="B39" s="1481"/>
      <c r="C39" s="1507"/>
      <c r="D39" s="1507"/>
      <c r="E39" s="1507"/>
      <c r="F39" s="1507"/>
      <c r="G39" s="1507"/>
      <c r="H39" s="1507"/>
      <c r="I39" s="1507"/>
      <c r="J39" s="1507"/>
      <c r="K39" s="1507"/>
      <c r="L39" s="661"/>
      <c r="M39" s="1483"/>
      <c r="N39" s="1483"/>
      <c r="O39" s="1486" t="s">
        <v>1010</v>
      </c>
      <c r="P39" s="1486"/>
      <c r="Q39" s="1486"/>
      <c r="R39" s="662">
        <f>SUBTOTAL(9,R38)</f>
        <v>29.62</v>
      </c>
    </row>
    <row r="40" spans="1:18" ht="14.25" customHeight="1" x14ac:dyDescent="0.2">
      <c r="A40" s="1484" t="s">
        <v>1011</v>
      </c>
      <c r="B40" s="1484"/>
      <c r="C40" s="1484"/>
      <c r="D40" s="1484"/>
      <c r="E40" s="1484"/>
      <c r="F40" s="1484"/>
      <c r="G40" s="1484"/>
      <c r="H40" s="1484"/>
      <c r="I40" s="1484"/>
      <c r="J40" s="1484"/>
      <c r="K40" s="1484"/>
      <c r="L40" s="1484"/>
      <c r="M40" s="1484"/>
      <c r="N40" s="1484"/>
      <c r="O40" s="1484"/>
      <c r="P40" s="1484"/>
      <c r="Q40" s="1484"/>
      <c r="R40" s="1484"/>
    </row>
    <row r="41" spans="1:18" ht="14.25" customHeight="1" x14ac:dyDescent="0.2">
      <c r="A41" s="1485" t="s">
        <v>927</v>
      </c>
      <c r="B41" s="1485"/>
      <c r="C41" s="1478" t="s">
        <v>325</v>
      </c>
      <c r="D41" s="1478"/>
      <c r="E41" s="1478"/>
      <c r="F41" s="1478"/>
      <c r="G41" s="1478"/>
      <c r="H41" s="1478"/>
      <c r="I41" s="1478"/>
      <c r="J41" s="1478"/>
      <c r="K41" s="1478"/>
      <c r="L41" s="667" t="s">
        <v>1003</v>
      </c>
      <c r="M41" s="1514" t="s">
        <v>1004</v>
      </c>
      <c r="N41" s="1514"/>
      <c r="O41" s="1479" t="s">
        <v>1005</v>
      </c>
      <c r="P41" s="1479"/>
      <c r="Q41" s="1479"/>
      <c r="R41" s="666" t="s">
        <v>334</v>
      </c>
    </row>
    <row r="42" spans="1:18" ht="14.25" customHeight="1" x14ac:dyDescent="0.2">
      <c r="A42" s="1521" t="s">
        <v>1020</v>
      </c>
      <c r="B42" s="1521"/>
      <c r="C42" s="1505" t="s">
        <v>1021</v>
      </c>
      <c r="D42" s="1505"/>
      <c r="E42" s="1505"/>
      <c r="F42" s="1505"/>
      <c r="G42" s="1505"/>
      <c r="H42" s="1505"/>
      <c r="I42" s="1505"/>
      <c r="J42" s="1505"/>
      <c r="K42" s="1505"/>
      <c r="L42" s="664" t="s">
        <v>646</v>
      </c>
      <c r="M42" s="1520">
        <v>100</v>
      </c>
      <c r="N42" s="1520"/>
      <c r="O42" s="1474">
        <v>0.1</v>
      </c>
      <c r="P42" s="1474"/>
      <c r="Q42" s="1474"/>
      <c r="R42" s="663">
        <f t="shared" ref="R42:R55" si="0">TRUNC(M42*O42,2)</f>
        <v>10</v>
      </c>
    </row>
    <row r="43" spans="1:18" ht="14.25" customHeight="1" x14ac:dyDescent="0.2">
      <c r="A43" s="1519" t="s">
        <v>1022</v>
      </c>
      <c r="B43" s="1519"/>
      <c r="C43" s="1505" t="s">
        <v>1023</v>
      </c>
      <c r="D43" s="1505"/>
      <c r="E43" s="1505"/>
      <c r="F43" s="1505"/>
      <c r="G43" s="1505"/>
      <c r="H43" s="1505"/>
      <c r="I43" s="1505"/>
      <c r="J43" s="1505"/>
      <c r="K43" s="1505"/>
      <c r="L43" s="664" t="s">
        <v>646</v>
      </c>
      <c r="M43" s="1520">
        <v>20</v>
      </c>
      <c r="N43" s="1520"/>
      <c r="O43" s="1474">
        <v>1</v>
      </c>
      <c r="P43" s="1474"/>
      <c r="Q43" s="1474"/>
      <c r="R43" s="663">
        <f t="shared" si="0"/>
        <v>20</v>
      </c>
    </row>
    <row r="44" spans="1:18" ht="14.25" customHeight="1" x14ac:dyDescent="0.2">
      <c r="A44" s="1519" t="s">
        <v>1024</v>
      </c>
      <c r="B44" s="1519"/>
      <c r="C44" s="1505" t="s">
        <v>1025</v>
      </c>
      <c r="D44" s="1505"/>
      <c r="E44" s="1505"/>
      <c r="F44" s="1505"/>
      <c r="G44" s="1505"/>
      <c r="H44" s="1505"/>
      <c r="I44" s="1505"/>
      <c r="J44" s="1505"/>
      <c r="K44" s="1505"/>
      <c r="L44" s="664" t="s">
        <v>646</v>
      </c>
      <c r="M44" s="1520">
        <v>5</v>
      </c>
      <c r="N44" s="1520"/>
      <c r="O44" s="1474">
        <v>4.5</v>
      </c>
      <c r="P44" s="1474"/>
      <c r="Q44" s="1474"/>
      <c r="R44" s="663">
        <f t="shared" si="0"/>
        <v>22.5</v>
      </c>
    </row>
    <row r="45" spans="1:18" ht="14.25" customHeight="1" x14ac:dyDescent="0.2">
      <c r="A45" s="1519" t="s">
        <v>1026</v>
      </c>
      <c r="B45" s="1519"/>
      <c r="C45" s="1505" t="s">
        <v>1027</v>
      </c>
      <c r="D45" s="1505"/>
      <c r="E45" s="1505"/>
      <c r="F45" s="1505"/>
      <c r="G45" s="1505"/>
      <c r="H45" s="1505"/>
      <c r="I45" s="1505"/>
      <c r="J45" s="1505"/>
      <c r="K45" s="1505"/>
      <c r="L45" s="664" t="s">
        <v>646</v>
      </c>
      <c r="M45" s="1520">
        <v>2</v>
      </c>
      <c r="N45" s="1520"/>
      <c r="O45" s="1474">
        <v>2.6</v>
      </c>
      <c r="P45" s="1474"/>
      <c r="Q45" s="1474"/>
      <c r="R45" s="663">
        <f t="shared" si="0"/>
        <v>5.2</v>
      </c>
    </row>
    <row r="46" spans="1:18" ht="14.25" customHeight="1" x14ac:dyDescent="0.2">
      <c r="A46" s="1519" t="s">
        <v>1028</v>
      </c>
      <c r="B46" s="1519"/>
      <c r="C46" s="1505" t="s">
        <v>1029</v>
      </c>
      <c r="D46" s="1505"/>
      <c r="E46" s="1505"/>
      <c r="F46" s="1505"/>
      <c r="G46" s="1505"/>
      <c r="H46" s="1505"/>
      <c r="I46" s="1505"/>
      <c r="J46" s="1505"/>
      <c r="K46" s="1505"/>
      <c r="L46" s="664" t="s">
        <v>646</v>
      </c>
      <c r="M46" s="1520">
        <v>1</v>
      </c>
      <c r="N46" s="1520"/>
      <c r="O46" s="1474">
        <v>4.5</v>
      </c>
      <c r="P46" s="1474"/>
      <c r="Q46" s="1474"/>
      <c r="R46" s="663">
        <f t="shared" si="0"/>
        <v>4.5</v>
      </c>
    </row>
    <row r="47" spans="1:18" ht="14.25" customHeight="1" x14ac:dyDescent="0.2">
      <c r="A47" s="1519" t="s">
        <v>1030</v>
      </c>
      <c r="B47" s="1519"/>
      <c r="C47" s="1505" t="s">
        <v>1031</v>
      </c>
      <c r="D47" s="1505"/>
      <c r="E47" s="1505"/>
      <c r="F47" s="1505"/>
      <c r="G47" s="1505"/>
      <c r="H47" s="1505"/>
      <c r="I47" s="1505"/>
      <c r="J47" s="1505"/>
      <c r="K47" s="1505"/>
      <c r="L47" s="664" t="s">
        <v>646</v>
      </c>
      <c r="M47" s="1520">
        <v>1</v>
      </c>
      <c r="N47" s="1520"/>
      <c r="O47" s="1474">
        <v>6</v>
      </c>
      <c r="P47" s="1474"/>
      <c r="Q47" s="1474"/>
      <c r="R47" s="663">
        <f t="shared" si="0"/>
        <v>6</v>
      </c>
    </row>
    <row r="48" spans="1:18" ht="14.25" customHeight="1" x14ac:dyDescent="0.2">
      <c r="A48" s="1519" t="s">
        <v>1032</v>
      </c>
      <c r="B48" s="1519"/>
      <c r="C48" s="1505" t="s">
        <v>1033</v>
      </c>
      <c r="D48" s="1505"/>
      <c r="E48" s="1505"/>
      <c r="F48" s="1505"/>
      <c r="G48" s="1505"/>
      <c r="H48" s="1505"/>
      <c r="I48" s="1505"/>
      <c r="J48" s="1505"/>
      <c r="K48" s="1505"/>
      <c r="L48" s="664" t="s">
        <v>646</v>
      </c>
      <c r="M48" s="1520">
        <v>1</v>
      </c>
      <c r="N48" s="1520"/>
      <c r="O48" s="1474">
        <v>9.1</v>
      </c>
      <c r="P48" s="1474"/>
      <c r="Q48" s="1474"/>
      <c r="R48" s="663">
        <f t="shared" si="0"/>
        <v>9.1</v>
      </c>
    </row>
    <row r="49" spans="1:18" ht="14.25" customHeight="1" x14ac:dyDescent="0.2">
      <c r="A49" s="1519" t="s">
        <v>1034</v>
      </c>
      <c r="B49" s="1519"/>
      <c r="C49" s="1505" t="s">
        <v>1035</v>
      </c>
      <c r="D49" s="1505"/>
      <c r="E49" s="1505"/>
      <c r="F49" s="1505"/>
      <c r="G49" s="1505"/>
      <c r="H49" s="1505"/>
      <c r="I49" s="1505"/>
      <c r="J49" s="1505"/>
      <c r="K49" s="1505"/>
      <c r="L49" s="664" t="s">
        <v>646</v>
      </c>
      <c r="M49" s="1520">
        <v>4</v>
      </c>
      <c r="N49" s="1520"/>
      <c r="O49" s="1474">
        <v>2.9</v>
      </c>
      <c r="P49" s="1474"/>
      <c r="Q49" s="1474"/>
      <c r="R49" s="663">
        <f t="shared" si="0"/>
        <v>11.6</v>
      </c>
    </row>
    <row r="50" spans="1:18" ht="14.25" customHeight="1" x14ac:dyDescent="0.2">
      <c r="A50" s="1519" t="s">
        <v>1036</v>
      </c>
      <c r="B50" s="1519"/>
      <c r="C50" s="1505" t="s">
        <v>1037</v>
      </c>
      <c r="D50" s="1505"/>
      <c r="E50" s="1505"/>
      <c r="F50" s="1505"/>
      <c r="G50" s="1505"/>
      <c r="H50" s="1505"/>
      <c r="I50" s="1505"/>
      <c r="J50" s="1505"/>
      <c r="K50" s="1505"/>
      <c r="L50" s="664" t="s">
        <v>646</v>
      </c>
      <c r="M50" s="1520">
        <v>4</v>
      </c>
      <c r="N50" s="1520"/>
      <c r="O50" s="1474">
        <v>4</v>
      </c>
      <c r="P50" s="1474"/>
      <c r="Q50" s="1474"/>
      <c r="R50" s="663">
        <f t="shared" si="0"/>
        <v>16</v>
      </c>
    </row>
    <row r="51" spans="1:18" ht="14.25" customHeight="1" x14ac:dyDescent="0.2">
      <c r="A51" s="1519" t="s">
        <v>1038</v>
      </c>
      <c r="B51" s="1519"/>
      <c r="C51" s="1505" t="s">
        <v>1039</v>
      </c>
      <c r="D51" s="1505"/>
      <c r="E51" s="1505"/>
      <c r="F51" s="1505"/>
      <c r="G51" s="1505"/>
      <c r="H51" s="1505"/>
      <c r="I51" s="1505"/>
      <c r="J51" s="1505"/>
      <c r="K51" s="1505"/>
      <c r="L51" s="664" t="s">
        <v>646</v>
      </c>
      <c r="M51" s="1520">
        <v>1</v>
      </c>
      <c r="N51" s="1520"/>
      <c r="O51" s="1474">
        <v>6</v>
      </c>
      <c r="P51" s="1474"/>
      <c r="Q51" s="1474"/>
      <c r="R51" s="663">
        <f t="shared" si="0"/>
        <v>6</v>
      </c>
    </row>
    <row r="52" spans="1:18" ht="14.25" customHeight="1" x14ac:dyDescent="0.2">
      <c r="A52" s="1519" t="s">
        <v>1040</v>
      </c>
      <c r="B52" s="1519"/>
      <c r="C52" s="1505" t="s">
        <v>1041</v>
      </c>
      <c r="D52" s="1505"/>
      <c r="E52" s="1505"/>
      <c r="F52" s="1505"/>
      <c r="G52" s="1505"/>
      <c r="H52" s="1505"/>
      <c r="I52" s="1505"/>
      <c r="J52" s="1505"/>
      <c r="K52" s="1505"/>
      <c r="L52" s="664" t="s">
        <v>646</v>
      </c>
      <c r="M52" s="1520">
        <v>1</v>
      </c>
      <c r="N52" s="1520"/>
      <c r="O52" s="1474">
        <v>7.5</v>
      </c>
      <c r="P52" s="1474"/>
      <c r="Q52" s="1474"/>
      <c r="R52" s="663">
        <f t="shared" si="0"/>
        <v>7.5</v>
      </c>
    </row>
    <row r="53" spans="1:18" ht="14.25" customHeight="1" x14ac:dyDescent="0.2">
      <c r="A53" s="1519" t="s">
        <v>1042</v>
      </c>
      <c r="B53" s="1519"/>
      <c r="C53" s="1505" t="s">
        <v>1043</v>
      </c>
      <c r="D53" s="1505"/>
      <c r="E53" s="1505"/>
      <c r="F53" s="1505"/>
      <c r="G53" s="1505"/>
      <c r="H53" s="1505"/>
      <c r="I53" s="1505"/>
      <c r="J53" s="1505"/>
      <c r="K53" s="1505"/>
      <c r="L53" s="664" t="s">
        <v>646</v>
      </c>
      <c r="M53" s="1520">
        <v>1</v>
      </c>
      <c r="N53" s="1520"/>
      <c r="O53" s="1474">
        <v>11</v>
      </c>
      <c r="P53" s="1474"/>
      <c r="Q53" s="1474"/>
      <c r="R53" s="663">
        <f t="shared" si="0"/>
        <v>11</v>
      </c>
    </row>
    <row r="54" spans="1:18" ht="14.25" customHeight="1" x14ac:dyDescent="0.2">
      <c r="A54" s="1519" t="s">
        <v>1044</v>
      </c>
      <c r="B54" s="1519"/>
      <c r="C54" s="1505" t="s">
        <v>1045</v>
      </c>
      <c r="D54" s="1505"/>
      <c r="E54" s="1505"/>
      <c r="F54" s="1505"/>
      <c r="G54" s="1505"/>
      <c r="H54" s="1505"/>
      <c r="I54" s="1505"/>
      <c r="J54" s="1505"/>
      <c r="K54" s="1505"/>
      <c r="L54" s="664" t="s">
        <v>646</v>
      </c>
      <c r="M54" s="1520">
        <v>1</v>
      </c>
      <c r="N54" s="1520"/>
      <c r="O54" s="1474">
        <v>1</v>
      </c>
      <c r="P54" s="1474"/>
      <c r="Q54" s="1474"/>
      <c r="R54" s="663">
        <f t="shared" si="0"/>
        <v>1</v>
      </c>
    </row>
    <row r="55" spans="1:18" ht="14.25" customHeight="1" x14ac:dyDescent="0.2">
      <c r="A55" s="1519" t="s">
        <v>1046</v>
      </c>
      <c r="B55" s="1519"/>
      <c r="C55" s="1505" t="s">
        <v>1047</v>
      </c>
      <c r="D55" s="1505"/>
      <c r="E55" s="1505"/>
      <c r="F55" s="1505"/>
      <c r="G55" s="1505"/>
      <c r="H55" s="1505"/>
      <c r="I55" s="1505"/>
      <c r="J55" s="1505"/>
      <c r="K55" s="1505"/>
      <c r="L55" s="664" t="s">
        <v>646</v>
      </c>
      <c r="M55" s="1520">
        <v>1</v>
      </c>
      <c r="N55" s="1520"/>
      <c r="O55" s="1474">
        <v>1.25</v>
      </c>
      <c r="P55" s="1474"/>
      <c r="Q55" s="1474"/>
      <c r="R55" s="663">
        <f t="shared" si="0"/>
        <v>1.25</v>
      </c>
    </row>
    <row r="56" spans="1:18" ht="14.25" customHeight="1" x14ac:dyDescent="0.2">
      <c r="A56" s="1466"/>
      <c r="B56" s="1466"/>
      <c r="C56" s="1467"/>
      <c r="D56" s="1467"/>
      <c r="E56" s="1467"/>
      <c r="F56" s="1467"/>
      <c r="G56" s="1467"/>
      <c r="H56" s="1467"/>
      <c r="I56" s="1467"/>
      <c r="J56" s="1467"/>
      <c r="K56" s="1467"/>
      <c r="L56" s="661"/>
      <c r="M56" s="1526"/>
      <c r="N56" s="1526"/>
      <c r="O56" s="1469" t="s">
        <v>1012</v>
      </c>
      <c r="P56" s="1469"/>
      <c r="Q56" s="1469"/>
      <c r="R56" s="662">
        <f>SUBTOTAL(9,R42:R55)</f>
        <v>131.64999999999998</v>
      </c>
    </row>
    <row r="57" spans="1:18" ht="14.25" customHeight="1" x14ac:dyDescent="0.2">
      <c r="A57" s="1481"/>
      <c r="B57" s="1481"/>
      <c r="C57" s="1507"/>
      <c r="D57" s="1507"/>
      <c r="E57" s="1507"/>
      <c r="F57" s="1507"/>
      <c r="G57" s="1507"/>
      <c r="H57" s="1507"/>
      <c r="I57" s="1507"/>
      <c r="J57" s="1507"/>
      <c r="K57" s="1507"/>
      <c r="L57" s="664"/>
      <c r="M57" s="1517"/>
      <c r="N57" s="1517"/>
      <c r="O57" s="1509"/>
      <c r="P57" s="1509"/>
      <c r="Q57" s="1509"/>
      <c r="R57" s="675"/>
    </row>
    <row r="58" spans="1:18" ht="14.25" customHeight="1" x14ac:dyDescent="0.2">
      <c r="A58" s="1470" t="s">
        <v>1013</v>
      </c>
      <c r="B58" s="1470"/>
      <c r="C58" s="1470"/>
      <c r="D58" s="1470"/>
      <c r="E58" s="1470"/>
      <c r="F58" s="1470"/>
      <c r="G58" s="1470"/>
      <c r="H58" s="1470"/>
      <c r="I58" s="1470"/>
      <c r="J58" s="1470"/>
      <c r="K58" s="1470"/>
      <c r="L58" s="1470"/>
      <c r="M58" s="1470"/>
      <c r="N58" s="1470"/>
      <c r="O58" s="1470"/>
      <c r="P58" s="1470"/>
      <c r="Q58" s="1470"/>
      <c r="R58" s="659">
        <f>SUBTOTAL(9,R38:R57)</f>
        <v>161.26999999999998</v>
      </c>
    </row>
    <row r="59" spans="1:18" ht="14.25" customHeight="1" x14ac:dyDescent="0.2">
      <c r="A59" s="658" t="s">
        <v>1014</v>
      </c>
      <c r="B59" s="656"/>
      <c r="C59" s="657"/>
      <c r="D59" s="656"/>
      <c r="E59" s="656"/>
      <c r="F59" s="656"/>
      <c r="G59" s="656"/>
      <c r="H59" s="656"/>
      <c r="I59" s="656"/>
      <c r="J59" s="656"/>
      <c r="K59" s="656"/>
      <c r="L59" s="656"/>
      <c r="M59" s="656"/>
      <c r="N59" s="656"/>
      <c r="O59" s="655"/>
      <c r="P59" s="655"/>
      <c r="Q59" s="655"/>
      <c r="R59" s="654"/>
    </row>
    <row r="60" spans="1:18" ht="14.25" customHeight="1" thickBot="1" x14ac:dyDescent="0.25">
      <c r="A60" s="648"/>
      <c r="B60" s="644"/>
      <c r="C60" s="646"/>
      <c r="D60" s="647"/>
      <c r="E60" s="647"/>
      <c r="F60" s="645"/>
      <c r="G60" s="646"/>
      <c r="H60" s="645"/>
      <c r="I60" s="645"/>
      <c r="J60" s="644"/>
      <c r="K60" s="646"/>
      <c r="L60" s="645" t="s">
        <v>1016</v>
      </c>
      <c r="M60" s="644"/>
      <c r="N60" s="644"/>
      <c r="O60" s="643"/>
      <c r="P60" s="643"/>
      <c r="Q60" s="643"/>
      <c r="R60" s="642"/>
    </row>
    <row r="61" spans="1:18" ht="14.25" customHeight="1" x14ac:dyDescent="0.2">
      <c r="A61" s="1525" t="s">
        <v>998</v>
      </c>
      <c r="B61" s="1525"/>
      <c r="C61" s="1525"/>
      <c r="D61" s="1525"/>
      <c r="E61" s="1525"/>
      <c r="F61" s="1525"/>
      <c r="G61" s="1525"/>
      <c r="H61" s="1525"/>
      <c r="I61" s="1525"/>
      <c r="J61" s="1525"/>
      <c r="K61" s="1525"/>
      <c r="L61" s="1525"/>
      <c r="M61" s="1525"/>
      <c r="N61" s="1525"/>
      <c r="O61" s="1525"/>
      <c r="P61" s="1525"/>
      <c r="Q61" s="1525"/>
      <c r="R61" s="1525"/>
    </row>
    <row r="62" spans="1:18" ht="14.25" customHeight="1" x14ac:dyDescent="0.2">
      <c r="A62" s="1525"/>
      <c r="B62" s="1525"/>
      <c r="C62" s="1525"/>
      <c r="D62" s="1525"/>
      <c r="E62" s="1525"/>
      <c r="F62" s="1525"/>
      <c r="G62" s="1525"/>
      <c r="H62" s="1525"/>
      <c r="I62" s="1525"/>
      <c r="J62" s="1525"/>
      <c r="K62" s="1525"/>
      <c r="L62" s="1525"/>
      <c r="M62" s="1525"/>
      <c r="N62" s="1525"/>
      <c r="O62" s="1525"/>
      <c r="P62" s="1525"/>
      <c r="Q62" s="1525"/>
      <c r="R62" s="1525"/>
    </row>
    <row r="63" spans="1:18" ht="27.75" customHeight="1" x14ac:dyDescent="0.2">
      <c r="A63" s="678" t="s">
        <v>496</v>
      </c>
      <c r="B63" s="677" t="str">
        <f>'Resumo_1.2'!B30</f>
        <v>1.2.3</v>
      </c>
      <c r="C63" s="1493" t="s">
        <v>942</v>
      </c>
      <c r="D63" s="1493"/>
      <c r="E63" s="1493"/>
      <c r="F63" s="1494" t="s">
        <v>999</v>
      </c>
      <c r="G63" s="1494"/>
      <c r="H63" s="1494"/>
      <c r="I63" s="1495" t="str">
        <f>'Resumo_1.2'!$B$21</f>
        <v>DATA BASE: DATA DE APRESENTAÇÃO DA PROPOSTA</v>
      </c>
      <c r="J63" s="1495"/>
      <c r="K63" s="1495"/>
      <c r="L63" s="1495"/>
      <c r="M63" s="1495"/>
      <c r="N63" s="1495"/>
      <c r="O63" s="1495"/>
      <c r="P63" s="1495"/>
      <c r="Q63" s="1495"/>
      <c r="R63" s="1495"/>
    </row>
    <row r="64" spans="1:18" ht="14.25" customHeight="1" x14ac:dyDescent="0.2">
      <c r="A64" s="1498" t="s">
        <v>1000</v>
      </c>
      <c r="B64" s="1498"/>
      <c r="C64" s="1480" t="s">
        <v>325</v>
      </c>
      <c r="D64" s="1480"/>
      <c r="E64" s="1480"/>
      <c r="F64" s="1480"/>
      <c r="G64" s="1480"/>
      <c r="H64" s="1480"/>
      <c r="I64" s="1480"/>
      <c r="J64" s="1480"/>
      <c r="K64" s="1480"/>
      <c r="L64" s="1480"/>
      <c r="M64" s="1480"/>
      <c r="N64" s="1480"/>
      <c r="O64" s="1480"/>
      <c r="P64" s="1480"/>
      <c r="Q64" s="1499" t="s">
        <v>929</v>
      </c>
      <c r="R64" s="1499"/>
    </row>
    <row r="65" spans="1:20" ht="14.25" customHeight="1" x14ac:dyDescent="0.2">
      <c r="A65" s="1501" t="str">
        <f>'Resumo_1.2'!D30</f>
        <v>CPU-03</v>
      </c>
      <c r="B65" s="1501"/>
      <c r="C65" s="1518" t="str">
        <f>'Resumo_1.2'!C30</f>
        <v>Computador com softwares para manutenção predial.</v>
      </c>
      <c r="D65" s="1518"/>
      <c r="E65" s="1518"/>
      <c r="F65" s="1518"/>
      <c r="G65" s="1518"/>
      <c r="H65" s="1518"/>
      <c r="I65" s="1518"/>
      <c r="J65" s="1518"/>
      <c r="K65" s="1518"/>
      <c r="L65" s="1518"/>
      <c r="M65" s="1518"/>
      <c r="N65" s="1518"/>
      <c r="O65" s="1518"/>
      <c r="P65" s="1518"/>
      <c r="Q65" s="1503" t="s">
        <v>1001</v>
      </c>
      <c r="R65" s="1503"/>
    </row>
    <row r="66" spans="1:20" ht="14.25" customHeight="1" x14ac:dyDescent="0.2">
      <c r="A66" s="1487" t="s">
        <v>1009</v>
      </c>
      <c r="B66" s="1487"/>
      <c r="C66" s="1487"/>
      <c r="D66" s="1487"/>
      <c r="E66" s="1487"/>
      <c r="F66" s="1487"/>
      <c r="G66" s="1487"/>
      <c r="H66" s="1487"/>
      <c r="I66" s="1487"/>
      <c r="J66" s="1487"/>
      <c r="K66" s="1487"/>
      <c r="L66" s="1487"/>
      <c r="M66" s="1487"/>
      <c r="N66" s="1487"/>
      <c r="O66" s="1487"/>
      <c r="P66" s="1487"/>
      <c r="Q66" s="1487"/>
      <c r="R66" s="1487"/>
    </row>
    <row r="67" spans="1:20" ht="14.25" customHeight="1" x14ac:dyDescent="0.2">
      <c r="A67" s="1485" t="s">
        <v>927</v>
      </c>
      <c r="B67" s="1485"/>
      <c r="C67" s="1478" t="s">
        <v>325</v>
      </c>
      <c r="D67" s="1478"/>
      <c r="E67" s="1478"/>
      <c r="F67" s="1478"/>
      <c r="G67" s="1478"/>
      <c r="H67" s="1478"/>
      <c r="I67" s="1478"/>
      <c r="J67" s="1478"/>
      <c r="K67" s="1478"/>
      <c r="L67" s="667" t="s">
        <v>1003</v>
      </c>
      <c r="M67" s="1479" t="s">
        <v>1004</v>
      </c>
      <c r="N67" s="1479"/>
      <c r="O67" s="1479" t="s">
        <v>1005</v>
      </c>
      <c r="P67" s="1479"/>
      <c r="Q67" s="1479"/>
      <c r="R67" s="676" t="s">
        <v>334</v>
      </c>
    </row>
    <row r="68" spans="1:20" ht="14.25" customHeight="1" x14ac:dyDescent="0.2">
      <c r="A68" s="1490"/>
      <c r="B68" s="1490"/>
      <c r="C68" s="1515"/>
      <c r="D68" s="1515"/>
      <c r="E68" s="1515"/>
      <c r="F68" s="1515"/>
      <c r="G68" s="1515"/>
      <c r="H68" s="1515"/>
      <c r="I68" s="1515"/>
      <c r="J68" s="1515"/>
      <c r="K68" s="1515"/>
      <c r="L68" s="661"/>
      <c r="M68" s="1497"/>
      <c r="N68" s="1497"/>
      <c r="O68" s="1516"/>
      <c r="P68" s="1516"/>
      <c r="Q68" s="1516"/>
      <c r="R68" s="663">
        <f>TRUNC(M68*O68,2)</f>
        <v>0</v>
      </c>
    </row>
    <row r="69" spans="1:20" ht="14.25" customHeight="1" x14ac:dyDescent="0.2">
      <c r="A69" s="1481"/>
      <c r="B69" s="1481"/>
      <c r="C69" s="1507"/>
      <c r="D69" s="1507"/>
      <c r="E69" s="1507"/>
      <c r="F69" s="1507"/>
      <c r="G69" s="1507"/>
      <c r="H69" s="1507"/>
      <c r="I69" s="1507"/>
      <c r="J69" s="1507"/>
      <c r="K69" s="1507"/>
      <c r="L69" s="661"/>
      <c r="M69" s="1483"/>
      <c r="N69" s="1483"/>
      <c r="O69" s="1486" t="s">
        <v>1010</v>
      </c>
      <c r="P69" s="1486"/>
      <c r="Q69" s="1486"/>
      <c r="R69" s="662">
        <f>SUBTOTAL(9,R68)</f>
        <v>0</v>
      </c>
    </row>
    <row r="70" spans="1:20" ht="14.25" customHeight="1" x14ac:dyDescent="0.2">
      <c r="A70" s="1484" t="s">
        <v>1011</v>
      </c>
      <c r="B70" s="1484"/>
      <c r="C70" s="1484"/>
      <c r="D70" s="1484"/>
      <c r="E70" s="1484"/>
      <c r="F70" s="1484"/>
      <c r="G70" s="1484"/>
      <c r="H70" s="1484"/>
      <c r="I70" s="1484"/>
      <c r="J70" s="1484"/>
      <c r="K70" s="1484"/>
      <c r="L70" s="1484"/>
      <c r="M70" s="1484"/>
      <c r="N70" s="1484"/>
      <c r="O70" s="1484"/>
      <c r="P70" s="1484"/>
      <c r="Q70" s="1484"/>
      <c r="R70" s="1484"/>
    </row>
    <row r="71" spans="1:20" ht="14.25" customHeight="1" x14ac:dyDescent="0.2">
      <c r="A71" s="1485" t="s">
        <v>927</v>
      </c>
      <c r="B71" s="1485"/>
      <c r="C71" s="1478" t="s">
        <v>325</v>
      </c>
      <c r="D71" s="1478"/>
      <c r="E71" s="1478"/>
      <c r="F71" s="1478"/>
      <c r="G71" s="1478"/>
      <c r="H71" s="1478"/>
      <c r="I71" s="1478"/>
      <c r="J71" s="1478"/>
      <c r="K71" s="1478"/>
      <c r="L71" s="667" t="s">
        <v>1003</v>
      </c>
      <c r="M71" s="1514" t="s">
        <v>1004</v>
      </c>
      <c r="N71" s="1514"/>
      <c r="O71" s="1479" t="s">
        <v>1005</v>
      </c>
      <c r="P71" s="1479"/>
      <c r="Q71" s="1479"/>
      <c r="R71" s="666" t="s">
        <v>334</v>
      </c>
    </row>
    <row r="72" spans="1:20" ht="32.450000000000003" customHeight="1" x14ac:dyDescent="0.2">
      <c r="A72" s="1512" t="s">
        <v>1048</v>
      </c>
      <c r="B72" s="1512"/>
      <c r="C72" s="1513" t="s">
        <v>1049</v>
      </c>
      <c r="D72" s="1513"/>
      <c r="E72" s="1513"/>
      <c r="F72" s="1513"/>
      <c r="G72" s="1513"/>
      <c r="H72" s="1513"/>
      <c r="I72" s="1513"/>
      <c r="J72" s="1513"/>
      <c r="K72" s="1513"/>
      <c r="L72" s="664" t="s">
        <v>1003</v>
      </c>
      <c r="M72" s="1506">
        <v>4</v>
      </c>
      <c r="N72" s="1506"/>
      <c r="O72" s="1474">
        <f>3727.26*0.8/60</f>
        <v>49.69680000000001</v>
      </c>
      <c r="P72" s="1474"/>
      <c r="Q72" s="1474"/>
      <c r="R72" s="663">
        <f>TRUNC(M72*O72,2)</f>
        <v>198.78</v>
      </c>
    </row>
    <row r="73" spans="1:20" ht="14.25" customHeight="1" x14ac:dyDescent="0.2">
      <c r="A73" s="1475" t="s">
        <v>1050</v>
      </c>
      <c r="B73" s="1475"/>
      <c r="C73" s="1505" t="s">
        <v>1051</v>
      </c>
      <c r="D73" s="1505"/>
      <c r="E73" s="1505"/>
      <c r="F73" s="1505"/>
      <c r="G73" s="1505"/>
      <c r="H73" s="1505"/>
      <c r="I73" s="1505"/>
      <c r="J73" s="1505"/>
      <c r="K73" s="1505"/>
      <c r="L73" s="664" t="s">
        <v>1052</v>
      </c>
      <c r="M73" s="1506">
        <f>1/12</f>
        <v>8.3333333333333329E-2</v>
      </c>
      <c r="N73" s="1506"/>
      <c r="O73" s="1474">
        <v>74.88</v>
      </c>
      <c r="P73" s="1474"/>
      <c r="Q73" s="1474"/>
      <c r="R73" s="663">
        <f>TRUNC(M73*O73,2)</f>
        <v>6.24</v>
      </c>
    </row>
    <row r="74" spans="1:20" ht="14.25" customHeight="1" x14ac:dyDescent="0.2">
      <c r="A74" s="1475" t="s">
        <v>1053</v>
      </c>
      <c r="B74" s="1475"/>
      <c r="C74" s="1505" t="s">
        <v>1054</v>
      </c>
      <c r="D74" s="1505"/>
      <c r="E74" s="1505"/>
      <c r="F74" s="1505"/>
      <c r="G74" s="1505"/>
      <c r="H74" s="1505"/>
      <c r="I74" s="1505"/>
      <c r="J74" s="1505"/>
      <c r="K74" s="1505"/>
      <c r="L74" s="664" t="s">
        <v>1052</v>
      </c>
      <c r="M74" s="1506">
        <f>1/12</f>
        <v>8.3333333333333329E-2</v>
      </c>
      <c r="N74" s="1506"/>
      <c r="O74" s="1474">
        <v>299</v>
      </c>
      <c r="P74" s="1474"/>
      <c r="Q74" s="1474"/>
      <c r="R74" s="663">
        <f>TRUNC(M74*O74,2)</f>
        <v>24.91</v>
      </c>
    </row>
    <row r="75" spans="1:20" ht="14.25" customHeight="1" x14ac:dyDescent="0.2">
      <c r="A75" s="1475"/>
      <c r="B75" s="1475"/>
      <c r="C75" s="1510"/>
      <c r="D75" s="1510"/>
      <c r="E75" s="1510"/>
      <c r="F75" s="1510"/>
      <c r="G75" s="1510"/>
      <c r="H75" s="1510"/>
      <c r="I75" s="1510"/>
      <c r="J75" s="1510"/>
      <c r="K75" s="1510"/>
      <c r="L75" s="664"/>
      <c r="M75" s="1511"/>
      <c r="N75" s="1511"/>
      <c r="O75" s="1477"/>
      <c r="P75" s="1477"/>
      <c r="Q75" s="1477"/>
      <c r="R75" s="663"/>
    </row>
    <row r="76" spans="1:20" ht="14.25" customHeight="1" x14ac:dyDescent="0.2">
      <c r="A76" s="1466"/>
      <c r="B76" s="1466"/>
      <c r="C76" s="1467"/>
      <c r="D76" s="1467"/>
      <c r="E76" s="1467"/>
      <c r="F76" s="1467"/>
      <c r="G76" s="1467"/>
      <c r="H76" s="1467"/>
      <c r="I76" s="1467"/>
      <c r="J76" s="1467"/>
      <c r="K76" s="1467"/>
      <c r="L76" s="661"/>
      <c r="M76" s="1526"/>
      <c r="N76" s="1526"/>
      <c r="O76" s="1469" t="s">
        <v>1012</v>
      </c>
      <c r="P76" s="1469"/>
      <c r="Q76" s="1469"/>
      <c r="R76" s="662">
        <f>SUBTOTAL(9,R72:R75)</f>
        <v>229.93</v>
      </c>
    </row>
    <row r="77" spans="1:20" ht="14.25" customHeight="1" x14ac:dyDescent="0.2">
      <c r="A77" s="1528"/>
      <c r="B77" s="1528"/>
      <c r="C77" s="1529"/>
      <c r="D77" s="1529"/>
      <c r="E77" s="1529"/>
      <c r="F77" s="1529"/>
      <c r="G77" s="1529"/>
      <c r="H77" s="1529"/>
      <c r="I77" s="1529"/>
      <c r="J77" s="1529"/>
      <c r="K77" s="1529"/>
      <c r="L77" s="664"/>
      <c r="M77" s="1530"/>
      <c r="N77" s="1530"/>
      <c r="O77" s="1531"/>
      <c r="P77" s="1531"/>
      <c r="Q77" s="1531"/>
      <c r="R77" s="675"/>
    </row>
    <row r="78" spans="1:20" ht="14.25" customHeight="1" x14ac:dyDescent="0.2">
      <c r="A78" s="1527" t="s">
        <v>1013</v>
      </c>
      <c r="B78" s="1527"/>
      <c r="C78" s="1527"/>
      <c r="D78" s="1527"/>
      <c r="E78" s="1527"/>
      <c r="F78" s="1527"/>
      <c r="G78" s="1527"/>
      <c r="H78" s="1527"/>
      <c r="I78" s="1527"/>
      <c r="J78" s="1527"/>
      <c r="K78" s="1527"/>
      <c r="L78" s="1527"/>
      <c r="M78" s="1527"/>
      <c r="N78" s="1527"/>
      <c r="O78" s="1527"/>
      <c r="P78" s="1527"/>
      <c r="Q78" s="1527"/>
      <c r="R78" s="659">
        <f>SUBTOTAL(9,R68:R77)</f>
        <v>229.93</v>
      </c>
      <c r="T78" s="736"/>
    </row>
    <row r="79" spans="1:20" ht="14.25" customHeight="1" x14ac:dyDescent="0.2">
      <c r="A79" s="681" t="s">
        <v>1014</v>
      </c>
      <c r="B79" s="679"/>
      <c r="C79" s="680"/>
      <c r="D79" s="679"/>
      <c r="E79" s="679"/>
      <c r="F79" s="679"/>
      <c r="G79" s="679"/>
      <c r="H79" s="679"/>
      <c r="I79" s="679"/>
      <c r="J79" s="679"/>
      <c r="K79" s="679"/>
      <c r="L79" s="679"/>
      <c r="M79" s="679"/>
      <c r="N79" s="679"/>
      <c r="O79" s="650"/>
      <c r="P79" s="650"/>
      <c r="Q79" s="650"/>
      <c r="R79" s="654"/>
    </row>
    <row r="80" spans="1:20" ht="14.25" customHeight="1" x14ac:dyDescent="0.2">
      <c r="A80" s="653" t="s">
        <v>1055</v>
      </c>
      <c r="B80" s="651"/>
      <c r="C80" s="652"/>
      <c r="D80" s="651"/>
      <c r="E80" s="651"/>
      <c r="F80" s="651"/>
      <c r="G80" s="651"/>
      <c r="H80" s="651"/>
      <c r="I80" s="651"/>
      <c r="J80" s="651"/>
      <c r="K80" s="651"/>
      <c r="L80" s="651"/>
      <c r="M80" s="651"/>
      <c r="N80" s="651"/>
      <c r="O80" s="650"/>
      <c r="P80" s="650"/>
      <c r="Q80" s="650"/>
      <c r="R80" s="674"/>
    </row>
    <row r="81" spans="1:18" ht="14.25" customHeight="1" x14ac:dyDescent="0.2">
      <c r="A81" s="653" t="s">
        <v>1056</v>
      </c>
      <c r="B81" s="651"/>
      <c r="C81" s="652"/>
      <c r="D81" s="651"/>
      <c r="E81" s="651"/>
      <c r="F81" s="651"/>
      <c r="G81" s="651"/>
      <c r="H81" s="651"/>
      <c r="I81" s="651"/>
      <c r="J81" s="651"/>
      <c r="K81" s="651"/>
      <c r="L81" s="651"/>
      <c r="M81" s="651"/>
      <c r="N81" s="651"/>
      <c r="O81" s="650"/>
      <c r="P81" s="650"/>
      <c r="Q81" s="650"/>
      <c r="R81" s="674"/>
    </row>
    <row r="82" spans="1:18" ht="14.25" customHeight="1" x14ac:dyDescent="0.2">
      <c r="A82" s="653" t="s">
        <v>1057</v>
      </c>
      <c r="B82" s="651"/>
      <c r="C82" s="652"/>
      <c r="D82" s="651"/>
      <c r="E82" s="651"/>
      <c r="F82" s="651"/>
      <c r="G82" s="651"/>
      <c r="H82" s="651"/>
      <c r="I82" s="651"/>
      <c r="J82" s="651"/>
      <c r="K82" s="651"/>
      <c r="L82" s="651"/>
      <c r="M82" s="651"/>
      <c r="N82" s="651"/>
      <c r="O82" s="650"/>
      <c r="P82" s="650"/>
      <c r="Q82" s="650"/>
      <c r="R82" s="674"/>
    </row>
    <row r="83" spans="1:18" ht="14.25" customHeight="1" thickBot="1" x14ac:dyDescent="0.25">
      <c r="A83" s="648"/>
      <c r="B83" s="644"/>
      <c r="C83" s="646"/>
      <c r="D83" s="647"/>
      <c r="E83" s="647"/>
      <c r="F83" s="645"/>
      <c r="G83" s="646"/>
      <c r="H83" s="645"/>
      <c r="I83" s="645"/>
      <c r="J83" s="644"/>
      <c r="K83" s="646"/>
      <c r="L83" s="645" t="s">
        <v>1016</v>
      </c>
      <c r="M83" s="644"/>
      <c r="N83" s="644"/>
      <c r="O83" s="643"/>
      <c r="P83" s="643"/>
      <c r="Q83" s="643"/>
      <c r="R83" s="642"/>
    </row>
    <row r="84" spans="1:18" ht="14.25" customHeight="1" thickBot="1" x14ac:dyDescent="0.25">
      <c r="A84" s="1524" t="s">
        <v>998</v>
      </c>
      <c r="B84" s="1524"/>
      <c r="C84" s="1524"/>
      <c r="D84" s="1524"/>
      <c r="E84" s="1524"/>
      <c r="F84" s="1524"/>
      <c r="G84" s="1524"/>
      <c r="H84" s="1524"/>
      <c r="I84" s="1524"/>
      <c r="J84" s="1524"/>
      <c r="K84" s="1524"/>
      <c r="L84" s="1524"/>
      <c r="M84" s="1524"/>
      <c r="N84" s="1524"/>
      <c r="O84" s="1524"/>
      <c r="P84" s="1524"/>
      <c r="Q84" s="1524"/>
      <c r="R84" s="1524"/>
    </row>
    <row r="85" spans="1:18" ht="14.25" customHeight="1" x14ac:dyDescent="0.2">
      <c r="A85" s="1524"/>
      <c r="B85" s="1524"/>
      <c r="C85" s="1524"/>
      <c r="D85" s="1524"/>
      <c r="E85" s="1524"/>
      <c r="F85" s="1524"/>
      <c r="G85" s="1524"/>
      <c r="H85" s="1524"/>
      <c r="I85" s="1524"/>
      <c r="J85" s="1524"/>
      <c r="K85" s="1524"/>
      <c r="L85" s="1524"/>
      <c r="M85" s="1524"/>
      <c r="N85" s="1524"/>
      <c r="O85" s="1524"/>
      <c r="P85" s="1524"/>
      <c r="Q85" s="1524"/>
      <c r="R85" s="1524"/>
    </row>
    <row r="86" spans="1:18" ht="29.25" customHeight="1" x14ac:dyDescent="0.2">
      <c r="A86" s="678" t="s">
        <v>496</v>
      </c>
      <c r="B86" s="677" t="str">
        <f>'Resumo_1.2'!B31</f>
        <v>1.2.4</v>
      </c>
      <c r="C86" s="1493" t="s">
        <v>946</v>
      </c>
      <c r="D86" s="1493"/>
      <c r="E86" s="1493"/>
      <c r="F86" s="1494" t="s">
        <v>999</v>
      </c>
      <c r="G86" s="1494"/>
      <c r="H86" s="1494"/>
      <c r="I86" s="1495" t="str">
        <f>'Resumo_1.2'!$B$21</f>
        <v>DATA BASE: DATA DE APRESENTAÇÃO DA PROPOSTA</v>
      </c>
      <c r="J86" s="1495"/>
      <c r="K86" s="1495"/>
      <c r="L86" s="1495"/>
      <c r="M86" s="1495"/>
      <c r="N86" s="1495"/>
      <c r="O86" s="1495"/>
      <c r="P86" s="1495"/>
      <c r="Q86" s="1495"/>
      <c r="R86" s="1495"/>
    </row>
    <row r="87" spans="1:18" ht="14.25" customHeight="1" x14ac:dyDescent="0.2">
      <c r="A87" s="1498" t="s">
        <v>1000</v>
      </c>
      <c r="B87" s="1498"/>
      <c r="C87" s="1480" t="s">
        <v>325</v>
      </c>
      <c r="D87" s="1480"/>
      <c r="E87" s="1480"/>
      <c r="F87" s="1480"/>
      <c r="G87" s="1480"/>
      <c r="H87" s="1480"/>
      <c r="I87" s="1480"/>
      <c r="J87" s="1480"/>
      <c r="K87" s="1480"/>
      <c r="L87" s="1480"/>
      <c r="M87" s="1480"/>
      <c r="N87" s="1480"/>
      <c r="O87" s="1480"/>
      <c r="P87" s="1480"/>
      <c r="Q87" s="1499" t="s">
        <v>929</v>
      </c>
      <c r="R87" s="1499"/>
    </row>
    <row r="88" spans="1:18" ht="14.25" customHeight="1" x14ac:dyDescent="0.2">
      <c r="A88" s="1501" t="str">
        <f>'Resumo_1.2'!D31</f>
        <v>CPU-04</v>
      </c>
      <c r="B88" s="1501"/>
      <c r="C88" s="1518" t="str">
        <f>'Resumo_1.2'!C31</f>
        <v>Telefonia móvel e internet.</v>
      </c>
      <c r="D88" s="1518"/>
      <c r="E88" s="1518"/>
      <c r="F88" s="1518"/>
      <c r="G88" s="1518"/>
      <c r="H88" s="1518"/>
      <c r="I88" s="1518"/>
      <c r="J88" s="1518"/>
      <c r="K88" s="1518"/>
      <c r="L88" s="1518"/>
      <c r="M88" s="1518"/>
      <c r="N88" s="1518"/>
      <c r="O88" s="1518"/>
      <c r="P88" s="1518"/>
      <c r="Q88" s="1503" t="s">
        <v>1001</v>
      </c>
      <c r="R88" s="1503"/>
    </row>
    <row r="89" spans="1:18" ht="14.25" customHeight="1" x14ac:dyDescent="0.2">
      <c r="A89" s="1487" t="s">
        <v>1009</v>
      </c>
      <c r="B89" s="1487"/>
      <c r="C89" s="1487"/>
      <c r="D89" s="1487"/>
      <c r="E89" s="1487"/>
      <c r="F89" s="1487"/>
      <c r="G89" s="1487"/>
      <c r="H89" s="1487"/>
      <c r="I89" s="1487"/>
      <c r="J89" s="1487"/>
      <c r="K89" s="1487"/>
      <c r="L89" s="1487"/>
      <c r="M89" s="1487"/>
      <c r="N89" s="1487"/>
      <c r="O89" s="1487"/>
      <c r="P89" s="1487"/>
      <c r="Q89" s="1487"/>
      <c r="R89" s="1487"/>
    </row>
    <row r="90" spans="1:18" ht="14.25" customHeight="1" x14ac:dyDescent="0.2">
      <c r="A90" s="1485" t="s">
        <v>927</v>
      </c>
      <c r="B90" s="1485"/>
      <c r="C90" s="1478" t="s">
        <v>325</v>
      </c>
      <c r="D90" s="1478"/>
      <c r="E90" s="1478"/>
      <c r="F90" s="1478"/>
      <c r="G90" s="1478"/>
      <c r="H90" s="1478"/>
      <c r="I90" s="1478"/>
      <c r="J90" s="1478"/>
      <c r="K90" s="1478"/>
      <c r="L90" s="667" t="s">
        <v>1003</v>
      </c>
      <c r="M90" s="1479" t="s">
        <v>1004</v>
      </c>
      <c r="N90" s="1479"/>
      <c r="O90" s="1479" t="s">
        <v>1005</v>
      </c>
      <c r="P90" s="1479"/>
      <c r="Q90" s="1479"/>
      <c r="R90" s="676" t="s">
        <v>334</v>
      </c>
    </row>
    <row r="91" spans="1:18" ht="14.25" customHeight="1" x14ac:dyDescent="0.2">
      <c r="A91" s="1490"/>
      <c r="B91" s="1490"/>
      <c r="C91" s="1515"/>
      <c r="D91" s="1515"/>
      <c r="E91" s="1515"/>
      <c r="F91" s="1515"/>
      <c r="G91" s="1515"/>
      <c r="H91" s="1515"/>
      <c r="I91" s="1515"/>
      <c r="J91" s="1515"/>
      <c r="K91" s="1515"/>
      <c r="L91" s="661"/>
      <c r="M91" s="1497"/>
      <c r="N91" s="1497"/>
      <c r="O91" s="1516"/>
      <c r="P91" s="1516"/>
      <c r="Q91" s="1516"/>
      <c r="R91" s="663">
        <f>TRUNC(M91*O91,2)</f>
        <v>0</v>
      </c>
    </row>
    <row r="92" spans="1:18" ht="14.25" customHeight="1" x14ac:dyDescent="0.2">
      <c r="A92" s="1481"/>
      <c r="B92" s="1481"/>
      <c r="C92" s="1507"/>
      <c r="D92" s="1507"/>
      <c r="E92" s="1507"/>
      <c r="F92" s="1507"/>
      <c r="G92" s="1507"/>
      <c r="H92" s="1507"/>
      <c r="I92" s="1507"/>
      <c r="J92" s="1507"/>
      <c r="K92" s="1507"/>
      <c r="L92" s="661"/>
      <c r="M92" s="1483"/>
      <c r="N92" s="1483"/>
      <c r="O92" s="1486" t="s">
        <v>1010</v>
      </c>
      <c r="P92" s="1486"/>
      <c r="Q92" s="1486"/>
      <c r="R92" s="662">
        <f>SUBTOTAL(9,R91)</f>
        <v>0</v>
      </c>
    </row>
    <row r="93" spans="1:18" ht="14.25" customHeight="1" x14ac:dyDescent="0.2">
      <c r="A93" s="1484" t="s">
        <v>1011</v>
      </c>
      <c r="B93" s="1484"/>
      <c r="C93" s="1484"/>
      <c r="D93" s="1484"/>
      <c r="E93" s="1484"/>
      <c r="F93" s="1484"/>
      <c r="G93" s="1484"/>
      <c r="H93" s="1484"/>
      <c r="I93" s="1484"/>
      <c r="J93" s="1484"/>
      <c r="K93" s="1484"/>
      <c r="L93" s="1484"/>
      <c r="M93" s="1484"/>
      <c r="N93" s="1484"/>
      <c r="O93" s="1484"/>
      <c r="P93" s="1484"/>
      <c r="Q93" s="1484"/>
      <c r="R93" s="1484"/>
    </row>
    <row r="94" spans="1:18" ht="14.25" customHeight="1" x14ac:dyDescent="0.2">
      <c r="A94" s="1485" t="s">
        <v>927</v>
      </c>
      <c r="B94" s="1485"/>
      <c r="C94" s="1478" t="s">
        <v>325</v>
      </c>
      <c r="D94" s="1478"/>
      <c r="E94" s="1478"/>
      <c r="F94" s="1478"/>
      <c r="G94" s="1478"/>
      <c r="H94" s="1478"/>
      <c r="I94" s="1478"/>
      <c r="J94" s="1478"/>
      <c r="K94" s="1478"/>
      <c r="L94" s="667" t="s">
        <v>1003</v>
      </c>
      <c r="M94" s="1479" t="s">
        <v>1004</v>
      </c>
      <c r="N94" s="1479"/>
      <c r="O94" s="1479" t="s">
        <v>1005</v>
      </c>
      <c r="P94" s="1479"/>
      <c r="Q94" s="1479"/>
      <c r="R94" s="666" t="s">
        <v>334</v>
      </c>
    </row>
    <row r="95" spans="1:18" ht="14.25" customHeight="1" x14ac:dyDescent="0.2">
      <c r="A95" s="1475" t="s">
        <v>619</v>
      </c>
      <c r="B95" s="1475"/>
      <c r="C95" s="1505" t="s">
        <v>1058</v>
      </c>
      <c r="D95" s="1505"/>
      <c r="E95" s="1505"/>
      <c r="F95" s="1505"/>
      <c r="G95" s="1505"/>
      <c r="H95" s="1505"/>
      <c r="I95" s="1505"/>
      <c r="J95" s="1505"/>
      <c r="K95" s="1505"/>
      <c r="L95" s="664" t="s">
        <v>964</v>
      </c>
      <c r="M95" s="1506">
        <v>4</v>
      </c>
      <c r="N95" s="1506"/>
      <c r="O95" s="1500">
        <v>27.39</v>
      </c>
      <c r="P95" s="1500"/>
      <c r="Q95" s="1500"/>
      <c r="R95" s="663">
        <f>TRUNC(M95*O95,2)</f>
        <v>109.56</v>
      </c>
    </row>
    <row r="96" spans="1:18" ht="14.25" customHeight="1" x14ac:dyDescent="0.2">
      <c r="A96" s="1475" t="s">
        <v>1059</v>
      </c>
      <c r="B96" s="1475"/>
      <c r="C96" s="1505" t="s">
        <v>1060</v>
      </c>
      <c r="D96" s="1505"/>
      <c r="E96" s="1505"/>
      <c r="F96" s="1505"/>
      <c r="G96" s="1505"/>
      <c r="H96" s="1505"/>
      <c r="I96" s="1505"/>
      <c r="J96" s="1505"/>
      <c r="K96" s="1505"/>
      <c r="L96" s="664" t="s">
        <v>964</v>
      </c>
      <c r="M96" s="1506">
        <v>4</v>
      </c>
      <c r="N96" s="1506"/>
      <c r="O96" s="1474">
        <v>89</v>
      </c>
      <c r="P96" s="1474"/>
      <c r="Q96" s="1474"/>
      <c r="R96" s="663">
        <f>TRUNC(M96*O96,2)</f>
        <v>356</v>
      </c>
    </row>
    <row r="97" spans="1:18" ht="14.25" customHeight="1" x14ac:dyDescent="0.2">
      <c r="A97" s="1466"/>
      <c r="B97" s="1466"/>
      <c r="C97" s="1467"/>
      <c r="D97" s="1467"/>
      <c r="E97" s="1467"/>
      <c r="F97" s="1467"/>
      <c r="G97" s="1467"/>
      <c r="H97" s="1467"/>
      <c r="I97" s="1467"/>
      <c r="J97" s="1467"/>
      <c r="K97" s="1467"/>
      <c r="L97" s="661"/>
      <c r="M97" s="1468"/>
      <c r="N97" s="1468"/>
      <c r="O97" s="1469" t="s">
        <v>1012</v>
      </c>
      <c r="P97" s="1469"/>
      <c r="Q97" s="1469"/>
      <c r="R97" s="662">
        <f>SUBTOTAL(9,R95:R96)</f>
        <v>465.56</v>
      </c>
    </row>
    <row r="98" spans="1:18" ht="14.25" customHeight="1" x14ac:dyDescent="0.2">
      <c r="A98" s="1481"/>
      <c r="B98" s="1481"/>
      <c r="C98" s="1507"/>
      <c r="D98" s="1507"/>
      <c r="E98" s="1507"/>
      <c r="F98" s="1507"/>
      <c r="G98" s="1507"/>
      <c r="H98" s="1507"/>
      <c r="I98" s="1507"/>
      <c r="J98" s="1507"/>
      <c r="K98" s="1507"/>
      <c r="L98" s="664"/>
      <c r="M98" s="1508"/>
      <c r="N98" s="1508"/>
      <c r="O98" s="1509"/>
      <c r="P98" s="1509"/>
      <c r="Q98" s="1509"/>
      <c r="R98" s="675"/>
    </row>
    <row r="99" spans="1:18" ht="14.25" customHeight="1" x14ac:dyDescent="0.2">
      <c r="A99" s="1470" t="s">
        <v>1013</v>
      </c>
      <c r="B99" s="1470"/>
      <c r="C99" s="1470"/>
      <c r="D99" s="1470"/>
      <c r="E99" s="1470"/>
      <c r="F99" s="1470"/>
      <c r="G99" s="1470"/>
      <c r="H99" s="1470"/>
      <c r="I99" s="1470"/>
      <c r="J99" s="1470"/>
      <c r="K99" s="1470"/>
      <c r="L99" s="1470"/>
      <c r="M99" s="1470"/>
      <c r="N99" s="1470"/>
      <c r="O99" s="1470"/>
      <c r="P99" s="1470"/>
      <c r="Q99" s="1470"/>
      <c r="R99" s="659">
        <f>SUBTOTAL(9,R91:R98)</f>
        <v>465.56</v>
      </c>
    </row>
    <row r="100" spans="1:18" ht="14.25" customHeight="1" x14ac:dyDescent="0.2">
      <c r="A100" s="658" t="s">
        <v>1014</v>
      </c>
      <c r="B100" s="656"/>
      <c r="C100" s="657"/>
      <c r="D100" s="656"/>
      <c r="E100" s="656"/>
      <c r="F100" s="656"/>
      <c r="G100" s="656"/>
      <c r="H100" s="656"/>
      <c r="I100" s="656"/>
      <c r="J100" s="656"/>
      <c r="K100" s="656"/>
      <c r="L100" s="656"/>
      <c r="M100" s="656"/>
      <c r="N100" s="656"/>
      <c r="O100" s="655"/>
      <c r="P100" s="655"/>
      <c r="Q100" s="655"/>
      <c r="R100" s="654"/>
    </row>
    <row r="101" spans="1:18" ht="14.25" customHeight="1" x14ac:dyDescent="0.2">
      <c r="A101" s="653" t="s">
        <v>1061</v>
      </c>
      <c r="B101" s="651"/>
      <c r="C101" s="652"/>
      <c r="D101" s="651"/>
      <c r="E101" s="651"/>
      <c r="F101" s="651"/>
      <c r="G101" s="651"/>
      <c r="H101" s="651"/>
      <c r="I101" s="651"/>
      <c r="J101" s="651"/>
      <c r="K101" s="651"/>
      <c r="L101" s="651"/>
      <c r="M101" s="651"/>
      <c r="N101" s="651"/>
      <c r="O101" s="650"/>
      <c r="P101" s="650"/>
      <c r="Q101" s="650"/>
      <c r="R101" s="674"/>
    </row>
    <row r="102" spans="1:18" ht="14.25" customHeight="1" thickBot="1" x14ac:dyDescent="0.25">
      <c r="A102" s="648"/>
      <c r="B102" s="644"/>
      <c r="C102" s="646"/>
      <c r="D102" s="647"/>
      <c r="E102" s="647"/>
      <c r="F102" s="645"/>
      <c r="G102" s="646"/>
      <c r="H102" s="645"/>
      <c r="I102" s="645"/>
      <c r="J102" s="644"/>
      <c r="K102" s="646"/>
      <c r="L102" s="645" t="s">
        <v>1016</v>
      </c>
      <c r="M102" s="644"/>
      <c r="N102" s="644"/>
      <c r="O102" s="643"/>
      <c r="P102" s="643"/>
      <c r="Q102" s="643"/>
      <c r="R102" s="642"/>
    </row>
    <row r="103" spans="1:18" ht="14.25" customHeight="1" thickBot="1" x14ac:dyDescent="0.25">
      <c r="A103" s="1524" t="s">
        <v>998</v>
      </c>
      <c r="B103" s="1524"/>
      <c r="C103" s="1524"/>
      <c r="D103" s="1524"/>
      <c r="E103" s="1524"/>
      <c r="F103" s="1524"/>
      <c r="G103" s="1524"/>
      <c r="H103" s="1524"/>
      <c r="I103" s="1524"/>
      <c r="J103" s="1524"/>
      <c r="K103" s="1524"/>
      <c r="L103" s="1524"/>
      <c r="M103" s="1524"/>
      <c r="N103" s="1524"/>
      <c r="O103" s="1524"/>
      <c r="P103" s="1524"/>
      <c r="Q103" s="1524"/>
      <c r="R103" s="1524"/>
    </row>
    <row r="104" spans="1:18" ht="14.25" customHeight="1" x14ac:dyDescent="0.2">
      <c r="A104" s="1524"/>
      <c r="B104" s="1524"/>
      <c r="C104" s="1524"/>
      <c r="D104" s="1524"/>
      <c r="E104" s="1524"/>
      <c r="F104" s="1524"/>
      <c r="G104" s="1524"/>
      <c r="H104" s="1524"/>
      <c r="I104" s="1524"/>
      <c r="J104" s="1524"/>
      <c r="K104" s="1524"/>
      <c r="L104" s="1524"/>
      <c r="M104" s="1524"/>
      <c r="N104" s="1524"/>
      <c r="O104" s="1524"/>
      <c r="P104" s="1524"/>
      <c r="Q104" s="1524"/>
      <c r="R104" s="1524"/>
    </row>
    <row r="105" spans="1:18" ht="27.75" customHeight="1" x14ac:dyDescent="0.2">
      <c r="A105" s="678" t="s">
        <v>496</v>
      </c>
      <c r="B105" s="677" t="str">
        <f>'Resumo_1.2'!B32</f>
        <v>1.2.5</v>
      </c>
      <c r="C105" s="1493" t="s">
        <v>946</v>
      </c>
      <c r="D105" s="1493"/>
      <c r="E105" s="1493"/>
      <c r="F105" s="1494" t="s">
        <v>999</v>
      </c>
      <c r="G105" s="1494"/>
      <c r="H105" s="1494"/>
      <c r="I105" s="1495" t="str">
        <f>'Resumo_1.2'!$B$21</f>
        <v>DATA BASE: DATA DE APRESENTAÇÃO DA PROPOSTA</v>
      </c>
      <c r="J105" s="1495"/>
      <c r="K105" s="1495"/>
      <c r="L105" s="1495"/>
      <c r="M105" s="1495"/>
      <c r="N105" s="1495"/>
      <c r="O105" s="1495"/>
      <c r="P105" s="1495"/>
      <c r="Q105" s="1495"/>
      <c r="R105" s="1495"/>
    </row>
    <row r="106" spans="1:18" ht="14.25" customHeight="1" x14ac:dyDescent="0.2">
      <c r="A106" s="1498" t="s">
        <v>1000</v>
      </c>
      <c r="B106" s="1498"/>
      <c r="C106" s="1480" t="s">
        <v>325</v>
      </c>
      <c r="D106" s="1480"/>
      <c r="E106" s="1480"/>
      <c r="F106" s="1480"/>
      <c r="G106" s="1480"/>
      <c r="H106" s="1480"/>
      <c r="I106" s="1480"/>
      <c r="J106" s="1480"/>
      <c r="K106" s="1480"/>
      <c r="L106" s="1480"/>
      <c r="M106" s="1480"/>
      <c r="N106" s="1480"/>
      <c r="O106" s="1480"/>
      <c r="P106" s="1480"/>
      <c r="Q106" s="1499" t="s">
        <v>929</v>
      </c>
      <c r="R106" s="1499"/>
    </row>
    <row r="107" spans="1:18" ht="14.25" customHeight="1" x14ac:dyDescent="0.2">
      <c r="A107" s="1501" t="str">
        <f>'Resumo_1.2'!D32</f>
        <v>CPU-05</v>
      </c>
      <c r="B107" s="1501"/>
      <c r="C107" s="1518" t="str">
        <f>'Resumo_1.2'!C32</f>
        <v>Materiais de consumo de escritório (canetas, réguas, grampeadores, papel, etc.)</v>
      </c>
      <c r="D107" s="1518"/>
      <c r="E107" s="1518"/>
      <c r="F107" s="1518"/>
      <c r="G107" s="1518"/>
      <c r="H107" s="1518"/>
      <c r="I107" s="1518"/>
      <c r="J107" s="1518"/>
      <c r="K107" s="1518"/>
      <c r="L107" s="1518"/>
      <c r="M107" s="1518"/>
      <c r="N107" s="1518"/>
      <c r="O107" s="1518"/>
      <c r="P107" s="1518"/>
      <c r="Q107" s="1503" t="s">
        <v>1062</v>
      </c>
      <c r="R107" s="1503"/>
    </row>
    <row r="108" spans="1:18" ht="14.25" customHeight="1" x14ac:dyDescent="0.2">
      <c r="A108" s="1487" t="s">
        <v>1009</v>
      </c>
      <c r="B108" s="1487"/>
      <c r="C108" s="1487"/>
      <c r="D108" s="1487"/>
      <c r="E108" s="1487"/>
      <c r="F108" s="1487"/>
      <c r="G108" s="1487"/>
      <c r="H108" s="1487"/>
      <c r="I108" s="1487"/>
      <c r="J108" s="1487"/>
      <c r="K108" s="1487"/>
      <c r="L108" s="1487"/>
      <c r="M108" s="1487"/>
      <c r="N108" s="1487"/>
      <c r="O108" s="1487"/>
      <c r="P108" s="1487"/>
      <c r="Q108" s="1487"/>
      <c r="R108" s="1487"/>
    </row>
    <row r="109" spans="1:18" ht="14.25" customHeight="1" x14ac:dyDescent="0.2">
      <c r="A109" s="1485" t="s">
        <v>927</v>
      </c>
      <c r="B109" s="1485"/>
      <c r="C109" s="1478" t="s">
        <v>325</v>
      </c>
      <c r="D109" s="1478"/>
      <c r="E109" s="1478"/>
      <c r="F109" s="1478"/>
      <c r="G109" s="1478"/>
      <c r="H109" s="1478"/>
      <c r="I109" s="1478"/>
      <c r="J109" s="1478"/>
      <c r="K109" s="1478"/>
      <c r="L109" s="667" t="s">
        <v>1003</v>
      </c>
      <c r="M109" s="1479" t="s">
        <v>1004</v>
      </c>
      <c r="N109" s="1479"/>
      <c r="O109" s="1479" t="s">
        <v>1005</v>
      </c>
      <c r="P109" s="1479"/>
      <c r="Q109" s="1479"/>
      <c r="R109" s="676" t="s">
        <v>334</v>
      </c>
    </row>
    <row r="110" spans="1:18" ht="14.25" customHeight="1" x14ac:dyDescent="0.2">
      <c r="A110" s="1490"/>
      <c r="B110" s="1490"/>
      <c r="C110" s="1515"/>
      <c r="D110" s="1515"/>
      <c r="E110" s="1515"/>
      <c r="F110" s="1515"/>
      <c r="G110" s="1515"/>
      <c r="H110" s="1515"/>
      <c r="I110" s="1515"/>
      <c r="J110" s="1515"/>
      <c r="K110" s="1515"/>
      <c r="L110" s="661"/>
      <c r="M110" s="1497"/>
      <c r="N110" s="1497"/>
      <c r="O110" s="1516"/>
      <c r="P110" s="1516"/>
      <c r="Q110" s="1516"/>
      <c r="R110" s="663">
        <f>TRUNC(M110*O110,2)</f>
        <v>0</v>
      </c>
    </row>
    <row r="111" spans="1:18" ht="14.25" customHeight="1" x14ac:dyDescent="0.2">
      <c r="A111" s="1481"/>
      <c r="B111" s="1481"/>
      <c r="C111" s="1507"/>
      <c r="D111" s="1507"/>
      <c r="E111" s="1507"/>
      <c r="F111" s="1507"/>
      <c r="G111" s="1507"/>
      <c r="H111" s="1507"/>
      <c r="I111" s="1507"/>
      <c r="J111" s="1507"/>
      <c r="K111" s="1507"/>
      <c r="L111" s="661"/>
      <c r="M111" s="1483"/>
      <c r="N111" s="1483"/>
      <c r="O111" s="1486" t="s">
        <v>1010</v>
      </c>
      <c r="P111" s="1486"/>
      <c r="Q111" s="1486"/>
      <c r="R111" s="662">
        <f>SUBTOTAL(9,R110)</f>
        <v>0</v>
      </c>
    </row>
    <row r="112" spans="1:18" ht="14.25" customHeight="1" x14ac:dyDescent="0.2">
      <c r="A112" s="1484" t="s">
        <v>1011</v>
      </c>
      <c r="B112" s="1484"/>
      <c r="C112" s="1484"/>
      <c r="D112" s="1484"/>
      <c r="E112" s="1484"/>
      <c r="F112" s="1484"/>
      <c r="G112" s="1484"/>
      <c r="H112" s="1484"/>
      <c r="I112" s="1484"/>
      <c r="J112" s="1484"/>
      <c r="K112" s="1484"/>
      <c r="L112" s="1484"/>
      <c r="M112" s="1484"/>
      <c r="N112" s="1484"/>
      <c r="O112" s="1484"/>
      <c r="P112" s="1484"/>
      <c r="Q112" s="1484"/>
      <c r="R112" s="1484"/>
    </row>
    <row r="113" spans="1:18" ht="14.25" customHeight="1" x14ac:dyDescent="0.2">
      <c r="A113" s="1485" t="s">
        <v>927</v>
      </c>
      <c r="B113" s="1485"/>
      <c r="C113" s="1478" t="s">
        <v>325</v>
      </c>
      <c r="D113" s="1478"/>
      <c r="E113" s="1478"/>
      <c r="F113" s="1478"/>
      <c r="G113" s="1478"/>
      <c r="H113" s="1478"/>
      <c r="I113" s="1478"/>
      <c r="J113" s="1478"/>
      <c r="K113" s="1478"/>
      <c r="L113" s="667" t="s">
        <v>1003</v>
      </c>
      <c r="M113" s="1479" t="s">
        <v>1004</v>
      </c>
      <c r="N113" s="1479"/>
      <c r="O113" s="1479" t="s">
        <v>1005</v>
      </c>
      <c r="P113" s="1479"/>
      <c r="Q113" s="1479"/>
      <c r="R113" s="666" t="s">
        <v>334</v>
      </c>
    </row>
    <row r="114" spans="1:18" ht="27" customHeight="1" x14ac:dyDescent="0.2">
      <c r="A114" s="1475" t="s">
        <v>1063</v>
      </c>
      <c r="B114" s="1475"/>
      <c r="C114" s="1476" t="s">
        <v>1064</v>
      </c>
      <c r="D114" s="1476"/>
      <c r="E114" s="1476"/>
      <c r="F114" s="1476"/>
      <c r="G114" s="1476"/>
      <c r="H114" s="1476"/>
      <c r="I114" s="1476"/>
      <c r="J114" s="1476"/>
      <c r="K114" s="1476"/>
      <c r="L114" s="664" t="s">
        <v>964</v>
      </c>
      <c r="M114" s="1497">
        <v>1</v>
      </c>
      <c r="N114" s="1497"/>
      <c r="O114" s="1500">
        <v>30</v>
      </c>
      <c r="P114" s="1500"/>
      <c r="Q114" s="1500"/>
      <c r="R114" s="663">
        <f>TRUNC(M114*O114,2)</f>
        <v>30</v>
      </c>
    </row>
    <row r="115" spans="1:18" ht="14.25" customHeight="1" x14ac:dyDescent="0.2">
      <c r="A115" s="1466"/>
      <c r="B115" s="1466"/>
      <c r="C115" s="1467"/>
      <c r="D115" s="1467"/>
      <c r="E115" s="1467"/>
      <c r="F115" s="1467"/>
      <c r="G115" s="1467"/>
      <c r="H115" s="1467"/>
      <c r="I115" s="1467"/>
      <c r="J115" s="1467"/>
      <c r="K115" s="1467"/>
      <c r="L115" s="661"/>
      <c r="M115" s="1468"/>
      <c r="N115" s="1468"/>
      <c r="O115" s="1469" t="s">
        <v>1012</v>
      </c>
      <c r="P115" s="1469"/>
      <c r="Q115" s="1469"/>
      <c r="R115" s="662">
        <f>SUBTOTAL(9,R114)</f>
        <v>30</v>
      </c>
    </row>
    <row r="116" spans="1:18" ht="14.25" customHeight="1" x14ac:dyDescent="0.2">
      <c r="A116" s="1481"/>
      <c r="B116" s="1481"/>
      <c r="C116" s="1507"/>
      <c r="D116" s="1507"/>
      <c r="E116" s="1507"/>
      <c r="F116" s="1507"/>
      <c r="G116" s="1507"/>
      <c r="H116" s="1507"/>
      <c r="I116" s="1507"/>
      <c r="J116" s="1507"/>
      <c r="K116" s="1507"/>
      <c r="L116" s="664"/>
      <c r="M116" s="1508"/>
      <c r="N116" s="1508"/>
      <c r="O116" s="1509"/>
      <c r="P116" s="1509"/>
      <c r="Q116" s="1509"/>
      <c r="R116" s="675"/>
    </row>
    <row r="117" spans="1:18" ht="14.25" customHeight="1" x14ac:dyDescent="0.2">
      <c r="A117" s="1470" t="s">
        <v>1013</v>
      </c>
      <c r="B117" s="1470"/>
      <c r="C117" s="1470"/>
      <c r="D117" s="1470"/>
      <c r="E117" s="1470"/>
      <c r="F117" s="1470"/>
      <c r="G117" s="1470"/>
      <c r="H117" s="1470"/>
      <c r="I117" s="1470"/>
      <c r="J117" s="1470"/>
      <c r="K117" s="1470"/>
      <c r="L117" s="1470"/>
      <c r="M117" s="1470"/>
      <c r="N117" s="1470"/>
      <c r="O117" s="1470"/>
      <c r="P117" s="1470"/>
      <c r="Q117" s="1470"/>
      <c r="R117" s="659">
        <f>SUBTOTAL(9,R110:R116)</f>
        <v>30</v>
      </c>
    </row>
    <row r="118" spans="1:18" ht="14.25" customHeight="1" x14ac:dyDescent="0.2">
      <c r="A118" s="658" t="s">
        <v>1014</v>
      </c>
      <c r="B118" s="656"/>
      <c r="C118" s="657"/>
      <c r="D118" s="656"/>
      <c r="E118" s="656"/>
      <c r="F118" s="656"/>
      <c r="G118" s="656"/>
      <c r="H118" s="656"/>
      <c r="I118" s="656"/>
      <c r="J118" s="656"/>
      <c r="K118" s="656"/>
      <c r="L118" s="656"/>
      <c r="M118" s="656"/>
      <c r="N118" s="656"/>
      <c r="O118" s="655"/>
      <c r="P118" s="655"/>
      <c r="Q118" s="655"/>
      <c r="R118" s="654"/>
    </row>
    <row r="119" spans="1:18" ht="14.25" customHeight="1" x14ac:dyDescent="0.2">
      <c r="A119" s="653"/>
      <c r="B119" s="651"/>
      <c r="C119" s="652"/>
      <c r="D119" s="651"/>
      <c r="E119" s="651"/>
      <c r="F119" s="651"/>
      <c r="G119" s="651"/>
      <c r="H119" s="651"/>
      <c r="I119" s="651"/>
      <c r="J119" s="651"/>
      <c r="K119" s="651"/>
      <c r="L119" s="651"/>
      <c r="M119" s="651"/>
      <c r="N119" s="651"/>
      <c r="O119" s="650"/>
      <c r="P119" s="650"/>
      <c r="Q119" s="650"/>
      <c r="R119" s="674"/>
    </row>
    <row r="120" spans="1:18" ht="14.25" customHeight="1" thickBot="1" x14ac:dyDescent="0.25">
      <c r="A120" s="648"/>
      <c r="B120" s="644"/>
      <c r="C120" s="646"/>
      <c r="D120" s="647"/>
      <c r="E120" s="647"/>
      <c r="F120" s="645"/>
      <c r="G120" s="646"/>
      <c r="H120" s="645"/>
      <c r="I120" s="645"/>
      <c r="J120" s="644"/>
      <c r="K120" s="646"/>
      <c r="L120" s="645" t="s">
        <v>1016</v>
      </c>
      <c r="M120" s="644"/>
      <c r="N120" s="644"/>
      <c r="O120" s="643"/>
      <c r="P120" s="643"/>
      <c r="Q120" s="643"/>
      <c r="R120" s="642"/>
    </row>
    <row r="121" spans="1:18" ht="14.25" customHeight="1" thickBot="1" x14ac:dyDescent="0.25">
      <c r="A121" s="1504" t="s">
        <v>998</v>
      </c>
      <c r="B121" s="1504"/>
      <c r="C121" s="1504"/>
      <c r="D121" s="1504"/>
      <c r="E121" s="1504"/>
      <c r="F121" s="1504"/>
      <c r="G121" s="1504"/>
      <c r="H121" s="1504"/>
      <c r="I121" s="1504"/>
      <c r="J121" s="1504"/>
      <c r="K121" s="1504"/>
      <c r="L121" s="1504"/>
      <c r="M121" s="1504"/>
      <c r="N121" s="1504"/>
      <c r="O121" s="1504"/>
      <c r="P121" s="1504"/>
      <c r="Q121" s="1504"/>
      <c r="R121" s="1504"/>
    </row>
    <row r="122" spans="1:18" ht="14.25" customHeight="1" x14ac:dyDescent="0.2">
      <c r="A122" s="1504"/>
      <c r="B122" s="1504"/>
      <c r="C122" s="1504"/>
      <c r="D122" s="1504"/>
      <c r="E122" s="1504"/>
      <c r="F122" s="1504"/>
      <c r="G122" s="1504"/>
      <c r="H122" s="1504"/>
      <c r="I122" s="1504"/>
      <c r="J122" s="1504"/>
      <c r="K122" s="1504"/>
      <c r="L122" s="1504"/>
      <c r="M122" s="1504"/>
      <c r="N122" s="1504"/>
      <c r="O122" s="1504"/>
      <c r="P122" s="1504"/>
      <c r="Q122" s="1504"/>
      <c r="R122" s="1504"/>
    </row>
    <row r="123" spans="1:18" ht="23.25" customHeight="1" x14ac:dyDescent="0.2">
      <c r="A123" s="673" t="s">
        <v>496</v>
      </c>
      <c r="B123" s="672" t="str">
        <f>'Resumo_1.2'!B33</f>
        <v>1.2.6</v>
      </c>
      <c r="C123" s="1493" t="s">
        <v>956</v>
      </c>
      <c r="D123" s="1493"/>
      <c r="E123" s="1493"/>
      <c r="F123" s="1494" t="s">
        <v>999</v>
      </c>
      <c r="G123" s="1494"/>
      <c r="H123" s="1494"/>
      <c r="I123" s="1495" t="str">
        <f>'Resumo_1.2'!$B$21</f>
        <v>DATA BASE: DATA DE APRESENTAÇÃO DA PROPOSTA</v>
      </c>
      <c r="J123" s="1495"/>
      <c r="K123" s="1495"/>
      <c r="L123" s="1495"/>
      <c r="M123" s="1495"/>
      <c r="N123" s="1495"/>
      <c r="O123" s="1495"/>
      <c r="P123" s="1495"/>
      <c r="Q123" s="1495"/>
      <c r="R123" s="1495"/>
    </row>
    <row r="124" spans="1:18" ht="14.25" customHeight="1" x14ac:dyDescent="0.2">
      <c r="A124" s="1496" t="s">
        <v>1000</v>
      </c>
      <c r="B124" s="1496"/>
      <c r="C124" s="1480" t="s">
        <v>325</v>
      </c>
      <c r="D124" s="1480"/>
      <c r="E124" s="1480"/>
      <c r="F124" s="1480"/>
      <c r="G124" s="1480"/>
      <c r="H124" s="1480"/>
      <c r="I124" s="1480"/>
      <c r="J124" s="1480"/>
      <c r="K124" s="1480"/>
      <c r="L124" s="1480"/>
      <c r="M124" s="1480"/>
      <c r="N124" s="1480"/>
      <c r="O124" s="1480"/>
      <c r="P124" s="1480"/>
      <c r="Q124" s="1499" t="s">
        <v>929</v>
      </c>
      <c r="R124" s="1499"/>
    </row>
    <row r="125" spans="1:18" ht="14.25" customHeight="1" x14ac:dyDescent="0.2">
      <c r="A125" s="1501" t="str">
        <f>'Resumo_1.2'!D33</f>
        <v>CPU-06</v>
      </c>
      <c r="B125" s="1501"/>
      <c r="C125" s="1502" t="str">
        <f>'Resumo_1.2'!C33</f>
        <v>ART por valor do Contrato / Obra / Serviço acima de R$15.000,00</v>
      </c>
      <c r="D125" s="1502"/>
      <c r="E125" s="1502"/>
      <c r="F125" s="1502"/>
      <c r="G125" s="1502"/>
      <c r="H125" s="1502"/>
      <c r="I125" s="1502"/>
      <c r="J125" s="1502"/>
      <c r="K125" s="1502"/>
      <c r="L125" s="1502"/>
      <c r="M125" s="1502"/>
      <c r="N125" s="1502"/>
      <c r="O125" s="1502"/>
      <c r="P125" s="1502"/>
      <c r="Q125" s="1503" t="s">
        <v>1065</v>
      </c>
      <c r="R125" s="1503"/>
    </row>
    <row r="126" spans="1:18" ht="14.25" customHeight="1" x14ac:dyDescent="0.2">
      <c r="A126" s="1487" t="s">
        <v>1009</v>
      </c>
      <c r="B126" s="1487"/>
      <c r="C126" s="1487"/>
      <c r="D126" s="1487"/>
      <c r="E126" s="1487"/>
      <c r="F126" s="1487"/>
      <c r="G126" s="1487"/>
      <c r="H126" s="1487"/>
      <c r="I126" s="1487"/>
      <c r="J126" s="1487"/>
      <c r="K126" s="1487"/>
      <c r="L126" s="1487"/>
      <c r="M126" s="1487"/>
      <c r="N126" s="1487"/>
      <c r="O126" s="1487"/>
      <c r="P126" s="1487"/>
      <c r="Q126" s="1487"/>
      <c r="R126" s="1487"/>
    </row>
    <row r="127" spans="1:18" ht="14.25" customHeight="1" x14ac:dyDescent="0.2">
      <c r="A127" s="1488" t="s">
        <v>927</v>
      </c>
      <c r="B127" s="1488"/>
      <c r="C127" s="1478" t="s">
        <v>325</v>
      </c>
      <c r="D127" s="1478"/>
      <c r="E127" s="1478"/>
      <c r="F127" s="1478"/>
      <c r="G127" s="1478"/>
      <c r="H127" s="1478"/>
      <c r="I127" s="1478"/>
      <c r="J127" s="1478"/>
      <c r="K127" s="1478"/>
      <c r="L127" s="671" t="s">
        <v>1003</v>
      </c>
      <c r="M127" s="1489" t="s">
        <v>1004</v>
      </c>
      <c r="N127" s="1489"/>
      <c r="O127" s="1489" t="s">
        <v>1005</v>
      </c>
      <c r="P127" s="1489"/>
      <c r="Q127" s="1489"/>
      <c r="R127" s="670" t="s">
        <v>334</v>
      </c>
    </row>
    <row r="128" spans="1:18" ht="14.25" customHeight="1" x14ac:dyDescent="0.2">
      <c r="A128" s="1490"/>
      <c r="B128" s="1490"/>
      <c r="C128" s="1491"/>
      <c r="D128" s="1491"/>
      <c r="E128" s="1491"/>
      <c r="F128" s="1491"/>
      <c r="G128" s="1491"/>
      <c r="H128" s="1491"/>
      <c r="I128" s="1491"/>
      <c r="J128" s="1491"/>
      <c r="K128" s="1491"/>
      <c r="L128" s="664"/>
      <c r="M128" s="1492"/>
      <c r="N128" s="1492"/>
      <c r="O128" s="1497"/>
      <c r="P128" s="1497"/>
      <c r="Q128" s="1497"/>
      <c r="R128" s="669"/>
    </row>
    <row r="129" spans="1:18" ht="14.25" customHeight="1" x14ac:dyDescent="0.2">
      <c r="A129" s="1481"/>
      <c r="B129" s="1481"/>
      <c r="C129" s="1482"/>
      <c r="D129" s="1482"/>
      <c r="E129" s="1482"/>
      <c r="F129" s="1482"/>
      <c r="G129" s="1482"/>
      <c r="H129" s="1482"/>
      <c r="I129" s="1482"/>
      <c r="J129" s="1482"/>
      <c r="K129" s="1482"/>
      <c r="L129" s="668"/>
      <c r="M129" s="1483"/>
      <c r="N129" s="1483"/>
      <c r="O129" s="1486" t="s">
        <v>1010</v>
      </c>
      <c r="P129" s="1486"/>
      <c r="Q129" s="1486"/>
      <c r="R129" s="662">
        <f>SUBTOTAL(9,R128)</f>
        <v>0</v>
      </c>
    </row>
    <row r="130" spans="1:18" ht="14.25" customHeight="1" x14ac:dyDescent="0.2">
      <c r="A130" s="1484" t="s">
        <v>1011</v>
      </c>
      <c r="B130" s="1484"/>
      <c r="C130" s="1484"/>
      <c r="D130" s="1484"/>
      <c r="E130" s="1484"/>
      <c r="F130" s="1484"/>
      <c r="G130" s="1484"/>
      <c r="H130" s="1484"/>
      <c r="I130" s="1484"/>
      <c r="J130" s="1484"/>
      <c r="K130" s="1484"/>
      <c r="L130" s="1484"/>
      <c r="M130" s="1484"/>
      <c r="N130" s="1484"/>
      <c r="O130" s="1484"/>
      <c r="P130" s="1484"/>
      <c r="Q130" s="1484"/>
      <c r="R130" s="1484"/>
    </row>
    <row r="131" spans="1:18" ht="14.25" customHeight="1" x14ac:dyDescent="0.2">
      <c r="A131" s="1485" t="s">
        <v>927</v>
      </c>
      <c r="B131" s="1485"/>
      <c r="C131" s="1478" t="s">
        <v>325</v>
      </c>
      <c r="D131" s="1478"/>
      <c r="E131" s="1478"/>
      <c r="F131" s="1478"/>
      <c r="G131" s="1478"/>
      <c r="H131" s="1478"/>
      <c r="I131" s="1478"/>
      <c r="J131" s="1478"/>
      <c r="K131" s="1478"/>
      <c r="L131" s="667" t="s">
        <v>1003</v>
      </c>
      <c r="M131" s="1479" t="s">
        <v>1004</v>
      </c>
      <c r="N131" s="1479"/>
      <c r="O131" s="1479" t="s">
        <v>1005</v>
      </c>
      <c r="P131" s="1479"/>
      <c r="Q131" s="1479"/>
      <c r="R131" s="666" t="s">
        <v>334</v>
      </c>
    </row>
    <row r="132" spans="1:18" ht="14.25" customHeight="1" x14ac:dyDescent="0.2">
      <c r="A132" s="1490" t="s">
        <v>956</v>
      </c>
      <c r="B132" s="1490"/>
      <c r="C132" s="1476" t="s">
        <v>954</v>
      </c>
      <c r="D132" s="1476"/>
      <c r="E132" s="1476"/>
      <c r="F132" s="1476"/>
      <c r="G132" s="1476"/>
      <c r="H132" s="1476"/>
      <c r="I132" s="1476"/>
      <c r="J132" s="1476"/>
      <c r="K132" s="1476"/>
      <c r="L132" s="664" t="s">
        <v>646</v>
      </c>
      <c r="M132" s="1492">
        <v>1</v>
      </c>
      <c r="N132" s="1492"/>
      <c r="O132" s="1500">
        <v>271.47000000000003</v>
      </c>
      <c r="P132" s="1500"/>
      <c r="Q132" s="1500"/>
      <c r="R132" s="663">
        <f>TRUNC(M132*O132,2)</f>
        <v>271.47000000000003</v>
      </c>
    </row>
    <row r="133" spans="1:18" ht="14.25" customHeight="1" x14ac:dyDescent="0.2">
      <c r="A133" s="1475"/>
      <c r="B133" s="1475"/>
      <c r="C133" s="1510"/>
      <c r="D133" s="1510"/>
      <c r="E133" s="1510"/>
      <c r="F133" s="1510"/>
      <c r="G133" s="1510"/>
      <c r="H133" s="1510"/>
      <c r="I133" s="1510"/>
      <c r="J133" s="1510"/>
      <c r="K133" s="1510"/>
      <c r="L133" s="664"/>
      <c r="M133" s="1523"/>
      <c r="N133" s="1523"/>
      <c r="O133" s="1477"/>
      <c r="P133" s="1477"/>
      <c r="Q133" s="1477"/>
      <c r="R133" s="663"/>
    </row>
    <row r="134" spans="1:18" ht="14.25" customHeight="1" x14ac:dyDescent="0.2">
      <c r="A134" s="1466"/>
      <c r="B134" s="1466"/>
      <c r="C134" s="1467"/>
      <c r="D134" s="1467"/>
      <c r="E134" s="1467"/>
      <c r="F134" s="1467"/>
      <c r="G134" s="1467"/>
      <c r="H134" s="1467"/>
      <c r="I134" s="1467"/>
      <c r="J134" s="1467"/>
      <c r="K134" s="1467"/>
      <c r="L134" s="661"/>
      <c r="M134" s="1468"/>
      <c r="N134" s="1468"/>
      <c r="O134" s="1469" t="s">
        <v>1012</v>
      </c>
      <c r="P134" s="1469"/>
      <c r="Q134" s="1469"/>
      <c r="R134" s="662">
        <f>SUBTOTAL(9,R132:R133)</f>
        <v>271.47000000000003</v>
      </c>
    </row>
    <row r="135" spans="1:18" ht="14.25" customHeight="1" x14ac:dyDescent="0.2">
      <c r="A135" s="1466"/>
      <c r="B135" s="1466"/>
      <c r="C135" s="1467"/>
      <c r="D135" s="1467"/>
      <c r="E135" s="1467"/>
      <c r="F135" s="1467"/>
      <c r="G135" s="1467"/>
      <c r="H135" s="1467"/>
      <c r="I135" s="1467"/>
      <c r="J135" s="1467"/>
      <c r="K135" s="1467"/>
      <c r="L135" s="661"/>
      <c r="M135" s="1468"/>
      <c r="N135" s="1468"/>
      <c r="O135" s="1469"/>
      <c r="P135" s="1469"/>
      <c r="Q135" s="1469"/>
      <c r="R135" s="660"/>
    </row>
    <row r="136" spans="1:18" ht="14.25" customHeight="1" x14ac:dyDescent="0.2">
      <c r="A136" s="1470" t="s">
        <v>1013</v>
      </c>
      <c r="B136" s="1470"/>
      <c r="C136" s="1470"/>
      <c r="D136" s="1470"/>
      <c r="E136" s="1470"/>
      <c r="F136" s="1470"/>
      <c r="G136" s="1470"/>
      <c r="H136" s="1470"/>
      <c r="I136" s="1470"/>
      <c r="J136" s="1470"/>
      <c r="K136" s="1470"/>
      <c r="L136" s="1470"/>
      <c r="M136" s="1470"/>
      <c r="N136" s="1470"/>
      <c r="O136" s="1470"/>
      <c r="P136" s="1470"/>
      <c r="Q136" s="1470"/>
      <c r="R136" s="659">
        <f>SUBTOTAL(9,R129:R135)</f>
        <v>271.47000000000003</v>
      </c>
    </row>
    <row r="137" spans="1:18" ht="14.25" customHeight="1" x14ac:dyDescent="0.2">
      <c r="A137" s="658" t="s">
        <v>1014</v>
      </c>
      <c r="B137" s="656"/>
      <c r="C137" s="657"/>
      <c r="D137" s="656"/>
      <c r="E137" s="656"/>
      <c r="F137" s="656"/>
      <c r="G137" s="656"/>
      <c r="H137" s="656"/>
      <c r="I137" s="656"/>
      <c r="J137" s="656"/>
      <c r="K137" s="656"/>
      <c r="L137" s="656"/>
      <c r="M137" s="656"/>
      <c r="N137" s="656"/>
      <c r="O137" s="655"/>
      <c r="P137" s="655"/>
      <c r="Q137" s="655"/>
      <c r="R137" s="654"/>
    </row>
    <row r="138" spans="1:18" ht="14.25" customHeight="1" x14ac:dyDescent="0.2">
      <c r="A138" s="653" t="s">
        <v>1066</v>
      </c>
      <c r="B138" s="651"/>
      <c r="C138" s="652"/>
      <c r="D138" s="651"/>
      <c r="E138" s="651"/>
      <c r="F138" s="651"/>
      <c r="G138" s="651"/>
      <c r="H138" s="651"/>
      <c r="I138" s="651"/>
      <c r="J138" s="651"/>
      <c r="K138" s="651"/>
      <c r="L138" s="651"/>
      <c r="M138" s="651"/>
      <c r="N138" s="651"/>
      <c r="O138" s="650"/>
      <c r="P138" s="650"/>
      <c r="Q138" s="650"/>
      <c r="R138" s="649"/>
    </row>
    <row r="139" spans="1:18" ht="14.25" customHeight="1" thickBot="1" x14ac:dyDescent="0.25">
      <c r="A139" s="648"/>
      <c r="B139" s="644"/>
      <c r="C139" s="646"/>
      <c r="D139" s="647"/>
      <c r="E139" s="647"/>
      <c r="F139" s="645"/>
      <c r="G139" s="646"/>
      <c r="H139" s="645"/>
      <c r="I139" s="645"/>
      <c r="J139" s="644"/>
      <c r="K139" s="646"/>
      <c r="L139" s="645" t="s">
        <v>1016</v>
      </c>
      <c r="M139" s="644"/>
      <c r="N139" s="644"/>
      <c r="O139" s="643"/>
      <c r="P139" s="643"/>
      <c r="Q139" s="643"/>
      <c r="R139" s="642"/>
    </row>
    <row r="140" spans="1:18" ht="14.25" customHeight="1" thickBot="1" x14ac:dyDescent="0.25">
      <c r="A140" s="1504" t="s">
        <v>998</v>
      </c>
      <c r="B140" s="1504"/>
      <c r="C140" s="1504"/>
      <c r="D140" s="1504"/>
      <c r="E140" s="1504"/>
      <c r="F140" s="1504"/>
      <c r="G140" s="1504"/>
      <c r="H140" s="1504"/>
      <c r="I140" s="1504"/>
      <c r="J140" s="1504"/>
      <c r="K140" s="1504"/>
      <c r="L140" s="1504"/>
      <c r="M140" s="1504"/>
      <c r="N140" s="1504"/>
      <c r="O140" s="1504"/>
      <c r="P140" s="1504"/>
      <c r="Q140" s="1504"/>
      <c r="R140" s="1504"/>
    </row>
    <row r="141" spans="1:18" ht="14.25" customHeight="1" x14ac:dyDescent="0.2">
      <c r="A141" s="1504"/>
      <c r="B141" s="1504"/>
      <c r="C141" s="1504"/>
      <c r="D141" s="1504"/>
      <c r="E141" s="1504"/>
      <c r="F141" s="1504"/>
      <c r="G141" s="1504"/>
      <c r="H141" s="1504"/>
      <c r="I141" s="1504"/>
      <c r="J141" s="1504"/>
      <c r="K141" s="1504"/>
      <c r="L141" s="1504"/>
      <c r="M141" s="1504"/>
      <c r="N141" s="1504"/>
      <c r="O141" s="1504"/>
      <c r="P141" s="1504"/>
      <c r="Q141" s="1504"/>
      <c r="R141" s="1504"/>
    </row>
    <row r="142" spans="1:18" ht="27.75" customHeight="1" x14ac:dyDescent="0.2">
      <c r="A142" s="673" t="s">
        <v>496</v>
      </c>
      <c r="B142" s="672" t="str">
        <f>'Resumo_1.2'!B34</f>
        <v>1.2.7</v>
      </c>
      <c r="C142" s="1493" t="s">
        <v>729</v>
      </c>
      <c r="D142" s="1493"/>
      <c r="E142" s="1493"/>
      <c r="F142" s="1494" t="s">
        <v>999</v>
      </c>
      <c r="G142" s="1494"/>
      <c r="H142" s="1494"/>
      <c r="I142" s="1495" t="str">
        <f>'Resumo_1.2'!$B$21</f>
        <v>DATA BASE: DATA DE APRESENTAÇÃO DA PROPOSTA</v>
      </c>
      <c r="J142" s="1495"/>
      <c r="K142" s="1495"/>
      <c r="L142" s="1495"/>
      <c r="M142" s="1495"/>
      <c r="N142" s="1495"/>
      <c r="O142" s="1495"/>
      <c r="P142" s="1495"/>
      <c r="Q142" s="1495"/>
      <c r="R142" s="1495"/>
    </row>
    <row r="143" spans="1:18" ht="14.25" customHeight="1" x14ac:dyDescent="0.2">
      <c r="A143" s="1496" t="s">
        <v>1000</v>
      </c>
      <c r="B143" s="1496"/>
      <c r="C143" s="1480" t="s">
        <v>325</v>
      </c>
      <c r="D143" s="1480"/>
      <c r="E143" s="1480"/>
      <c r="F143" s="1480"/>
      <c r="G143" s="1480"/>
      <c r="H143" s="1480"/>
      <c r="I143" s="1480"/>
      <c r="J143" s="1480"/>
      <c r="K143" s="1480"/>
      <c r="L143" s="1480"/>
      <c r="M143" s="1480"/>
      <c r="N143" s="1480"/>
      <c r="O143" s="1480"/>
      <c r="P143" s="1480"/>
      <c r="Q143" s="1499" t="s">
        <v>929</v>
      </c>
      <c r="R143" s="1499"/>
    </row>
    <row r="144" spans="1:18" ht="36" customHeight="1" x14ac:dyDescent="0.2">
      <c r="A144" s="1501" t="str">
        <f>'Resumo_1.2'!D34</f>
        <v>CPU-07</v>
      </c>
      <c r="B144" s="1501"/>
      <c r="C144" s="1518" t="str">
        <f>'Resumo_1.2'!C34</f>
        <v>Estrutura/instalações de apoio - fornecimento, mobilização e instalação de container de trabalho de uso diverso, vestiário, sanitário, escritório, refeitório</v>
      </c>
      <c r="D144" s="1518"/>
      <c r="E144" s="1518"/>
      <c r="F144" s="1518"/>
      <c r="G144" s="1518"/>
      <c r="H144" s="1518"/>
      <c r="I144" s="1518"/>
      <c r="J144" s="1518"/>
      <c r="K144" s="1518"/>
      <c r="L144" s="1518"/>
      <c r="M144" s="1518"/>
      <c r="N144" s="1518"/>
      <c r="O144" s="1518"/>
      <c r="P144" s="1518"/>
      <c r="Q144" s="1503" t="s">
        <v>1067</v>
      </c>
      <c r="R144" s="1503"/>
    </row>
    <row r="145" spans="1:18" ht="14.25" customHeight="1" x14ac:dyDescent="0.2">
      <c r="A145" s="1487" t="s">
        <v>1009</v>
      </c>
      <c r="B145" s="1487"/>
      <c r="C145" s="1487"/>
      <c r="D145" s="1487"/>
      <c r="E145" s="1487"/>
      <c r="F145" s="1487"/>
      <c r="G145" s="1487"/>
      <c r="H145" s="1487"/>
      <c r="I145" s="1487"/>
      <c r="J145" s="1487"/>
      <c r="K145" s="1487"/>
      <c r="L145" s="1487"/>
      <c r="M145" s="1487"/>
      <c r="N145" s="1487"/>
      <c r="O145" s="1487"/>
      <c r="P145" s="1487"/>
      <c r="Q145" s="1487"/>
      <c r="R145" s="1487"/>
    </row>
    <row r="146" spans="1:18" ht="14.25" customHeight="1" x14ac:dyDescent="0.2">
      <c r="A146" s="1488" t="s">
        <v>927</v>
      </c>
      <c r="B146" s="1488"/>
      <c r="C146" s="1478" t="s">
        <v>325</v>
      </c>
      <c r="D146" s="1478"/>
      <c r="E146" s="1478"/>
      <c r="F146" s="1478"/>
      <c r="G146" s="1478"/>
      <c r="H146" s="1478"/>
      <c r="I146" s="1478"/>
      <c r="J146" s="1478"/>
      <c r="K146" s="1478"/>
      <c r="L146" s="671" t="s">
        <v>1003</v>
      </c>
      <c r="M146" s="1489" t="s">
        <v>1004</v>
      </c>
      <c r="N146" s="1489"/>
      <c r="O146" s="1489" t="s">
        <v>1005</v>
      </c>
      <c r="P146" s="1489"/>
      <c r="Q146" s="1489"/>
      <c r="R146" s="670" t="s">
        <v>334</v>
      </c>
    </row>
    <row r="147" spans="1:18" ht="14.25" customHeight="1" x14ac:dyDescent="0.2">
      <c r="A147" s="1490"/>
      <c r="B147" s="1490"/>
      <c r="C147" s="1491"/>
      <c r="D147" s="1491"/>
      <c r="E147" s="1491"/>
      <c r="F147" s="1491"/>
      <c r="G147" s="1491"/>
      <c r="H147" s="1491"/>
      <c r="I147" s="1491"/>
      <c r="J147" s="1491"/>
      <c r="K147" s="1491"/>
      <c r="L147" s="664"/>
      <c r="M147" s="1492"/>
      <c r="N147" s="1492"/>
      <c r="O147" s="1497"/>
      <c r="P147" s="1497"/>
      <c r="Q147" s="1497"/>
      <c r="R147" s="669"/>
    </row>
    <row r="148" spans="1:18" ht="14.25" customHeight="1" x14ac:dyDescent="0.2">
      <c r="A148" s="1481"/>
      <c r="B148" s="1481"/>
      <c r="C148" s="1482"/>
      <c r="D148" s="1482"/>
      <c r="E148" s="1482"/>
      <c r="F148" s="1482"/>
      <c r="G148" s="1482"/>
      <c r="H148" s="1482"/>
      <c r="I148" s="1482"/>
      <c r="J148" s="1482"/>
      <c r="K148" s="1482"/>
      <c r="L148" s="668"/>
      <c r="M148" s="1483"/>
      <c r="N148" s="1483"/>
      <c r="O148" s="1486" t="s">
        <v>1010</v>
      </c>
      <c r="P148" s="1486"/>
      <c r="Q148" s="1486"/>
      <c r="R148" s="662">
        <f>SUBTOTAL(9,R147)</f>
        <v>0</v>
      </c>
    </row>
    <row r="149" spans="1:18" ht="14.25" customHeight="1" x14ac:dyDescent="0.2">
      <c r="A149" s="1484" t="s">
        <v>1011</v>
      </c>
      <c r="B149" s="1484"/>
      <c r="C149" s="1484"/>
      <c r="D149" s="1484"/>
      <c r="E149" s="1484"/>
      <c r="F149" s="1484"/>
      <c r="G149" s="1484"/>
      <c r="H149" s="1484"/>
      <c r="I149" s="1484"/>
      <c r="J149" s="1484"/>
      <c r="K149" s="1484"/>
      <c r="L149" s="1484"/>
      <c r="M149" s="1484"/>
      <c r="N149" s="1484"/>
      <c r="O149" s="1484"/>
      <c r="P149" s="1484"/>
      <c r="Q149" s="1484"/>
      <c r="R149" s="1484"/>
    </row>
    <row r="150" spans="1:18" ht="14.25" customHeight="1" x14ac:dyDescent="0.2">
      <c r="A150" s="1485" t="s">
        <v>927</v>
      </c>
      <c r="B150" s="1485"/>
      <c r="C150" s="1478" t="s">
        <v>325</v>
      </c>
      <c r="D150" s="1478"/>
      <c r="E150" s="1478"/>
      <c r="F150" s="1478"/>
      <c r="G150" s="1478"/>
      <c r="H150" s="1478"/>
      <c r="I150" s="1478"/>
      <c r="J150" s="1478"/>
      <c r="K150" s="1478"/>
      <c r="L150" s="667" t="s">
        <v>1003</v>
      </c>
      <c r="M150" s="1479" t="s">
        <v>1004</v>
      </c>
      <c r="N150" s="1479"/>
      <c r="O150" s="1479" t="s">
        <v>1005</v>
      </c>
      <c r="P150" s="1479"/>
      <c r="Q150" s="1479"/>
      <c r="R150" s="666" t="s">
        <v>334</v>
      </c>
    </row>
    <row r="151" spans="1:18" ht="30.6" customHeight="1" x14ac:dyDescent="0.2">
      <c r="A151" s="1475" t="s">
        <v>1068</v>
      </c>
      <c r="B151" s="1475"/>
      <c r="C151" s="1476" t="s">
        <v>1069</v>
      </c>
      <c r="D151" s="1476"/>
      <c r="E151" s="1476"/>
      <c r="F151" s="1476"/>
      <c r="G151" s="1476"/>
      <c r="H151" s="1476"/>
      <c r="I151" s="1476"/>
      <c r="J151" s="1476"/>
      <c r="K151" s="1476"/>
      <c r="L151" s="664" t="s">
        <v>964</v>
      </c>
      <c r="M151" s="1473">
        <f>1/4</f>
        <v>0.25</v>
      </c>
      <c r="N151" s="1473"/>
      <c r="O151" s="1474">
        <v>1633.81</v>
      </c>
      <c r="P151" s="1474"/>
      <c r="Q151" s="1474"/>
      <c r="R151" s="663">
        <f>M151*O151</f>
        <v>408.45249999999999</v>
      </c>
    </row>
    <row r="152" spans="1:18" ht="30.6" customHeight="1" x14ac:dyDescent="0.2">
      <c r="A152" s="1475" t="s">
        <v>1070</v>
      </c>
      <c r="B152" s="1475"/>
      <c r="C152" s="1476" t="s">
        <v>1071</v>
      </c>
      <c r="D152" s="1476"/>
      <c r="E152" s="1476"/>
      <c r="F152" s="1476"/>
      <c r="G152" s="1476"/>
      <c r="H152" s="1476"/>
      <c r="I152" s="1476"/>
      <c r="J152" s="1476"/>
      <c r="K152" s="1476"/>
      <c r="L152" s="664" t="s">
        <v>964</v>
      </c>
      <c r="M152" s="1473">
        <f>2/4</f>
        <v>0.5</v>
      </c>
      <c r="N152" s="1473"/>
      <c r="O152" s="1474">
        <v>2209.91</v>
      </c>
      <c r="P152" s="1474"/>
      <c r="Q152" s="1474"/>
      <c r="R152" s="663">
        <f t="shared" ref="R152:R157" si="1">M152*O152</f>
        <v>1104.9549999999999</v>
      </c>
    </row>
    <row r="153" spans="1:18" ht="30.6" customHeight="1" x14ac:dyDescent="0.2">
      <c r="A153" s="1475" t="s">
        <v>1072</v>
      </c>
      <c r="B153" s="1475"/>
      <c r="C153" s="1476" t="s">
        <v>1073</v>
      </c>
      <c r="D153" s="1476"/>
      <c r="E153" s="1476"/>
      <c r="F153" s="1476"/>
      <c r="G153" s="1476"/>
      <c r="H153" s="1476"/>
      <c r="I153" s="1476"/>
      <c r="J153" s="1476"/>
      <c r="K153" s="1476"/>
      <c r="L153" s="664" t="s">
        <v>964</v>
      </c>
      <c r="M153" s="1473">
        <f>1/4</f>
        <v>0.25</v>
      </c>
      <c r="N153" s="1473"/>
      <c r="O153" s="1474">
        <v>966.82</v>
      </c>
      <c r="P153" s="1474"/>
      <c r="Q153" s="1474"/>
      <c r="R153" s="663">
        <f t="shared" si="1"/>
        <v>241.70500000000001</v>
      </c>
    </row>
    <row r="154" spans="1:18" ht="30.6" customHeight="1" x14ac:dyDescent="0.2">
      <c r="A154" s="1475" t="s">
        <v>1074</v>
      </c>
      <c r="B154" s="1475"/>
      <c r="C154" s="1476" t="s">
        <v>1075</v>
      </c>
      <c r="D154" s="1476"/>
      <c r="E154" s="1476"/>
      <c r="F154" s="1476"/>
      <c r="G154" s="1476"/>
      <c r="H154" s="1476"/>
      <c r="I154" s="1476"/>
      <c r="J154" s="1476"/>
      <c r="K154" s="1476"/>
      <c r="L154" s="664" t="s">
        <v>646</v>
      </c>
      <c r="M154" s="1473">
        <f>1/24*(M151+M152+M153)</f>
        <v>4.1666666666666664E-2</v>
      </c>
      <c r="N154" s="1473"/>
      <c r="O154" s="1474">
        <v>1668.96</v>
      </c>
      <c r="P154" s="1474"/>
      <c r="Q154" s="1474"/>
      <c r="R154" s="663">
        <f t="shared" si="1"/>
        <v>69.539999999999992</v>
      </c>
    </row>
    <row r="155" spans="1:18" ht="27.75" customHeight="1" x14ac:dyDescent="0.2">
      <c r="A155" s="1475" t="s">
        <v>1076</v>
      </c>
      <c r="B155" s="1475"/>
      <c r="C155" s="1476" t="s">
        <v>1077</v>
      </c>
      <c r="D155" s="1476"/>
      <c r="E155" s="1476"/>
      <c r="F155" s="1476"/>
      <c r="G155" s="1476"/>
      <c r="H155" s="1476"/>
      <c r="I155" s="1476"/>
      <c r="J155" s="1476"/>
      <c r="K155" s="1476"/>
      <c r="L155" s="664" t="s">
        <v>646</v>
      </c>
      <c r="M155" s="1473">
        <f>M151/24</f>
        <v>1.0416666666666666E-2</v>
      </c>
      <c r="N155" s="1473"/>
      <c r="O155" s="1474">
        <v>676.99</v>
      </c>
      <c r="P155" s="1474"/>
      <c r="Q155" s="1474"/>
      <c r="R155" s="663">
        <f t="shared" si="1"/>
        <v>7.0519791666666665</v>
      </c>
    </row>
    <row r="156" spans="1:18" ht="27.75" customHeight="1" x14ac:dyDescent="0.2">
      <c r="A156" s="1475" t="s">
        <v>1078</v>
      </c>
      <c r="B156" s="1475"/>
      <c r="C156" s="1476" t="s">
        <v>1079</v>
      </c>
      <c r="D156" s="1476"/>
      <c r="E156" s="1476"/>
      <c r="F156" s="1476"/>
      <c r="G156" s="1476"/>
      <c r="H156" s="1476"/>
      <c r="I156" s="1476"/>
      <c r="J156" s="1476"/>
      <c r="K156" s="1476"/>
      <c r="L156" s="664" t="s">
        <v>646</v>
      </c>
      <c r="M156" s="1473">
        <f>M152/24</f>
        <v>2.0833333333333332E-2</v>
      </c>
      <c r="N156" s="1473"/>
      <c r="O156" s="1474">
        <v>1007.36</v>
      </c>
      <c r="P156" s="1474"/>
      <c r="Q156" s="1474"/>
      <c r="R156" s="663">
        <f t="shared" si="1"/>
        <v>20.986666666666665</v>
      </c>
    </row>
    <row r="157" spans="1:18" ht="27.75" customHeight="1" x14ac:dyDescent="0.2">
      <c r="A157" s="1475" t="s">
        <v>1080</v>
      </c>
      <c r="B157" s="1475"/>
      <c r="C157" s="1476" t="s">
        <v>1081</v>
      </c>
      <c r="D157" s="1476"/>
      <c r="E157" s="1476"/>
      <c r="F157" s="1476"/>
      <c r="G157" s="1476"/>
      <c r="H157" s="1476"/>
      <c r="I157" s="1476"/>
      <c r="J157" s="1476"/>
      <c r="K157" s="1476"/>
      <c r="L157" s="664" t="s">
        <v>646</v>
      </c>
      <c r="M157" s="1473">
        <f>M153/24</f>
        <v>1.0416666666666666E-2</v>
      </c>
      <c r="N157" s="1473"/>
      <c r="O157" s="1474">
        <v>343.03</v>
      </c>
      <c r="P157" s="1474"/>
      <c r="Q157" s="1474"/>
      <c r="R157" s="663">
        <f t="shared" si="1"/>
        <v>3.5732291666666662</v>
      </c>
    </row>
    <row r="158" spans="1:18" ht="14.25" customHeight="1" x14ac:dyDescent="0.2">
      <c r="A158" s="1475"/>
      <c r="B158" s="1475"/>
      <c r="C158" s="1522"/>
      <c r="D158" s="1522"/>
      <c r="E158" s="1522"/>
      <c r="F158" s="1522"/>
      <c r="G158" s="1522"/>
      <c r="H158" s="1522"/>
      <c r="I158" s="1522"/>
      <c r="J158" s="1522"/>
      <c r="K158" s="1522"/>
      <c r="L158" s="664"/>
      <c r="M158" s="1473"/>
      <c r="N158" s="1473"/>
      <c r="O158" s="1477"/>
      <c r="P158" s="1477"/>
      <c r="Q158" s="1477"/>
      <c r="R158" s="663"/>
    </row>
    <row r="159" spans="1:18" ht="14.25" customHeight="1" x14ac:dyDescent="0.2">
      <c r="A159" s="1466"/>
      <c r="B159" s="1466"/>
      <c r="C159" s="1467"/>
      <c r="D159" s="1467"/>
      <c r="E159" s="1467"/>
      <c r="F159" s="1467"/>
      <c r="G159" s="1467"/>
      <c r="H159" s="1467"/>
      <c r="I159" s="1467"/>
      <c r="J159" s="1467"/>
      <c r="K159" s="1467"/>
      <c r="L159" s="661"/>
      <c r="M159" s="1468"/>
      <c r="N159" s="1468"/>
      <c r="O159" s="1469" t="s">
        <v>1012</v>
      </c>
      <c r="P159" s="1469"/>
      <c r="Q159" s="1469"/>
      <c r="R159" s="662">
        <f>TRUNC(SUBTOTAL(9,R151:R157),2)</f>
        <v>1856.26</v>
      </c>
    </row>
    <row r="160" spans="1:18" ht="14.25" customHeight="1" x14ac:dyDescent="0.2">
      <c r="A160" s="1466"/>
      <c r="B160" s="1466"/>
      <c r="C160" s="1467"/>
      <c r="D160" s="1467"/>
      <c r="E160" s="1467"/>
      <c r="F160" s="1467"/>
      <c r="G160" s="1467"/>
      <c r="H160" s="1467"/>
      <c r="I160" s="1467"/>
      <c r="J160" s="1467"/>
      <c r="K160" s="1467"/>
      <c r="L160" s="661"/>
      <c r="M160" s="1468"/>
      <c r="N160" s="1468"/>
      <c r="O160" s="1469"/>
      <c r="P160" s="1469"/>
      <c r="Q160" s="1469"/>
      <c r="R160" s="660"/>
    </row>
    <row r="161" spans="1:18" ht="14.25" customHeight="1" x14ac:dyDescent="0.2">
      <c r="A161" s="1470" t="s">
        <v>1013</v>
      </c>
      <c r="B161" s="1470"/>
      <c r="C161" s="1470"/>
      <c r="D161" s="1470"/>
      <c r="E161" s="1470"/>
      <c r="F161" s="1470"/>
      <c r="G161" s="1470"/>
      <c r="H161" s="1470"/>
      <c r="I161" s="1470"/>
      <c r="J161" s="1470"/>
      <c r="K161" s="1470"/>
      <c r="L161" s="1470"/>
      <c r="M161" s="1470"/>
      <c r="N161" s="1470"/>
      <c r="O161" s="1470"/>
      <c r="P161" s="1470"/>
      <c r="Q161" s="1470"/>
      <c r="R161" s="702">
        <f>R159</f>
        <v>1856.26</v>
      </c>
    </row>
    <row r="162" spans="1:18" ht="14.25" customHeight="1" x14ac:dyDescent="0.2">
      <c r="A162" s="658" t="s">
        <v>1014</v>
      </c>
      <c r="B162" s="656"/>
      <c r="C162" s="657"/>
      <c r="D162" s="656"/>
      <c r="E162" s="656"/>
      <c r="F162" s="656"/>
      <c r="G162" s="656"/>
      <c r="H162" s="656"/>
      <c r="I162" s="656"/>
      <c r="J162" s="656"/>
      <c r="K162" s="656"/>
      <c r="L162" s="656"/>
      <c r="M162" s="656"/>
      <c r="N162" s="656"/>
      <c r="O162" s="655"/>
      <c r="P162" s="655"/>
      <c r="Q162" s="655"/>
      <c r="R162" s="654"/>
    </row>
    <row r="163" spans="1:18" ht="14.25" customHeight="1" x14ac:dyDescent="0.2">
      <c r="A163" s="653" t="s">
        <v>1082</v>
      </c>
      <c r="B163" s="651"/>
      <c r="C163" s="652"/>
      <c r="D163" s="651"/>
      <c r="E163" s="651"/>
      <c r="F163" s="651"/>
      <c r="G163" s="651"/>
      <c r="H163" s="651"/>
      <c r="I163" s="651"/>
      <c r="J163" s="651"/>
      <c r="K163" s="651"/>
      <c r="L163" s="651"/>
      <c r="M163" s="651"/>
      <c r="N163" s="651"/>
      <c r="O163" s="650"/>
      <c r="P163" s="650"/>
      <c r="Q163" s="650"/>
      <c r="R163" s="649"/>
    </row>
    <row r="164" spans="1:18" ht="14.25" customHeight="1" thickBot="1" x14ac:dyDescent="0.25">
      <c r="A164" s="648"/>
      <c r="B164" s="644"/>
      <c r="C164" s="646"/>
      <c r="D164" s="647"/>
      <c r="E164" s="647"/>
      <c r="F164" s="645"/>
      <c r="G164" s="646"/>
      <c r="H164" s="645"/>
      <c r="I164" s="645"/>
      <c r="J164" s="644"/>
      <c r="K164" s="646"/>
      <c r="L164" s="645" t="s">
        <v>1016</v>
      </c>
      <c r="M164" s="644"/>
      <c r="N164" s="644"/>
      <c r="O164" s="643"/>
      <c r="P164" s="643"/>
      <c r="Q164" s="643"/>
      <c r="R164" s="642"/>
    </row>
    <row r="165" spans="1:18" ht="14.25" customHeight="1" thickBot="1" x14ac:dyDescent="0.25">
      <c r="A165" s="1504" t="s">
        <v>998</v>
      </c>
      <c r="B165" s="1504"/>
      <c r="C165" s="1504"/>
      <c r="D165" s="1504"/>
      <c r="E165" s="1504"/>
      <c r="F165" s="1504"/>
      <c r="G165" s="1504"/>
      <c r="H165" s="1504"/>
      <c r="I165" s="1504"/>
      <c r="J165" s="1504"/>
      <c r="K165" s="1504"/>
      <c r="L165" s="1504"/>
      <c r="M165" s="1504"/>
      <c r="N165" s="1504"/>
      <c r="O165" s="1504"/>
      <c r="P165" s="1504"/>
      <c r="Q165" s="1504"/>
      <c r="R165" s="1504"/>
    </row>
    <row r="166" spans="1:18" ht="14.25" customHeight="1" x14ac:dyDescent="0.2">
      <c r="A166" s="1504"/>
      <c r="B166" s="1504"/>
      <c r="C166" s="1504"/>
      <c r="D166" s="1504"/>
      <c r="E166" s="1504"/>
      <c r="F166" s="1504"/>
      <c r="G166" s="1504"/>
      <c r="H166" s="1504"/>
      <c r="I166" s="1504"/>
      <c r="J166" s="1504"/>
      <c r="K166" s="1504"/>
      <c r="L166" s="1504"/>
      <c r="M166" s="1504"/>
      <c r="N166" s="1504"/>
      <c r="O166" s="1504"/>
      <c r="P166" s="1504"/>
      <c r="Q166" s="1504"/>
      <c r="R166" s="1504"/>
    </row>
    <row r="167" spans="1:18" ht="28.5" customHeight="1" x14ac:dyDescent="0.2">
      <c r="A167" s="673" t="s">
        <v>496</v>
      </c>
      <c r="B167" s="672" t="str">
        <f>'Resumo_1.2'!B35</f>
        <v>1.2.8</v>
      </c>
      <c r="C167" s="1493" t="s">
        <v>963</v>
      </c>
      <c r="D167" s="1493"/>
      <c r="E167" s="1493"/>
      <c r="F167" s="1494" t="s">
        <v>999</v>
      </c>
      <c r="G167" s="1494"/>
      <c r="H167" s="1494"/>
      <c r="I167" s="1495" t="str">
        <f>'Resumo_1.2'!$B$21</f>
        <v>DATA BASE: DATA DE APRESENTAÇÃO DA PROPOSTA</v>
      </c>
      <c r="J167" s="1495"/>
      <c r="K167" s="1495"/>
      <c r="L167" s="1495"/>
      <c r="M167" s="1495"/>
      <c r="N167" s="1495"/>
      <c r="O167" s="1495"/>
      <c r="P167" s="1495"/>
      <c r="Q167" s="1495"/>
      <c r="R167" s="1495"/>
    </row>
    <row r="168" spans="1:18" ht="14.25" customHeight="1" x14ac:dyDescent="0.2">
      <c r="A168" s="1496" t="s">
        <v>1000</v>
      </c>
      <c r="B168" s="1496"/>
      <c r="C168" s="1480" t="s">
        <v>325</v>
      </c>
      <c r="D168" s="1480"/>
      <c r="E168" s="1480"/>
      <c r="F168" s="1480"/>
      <c r="G168" s="1480"/>
      <c r="H168" s="1480"/>
      <c r="I168" s="1480"/>
      <c r="J168" s="1480"/>
      <c r="K168" s="1480"/>
      <c r="L168" s="1480"/>
      <c r="M168" s="1480"/>
      <c r="N168" s="1480"/>
      <c r="O168" s="1480"/>
      <c r="P168" s="1480"/>
      <c r="Q168" s="1499" t="s">
        <v>929</v>
      </c>
      <c r="R168" s="1499"/>
    </row>
    <row r="169" spans="1:18" ht="14.25" customHeight="1" x14ac:dyDescent="0.2">
      <c r="A169" s="1501" t="str">
        <f>'Resumo_1.2'!D35</f>
        <v>CPU-08</v>
      </c>
      <c r="B169" s="1501"/>
      <c r="C169" s="1502" t="str">
        <f>'Resumo_1.2'!C35</f>
        <v>Equipamentos e mobiliário</v>
      </c>
      <c r="D169" s="1502"/>
      <c r="E169" s="1502"/>
      <c r="F169" s="1502"/>
      <c r="G169" s="1502"/>
      <c r="H169" s="1502"/>
      <c r="I169" s="1502"/>
      <c r="J169" s="1502"/>
      <c r="K169" s="1502"/>
      <c r="L169" s="1502"/>
      <c r="M169" s="1502"/>
      <c r="N169" s="1502"/>
      <c r="O169" s="1502"/>
      <c r="P169" s="1502"/>
      <c r="Q169" s="1503" t="s">
        <v>1062</v>
      </c>
      <c r="R169" s="1503"/>
    </row>
    <row r="170" spans="1:18" ht="14.25" customHeight="1" x14ac:dyDescent="0.2">
      <c r="A170" s="1487" t="s">
        <v>1009</v>
      </c>
      <c r="B170" s="1487"/>
      <c r="C170" s="1487"/>
      <c r="D170" s="1487"/>
      <c r="E170" s="1487"/>
      <c r="F170" s="1487"/>
      <c r="G170" s="1487"/>
      <c r="H170" s="1487"/>
      <c r="I170" s="1487"/>
      <c r="J170" s="1487"/>
      <c r="K170" s="1487"/>
      <c r="L170" s="1487"/>
      <c r="M170" s="1487"/>
      <c r="N170" s="1487"/>
      <c r="O170" s="1487"/>
      <c r="P170" s="1487"/>
      <c r="Q170" s="1487"/>
      <c r="R170" s="1487"/>
    </row>
    <row r="171" spans="1:18" ht="14.25" customHeight="1" x14ac:dyDescent="0.2">
      <c r="A171" s="1488" t="s">
        <v>927</v>
      </c>
      <c r="B171" s="1488"/>
      <c r="C171" s="1478" t="s">
        <v>325</v>
      </c>
      <c r="D171" s="1478"/>
      <c r="E171" s="1478"/>
      <c r="F171" s="1478"/>
      <c r="G171" s="1478"/>
      <c r="H171" s="1478"/>
      <c r="I171" s="1478"/>
      <c r="J171" s="1478"/>
      <c r="K171" s="1478"/>
      <c r="L171" s="671" t="s">
        <v>1003</v>
      </c>
      <c r="M171" s="1489" t="s">
        <v>1004</v>
      </c>
      <c r="N171" s="1489"/>
      <c r="O171" s="1489" t="s">
        <v>1005</v>
      </c>
      <c r="P171" s="1489"/>
      <c r="Q171" s="1489"/>
      <c r="R171" s="670" t="s">
        <v>334</v>
      </c>
    </row>
    <row r="172" spans="1:18" ht="14.25" customHeight="1" x14ac:dyDescent="0.2">
      <c r="A172" s="1490"/>
      <c r="B172" s="1490"/>
      <c r="C172" s="1491"/>
      <c r="D172" s="1491"/>
      <c r="E172" s="1491"/>
      <c r="F172" s="1491"/>
      <c r="G172" s="1491"/>
      <c r="H172" s="1491"/>
      <c r="I172" s="1491"/>
      <c r="J172" s="1491"/>
      <c r="K172" s="1491"/>
      <c r="L172" s="664"/>
      <c r="M172" s="1492"/>
      <c r="N172" s="1492"/>
      <c r="O172" s="1497"/>
      <c r="P172" s="1497"/>
      <c r="Q172" s="1497"/>
      <c r="R172" s="669"/>
    </row>
    <row r="173" spans="1:18" ht="14.25" customHeight="1" x14ac:dyDescent="0.2">
      <c r="A173" s="1481"/>
      <c r="B173" s="1481"/>
      <c r="C173" s="1482"/>
      <c r="D173" s="1482"/>
      <c r="E173" s="1482"/>
      <c r="F173" s="1482"/>
      <c r="G173" s="1482"/>
      <c r="H173" s="1482"/>
      <c r="I173" s="1482"/>
      <c r="J173" s="1482"/>
      <c r="K173" s="1482"/>
      <c r="L173" s="668"/>
      <c r="M173" s="1483"/>
      <c r="N173" s="1483"/>
      <c r="O173" s="1486" t="s">
        <v>1010</v>
      </c>
      <c r="P173" s="1486"/>
      <c r="Q173" s="1486"/>
      <c r="R173" s="662">
        <f>SUBTOTAL(9,R172)</f>
        <v>0</v>
      </c>
    </row>
    <row r="174" spans="1:18" ht="14.25" customHeight="1" x14ac:dyDescent="0.2">
      <c r="A174" s="1484" t="s">
        <v>1011</v>
      </c>
      <c r="B174" s="1484"/>
      <c r="C174" s="1484"/>
      <c r="D174" s="1484"/>
      <c r="E174" s="1484"/>
      <c r="F174" s="1484"/>
      <c r="G174" s="1484"/>
      <c r="H174" s="1484"/>
      <c r="I174" s="1484"/>
      <c r="J174" s="1484"/>
      <c r="K174" s="1484"/>
      <c r="L174" s="1484"/>
      <c r="M174" s="1484"/>
      <c r="N174" s="1484"/>
      <c r="O174" s="1484"/>
      <c r="P174" s="1484"/>
      <c r="Q174" s="1484"/>
      <c r="R174" s="1484"/>
    </row>
    <row r="175" spans="1:18" ht="14.25" customHeight="1" x14ac:dyDescent="0.2">
      <c r="A175" s="1485" t="s">
        <v>927</v>
      </c>
      <c r="B175" s="1485"/>
      <c r="C175" s="1478" t="s">
        <v>325</v>
      </c>
      <c r="D175" s="1478"/>
      <c r="E175" s="1478"/>
      <c r="F175" s="1478"/>
      <c r="G175" s="1478"/>
      <c r="H175" s="1478"/>
      <c r="I175" s="1478"/>
      <c r="J175" s="1478"/>
      <c r="K175" s="1478"/>
      <c r="L175" s="667" t="s">
        <v>1003</v>
      </c>
      <c r="M175" s="1479" t="s">
        <v>1004</v>
      </c>
      <c r="N175" s="1479"/>
      <c r="O175" s="1479" t="s">
        <v>1005</v>
      </c>
      <c r="P175" s="1479"/>
      <c r="Q175" s="1479"/>
      <c r="R175" s="666" t="s">
        <v>334</v>
      </c>
    </row>
    <row r="176" spans="1:18" ht="14.25" customHeight="1" x14ac:dyDescent="0.2">
      <c r="A176" s="1471" t="s">
        <v>1083</v>
      </c>
      <c r="B176" s="1471"/>
      <c r="C176" s="1472" t="s">
        <v>1084</v>
      </c>
      <c r="D176" s="1472"/>
      <c r="E176" s="1472"/>
      <c r="F176" s="1472"/>
      <c r="G176" s="1472"/>
      <c r="H176" s="1472"/>
      <c r="I176" s="1472"/>
      <c r="J176" s="1472"/>
      <c r="K176" s="1472"/>
      <c r="L176" s="665" t="s">
        <v>1003</v>
      </c>
      <c r="M176" s="1473">
        <v>25</v>
      </c>
      <c r="N176" s="1473"/>
      <c r="O176" s="1474">
        <f>455.33*0.8/60</f>
        <v>6.0710666666666668</v>
      </c>
      <c r="P176" s="1474"/>
      <c r="Q176" s="1474"/>
      <c r="R176" s="663">
        <f>TRUNC(M176*O176,2)</f>
        <v>151.77000000000001</v>
      </c>
    </row>
    <row r="177" spans="1:18" ht="14.25" customHeight="1" x14ac:dyDescent="0.2">
      <c r="A177" s="1471" t="s">
        <v>1083</v>
      </c>
      <c r="B177" s="1471"/>
      <c r="C177" s="1472" t="s">
        <v>1085</v>
      </c>
      <c r="D177" s="1472"/>
      <c r="E177" s="1472"/>
      <c r="F177" s="1472"/>
      <c r="G177" s="1472"/>
      <c r="H177" s="1472"/>
      <c r="I177" s="1472"/>
      <c r="J177" s="1472"/>
      <c r="K177" s="1472"/>
      <c r="L177" s="665" t="s">
        <v>1003</v>
      </c>
      <c r="M177" s="1473">
        <v>25</v>
      </c>
      <c r="N177" s="1473"/>
      <c r="O177" s="1474">
        <f>446*0.8/60</f>
        <v>5.9466666666666672</v>
      </c>
      <c r="P177" s="1474"/>
      <c r="Q177" s="1474"/>
      <c r="R177" s="663">
        <f>TRUNC(M177*O177,2)</f>
        <v>148.66</v>
      </c>
    </row>
    <row r="178" spans="1:18" ht="14.25" customHeight="1" x14ac:dyDescent="0.2">
      <c r="A178" s="1471" t="s">
        <v>1083</v>
      </c>
      <c r="B178" s="1471"/>
      <c r="C178" s="1472" t="s">
        <v>1086</v>
      </c>
      <c r="D178" s="1472"/>
      <c r="E178" s="1472"/>
      <c r="F178" s="1472"/>
      <c r="G178" s="1472"/>
      <c r="H178" s="1472"/>
      <c r="I178" s="1472"/>
      <c r="J178" s="1472"/>
      <c r="K178" s="1472"/>
      <c r="L178" s="665" t="s">
        <v>1003</v>
      </c>
      <c r="M178" s="1473">
        <v>1</v>
      </c>
      <c r="N178" s="1473"/>
      <c r="O178" s="1474">
        <f>2789.67*0.8/60</f>
        <v>37.195600000000006</v>
      </c>
      <c r="P178" s="1474"/>
      <c r="Q178" s="1474"/>
      <c r="R178" s="663">
        <f>TRUNC(M178*O178,2)</f>
        <v>37.19</v>
      </c>
    </row>
    <row r="179" spans="1:18" ht="14.25" customHeight="1" x14ac:dyDescent="0.2">
      <c r="A179" s="1471" t="s">
        <v>1083</v>
      </c>
      <c r="B179" s="1471"/>
      <c r="C179" s="1472" t="s">
        <v>1087</v>
      </c>
      <c r="D179" s="1472"/>
      <c r="E179" s="1472"/>
      <c r="F179" s="1472"/>
      <c r="G179" s="1472"/>
      <c r="H179" s="1472"/>
      <c r="I179" s="1472"/>
      <c r="J179" s="1472"/>
      <c r="K179" s="1472"/>
      <c r="L179" s="665" t="s">
        <v>1003</v>
      </c>
      <c r="M179" s="1473">
        <v>2</v>
      </c>
      <c r="N179" s="1473"/>
      <c r="O179" s="1474">
        <f>882.5*0.8/60</f>
        <v>11.766666666666667</v>
      </c>
      <c r="P179" s="1474"/>
      <c r="Q179" s="1474"/>
      <c r="R179" s="663">
        <f>TRUNC(M179*O179,2)</f>
        <v>23.53</v>
      </c>
    </row>
    <row r="180" spans="1:18" ht="14.25" customHeight="1" x14ac:dyDescent="0.2">
      <c r="A180" s="1471" t="s">
        <v>1083</v>
      </c>
      <c r="B180" s="1471"/>
      <c r="C180" s="1472" t="s">
        <v>1088</v>
      </c>
      <c r="D180" s="1472"/>
      <c r="E180" s="1472"/>
      <c r="F180" s="1472"/>
      <c r="G180" s="1472"/>
      <c r="H180" s="1472"/>
      <c r="I180" s="1472"/>
      <c r="J180" s="1472"/>
      <c r="K180" s="1472"/>
      <c r="L180" s="665" t="s">
        <v>1003</v>
      </c>
      <c r="M180" s="1473">
        <v>1</v>
      </c>
      <c r="N180" s="1473"/>
      <c r="O180" s="1474">
        <f>975.67*0.8/60</f>
        <v>13.008933333333335</v>
      </c>
      <c r="P180" s="1474"/>
      <c r="Q180" s="1474"/>
      <c r="R180" s="663">
        <f>TRUNC(M180*O180,2)</f>
        <v>13</v>
      </c>
    </row>
    <row r="181" spans="1:18" ht="14.25" customHeight="1" x14ac:dyDescent="0.2">
      <c r="A181" s="1475"/>
      <c r="B181" s="1475"/>
      <c r="C181" s="1476"/>
      <c r="D181" s="1476"/>
      <c r="E181" s="1476"/>
      <c r="F181" s="1476"/>
      <c r="G181" s="1476"/>
      <c r="H181" s="1476"/>
      <c r="I181" s="1476"/>
      <c r="J181" s="1476"/>
      <c r="K181" s="1476"/>
      <c r="L181" s="664"/>
      <c r="M181" s="1473"/>
      <c r="N181" s="1473"/>
      <c r="O181" s="1477"/>
      <c r="P181" s="1477"/>
      <c r="Q181" s="1477"/>
      <c r="R181" s="663"/>
    </row>
    <row r="182" spans="1:18" ht="14.25" customHeight="1" x14ac:dyDescent="0.2">
      <c r="A182" s="1466"/>
      <c r="B182" s="1466"/>
      <c r="C182" s="1467"/>
      <c r="D182" s="1467"/>
      <c r="E182" s="1467"/>
      <c r="F182" s="1467"/>
      <c r="G182" s="1467"/>
      <c r="H182" s="1467"/>
      <c r="I182" s="1467"/>
      <c r="J182" s="1467"/>
      <c r="K182" s="1467"/>
      <c r="L182" s="661"/>
      <c r="M182" s="1468"/>
      <c r="N182" s="1468"/>
      <c r="O182" s="1469" t="s">
        <v>1012</v>
      </c>
      <c r="P182" s="1469"/>
      <c r="Q182" s="1469"/>
      <c r="R182" s="662">
        <f>SUBTOTAL(9,R176:R181)</f>
        <v>374.15</v>
      </c>
    </row>
    <row r="183" spans="1:18" ht="14.25" customHeight="1" x14ac:dyDescent="0.2">
      <c r="A183" s="1466"/>
      <c r="B183" s="1466"/>
      <c r="C183" s="1467"/>
      <c r="D183" s="1467"/>
      <c r="E183" s="1467"/>
      <c r="F183" s="1467"/>
      <c r="G183" s="1467"/>
      <c r="H183" s="1467"/>
      <c r="I183" s="1467"/>
      <c r="J183" s="1467"/>
      <c r="K183" s="1467"/>
      <c r="L183" s="661"/>
      <c r="M183" s="1468"/>
      <c r="N183" s="1468"/>
      <c r="O183" s="1469"/>
      <c r="P183" s="1469"/>
      <c r="Q183" s="1469"/>
      <c r="R183" s="660"/>
    </row>
    <row r="184" spans="1:18" ht="14.25" customHeight="1" x14ac:dyDescent="0.2">
      <c r="A184" s="1470" t="s">
        <v>1013</v>
      </c>
      <c r="B184" s="1470"/>
      <c r="C184" s="1470"/>
      <c r="D184" s="1470"/>
      <c r="E184" s="1470"/>
      <c r="F184" s="1470"/>
      <c r="G184" s="1470"/>
      <c r="H184" s="1470"/>
      <c r="I184" s="1470"/>
      <c r="J184" s="1470"/>
      <c r="K184" s="1470"/>
      <c r="L184" s="1470"/>
      <c r="M184" s="1470"/>
      <c r="N184" s="1470"/>
      <c r="O184" s="1470"/>
      <c r="P184" s="1470"/>
      <c r="Q184" s="1470"/>
      <c r="R184" s="659">
        <f>SUBTOTAL(9,R173:R183)</f>
        <v>374.15</v>
      </c>
    </row>
    <row r="185" spans="1:18" ht="14.25" customHeight="1" x14ac:dyDescent="0.2">
      <c r="A185" s="658" t="s">
        <v>1014</v>
      </c>
      <c r="B185" s="656"/>
      <c r="C185" s="657"/>
      <c r="D185" s="656"/>
      <c r="E185" s="656"/>
      <c r="F185" s="656"/>
      <c r="G185" s="656"/>
      <c r="H185" s="656"/>
      <c r="I185" s="656"/>
      <c r="J185" s="656"/>
      <c r="K185" s="656"/>
      <c r="L185" s="656"/>
      <c r="M185" s="656"/>
      <c r="N185" s="656"/>
      <c r="O185" s="655"/>
      <c r="P185" s="655"/>
      <c r="Q185" s="655"/>
      <c r="R185" s="654"/>
    </row>
    <row r="186" spans="1:18" ht="14.25" customHeight="1" x14ac:dyDescent="0.2">
      <c r="A186" s="653" t="s">
        <v>1082</v>
      </c>
      <c r="B186" s="651"/>
      <c r="C186" s="652"/>
      <c r="D186" s="651"/>
      <c r="E186" s="651"/>
      <c r="F186" s="651"/>
      <c r="G186" s="651"/>
      <c r="H186" s="651"/>
      <c r="I186" s="651"/>
      <c r="J186" s="651"/>
      <c r="K186" s="651"/>
      <c r="L186" s="651"/>
      <c r="M186" s="651"/>
      <c r="N186" s="651"/>
      <c r="O186" s="650"/>
      <c r="P186" s="650"/>
      <c r="Q186" s="650"/>
      <c r="R186" s="649"/>
    </row>
    <row r="187" spans="1:18" ht="14.25" customHeight="1" thickBot="1" x14ac:dyDescent="0.25">
      <c r="A187" s="648"/>
      <c r="B187" s="644"/>
      <c r="C187" s="646"/>
      <c r="D187" s="647"/>
      <c r="E187" s="647"/>
      <c r="F187" s="645"/>
      <c r="G187" s="646"/>
      <c r="H187" s="645"/>
      <c r="I187" s="645"/>
      <c r="J187" s="644"/>
      <c r="K187" s="646"/>
      <c r="L187" s="645" t="s">
        <v>1016</v>
      </c>
      <c r="M187" s="644"/>
      <c r="N187" s="644"/>
      <c r="O187" s="643"/>
      <c r="P187" s="643"/>
      <c r="Q187" s="643"/>
      <c r="R187" s="642"/>
    </row>
  </sheetData>
  <sheetProtection sheet="1" objects="1" scenarios="1" formatCells="0" formatColumns="0" formatRows="0"/>
  <protectedRanges>
    <protectedRange sqref="O15 O38 O42:Q55 O72:Q74 O95:Q96 O114 O132 O151:Q157 O176:Q180" name="Intervalo1"/>
  </protectedRanges>
  <mergeCells count="465">
    <mergeCell ref="C15:K15"/>
    <mergeCell ref="M15:N15"/>
    <mergeCell ref="O15:Q15"/>
    <mergeCell ref="A18:B18"/>
    <mergeCell ref="C18:K18"/>
    <mergeCell ref="M18:N18"/>
    <mergeCell ref="O18:Q18"/>
    <mergeCell ref="A16:B16"/>
    <mergeCell ref="C16:K16"/>
    <mergeCell ref="M16:N16"/>
    <mergeCell ref="A19:B19"/>
    <mergeCell ref="C19:K19"/>
    <mergeCell ref="M19:N19"/>
    <mergeCell ref="O20:Q20"/>
    <mergeCell ref="O19:Q19"/>
    <mergeCell ref="C10:E10"/>
    <mergeCell ref="A17:R17"/>
    <mergeCell ref="A15:B15"/>
    <mergeCell ref="A20:B20"/>
    <mergeCell ref="C20:K20"/>
    <mergeCell ref="A8:R9"/>
    <mergeCell ref="F10:H10"/>
    <mergeCell ref="I10:R10"/>
    <mergeCell ref="A11:B11"/>
    <mergeCell ref="C11:P11"/>
    <mergeCell ref="Q11:R11"/>
    <mergeCell ref="A24:B24"/>
    <mergeCell ref="C24:K24"/>
    <mergeCell ref="M24:N24"/>
    <mergeCell ref="O24:Q24"/>
    <mergeCell ref="A31:R32"/>
    <mergeCell ref="A22:B22"/>
    <mergeCell ref="C22:K22"/>
    <mergeCell ref="M25:N25"/>
    <mergeCell ref="O25:Q25"/>
    <mergeCell ref="A26:B26"/>
    <mergeCell ref="A12:B12"/>
    <mergeCell ref="C12:P12"/>
    <mergeCell ref="A13:R13"/>
    <mergeCell ref="A14:B14"/>
    <mergeCell ref="C14:K14"/>
    <mergeCell ref="M14:N14"/>
    <mergeCell ref="O14:Q14"/>
    <mergeCell ref="Q12:R12"/>
    <mergeCell ref="O16:Q16"/>
    <mergeCell ref="A34:B34"/>
    <mergeCell ref="A21:R21"/>
    <mergeCell ref="C33:E33"/>
    <mergeCell ref="F33:H33"/>
    <mergeCell ref="I33:R33"/>
    <mergeCell ref="M20:N20"/>
    <mergeCell ref="A27:Q27"/>
    <mergeCell ref="A25:B25"/>
    <mergeCell ref="C25:K25"/>
    <mergeCell ref="A37:B37"/>
    <mergeCell ref="C37:K37"/>
    <mergeCell ref="M37:N37"/>
    <mergeCell ref="O37:Q37"/>
    <mergeCell ref="C34:P34"/>
    <mergeCell ref="Q34:R34"/>
    <mergeCell ref="A35:B35"/>
    <mergeCell ref="C35:P35"/>
    <mergeCell ref="Q35:R35"/>
    <mergeCell ref="M22:N22"/>
    <mergeCell ref="O22:Q22"/>
    <mergeCell ref="A23:B23"/>
    <mergeCell ref="C23:K23"/>
    <mergeCell ref="M23:N23"/>
    <mergeCell ref="O23:Q23"/>
    <mergeCell ref="O26:Q26"/>
    <mergeCell ref="C26:K26"/>
    <mergeCell ref="M26:N26"/>
    <mergeCell ref="O44:Q44"/>
    <mergeCell ref="A45:B45"/>
    <mergeCell ref="C45:K45"/>
    <mergeCell ref="M45:N45"/>
    <mergeCell ref="O45:Q45"/>
    <mergeCell ref="C39:K39"/>
    <mergeCell ref="M39:N39"/>
    <mergeCell ref="O39:Q39"/>
    <mergeCell ref="A40:R40"/>
    <mergeCell ref="A41:B41"/>
    <mergeCell ref="A56:B56"/>
    <mergeCell ref="C56:K56"/>
    <mergeCell ref="M56:N56"/>
    <mergeCell ref="A38:B38"/>
    <mergeCell ref="C38:K38"/>
    <mergeCell ref="A44:B44"/>
    <mergeCell ref="C44:K44"/>
    <mergeCell ref="M44:N44"/>
    <mergeCell ref="M55:N55"/>
    <mergeCell ref="O55:Q55"/>
    <mergeCell ref="A53:B53"/>
    <mergeCell ref="C53:K53"/>
    <mergeCell ref="M53:N53"/>
    <mergeCell ref="A54:B54"/>
    <mergeCell ref="C54:K54"/>
    <mergeCell ref="C86:E86"/>
    <mergeCell ref="F86:H86"/>
    <mergeCell ref="I86:R86"/>
    <mergeCell ref="A46:B46"/>
    <mergeCell ref="C46:K46"/>
    <mergeCell ref="M46:N46"/>
    <mergeCell ref="O46:Q46"/>
    <mergeCell ref="M54:N54"/>
    <mergeCell ref="O54:Q54"/>
    <mergeCell ref="O49:Q49"/>
    <mergeCell ref="O75:Q75"/>
    <mergeCell ref="A76:B76"/>
    <mergeCell ref="C76:K76"/>
    <mergeCell ref="M76:N76"/>
    <mergeCell ref="A78:Q78"/>
    <mergeCell ref="A84:R85"/>
    <mergeCell ref="A77:B77"/>
    <mergeCell ref="C77:K77"/>
    <mergeCell ref="M77:N77"/>
    <mergeCell ref="O77:Q77"/>
    <mergeCell ref="A58:Q58"/>
    <mergeCell ref="A61:R62"/>
    <mergeCell ref="A51:B51"/>
    <mergeCell ref="C51:K51"/>
    <mergeCell ref="M51:N51"/>
    <mergeCell ref="O51:Q51"/>
    <mergeCell ref="A52:B52"/>
    <mergeCell ref="C52:K52"/>
    <mergeCell ref="A55:B55"/>
    <mergeCell ref="C55:K55"/>
    <mergeCell ref="A47:B47"/>
    <mergeCell ref="C47:K47"/>
    <mergeCell ref="M47:N47"/>
    <mergeCell ref="O47:Q47"/>
    <mergeCell ref="M49:N49"/>
    <mergeCell ref="O53:Q53"/>
    <mergeCell ref="M50:N50"/>
    <mergeCell ref="O50:Q50"/>
    <mergeCell ref="M52:N52"/>
    <mergeCell ref="O52:Q52"/>
    <mergeCell ref="A93:R93"/>
    <mergeCell ref="O90:Q90"/>
    <mergeCell ref="A91:B91"/>
    <mergeCell ref="C91:K91"/>
    <mergeCell ref="M91:N91"/>
    <mergeCell ref="O91:Q91"/>
    <mergeCell ref="A92:B92"/>
    <mergeCell ref="C92:K92"/>
    <mergeCell ref="M92:N92"/>
    <mergeCell ref="O92:Q92"/>
    <mergeCell ref="Q87:R87"/>
    <mergeCell ref="A88:B88"/>
    <mergeCell ref="C88:P88"/>
    <mergeCell ref="Q88:R88"/>
    <mergeCell ref="A90:B90"/>
    <mergeCell ref="C90:K90"/>
    <mergeCell ref="M90:N90"/>
    <mergeCell ref="A87:B87"/>
    <mergeCell ref="C87:P87"/>
    <mergeCell ref="M95:N95"/>
    <mergeCell ref="O95:Q95"/>
    <mergeCell ref="A107:B107"/>
    <mergeCell ref="C107:P107"/>
    <mergeCell ref="Q107:R107"/>
    <mergeCell ref="A99:Q99"/>
    <mergeCell ref="A103:R104"/>
    <mergeCell ref="C105:E105"/>
    <mergeCell ref="F105:H105"/>
    <mergeCell ref="I105:R105"/>
    <mergeCell ref="O110:Q110"/>
    <mergeCell ref="O76:Q76"/>
    <mergeCell ref="A108:R108"/>
    <mergeCell ref="A109:B109"/>
    <mergeCell ref="C109:K109"/>
    <mergeCell ref="M109:N109"/>
    <mergeCell ref="O109:Q109"/>
    <mergeCell ref="A110:B110"/>
    <mergeCell ref="C110:K110"/>
    <mergeCell ref="M110:N110"/>
    <mergeCell ref="C127:K127"/>
    <mergeCell ref="M127:N127"/>
    <mergeCell ref="O127:Q127"/>
    <mergeCell ref="O113:Q113"/>
    <mergeCell ref="O115:Q115"/>
    <mergeCell ref="A126:R126"/>
    <mergeCell ref="A127:B127"/>
    <mergeCell ref="A124:B124"/>
    <mergeCell ref="C124:P124"/>
    <mergeCell ref="A111:B111"/>
    <mergeCell ref="C111:K111"/>
    <mergeCell ref="M111:N111"/>
    <mergeCell ref="O111:Q111"/>
    <mergeCell ref="A112:R112"/>
    <mergeCell ref="A113:B113"/>
    <mergeCell ref="C113:K113"/>
    <mergeCell ref="M113:N113"/>
    <mergeCell ref="Q124:R124"/>
    <mergeCell ref="A125:B125"/>
    <mergeCell ref="C125:P125"/>
    <mergeCell ref="Q125:R125"/>
    <mergeCell ref="C116:K116"/>
    <mergeCell ref="M116:N116"/>
    <mergeCell ref="O116:Q116"/>
    <mergeCell ref="A117:Q117"/>
    <mergeCell ref="A121:R122"/>
    <mergeCell ref="F123:H123"/>
    <mergeCell ref="I123:R123"/>
    <mergeCell ref="C123:E123"/>
    <mergeCell ref="A116:B116"/>
    <mergeCell ref="M132:N132"/>
    <mergeCell ref="O132:Q132"/>
    <mergeCell ref="A128:B128"/>
    <mergeCell ref="C128:K128"/>
    <mergeCell ref="M128:N128"/>
    <mergeCell ref="O128:Q128"/>
    <mergeCell ref="A129:B129"/>
    <mergeCell ref="C129:K129"/>
    <mergeCell ref="M129:N129"/>
    <mergeCell ref="O129:Q129"/>
    <mergeCell ref="C134:K134"/>
    <mergeCell ref="M134:N134"/>
    <mergeCell ref="O134:Q134"/>
    <mergeCell ref="A130:R130"/>
    <mergeCell ref="A131:B131"/>
    <mergeCell ref="C131:K131"/>
    <mergeCell ref="M131:N131"/>
    <mergeCell ref="O131:Q131"/>
    <mergeCell ref="A132:B132"/>
    <mergeCell ref="C132:K132"/>
    <mergeCell ref="A135:B135"/>
    <mergeCell ref="C135:K135"/>
    <mergeCell ref="M135:N135"/>
    <mergeCell ref="O135:Q135"/>
    <mergeCell ref="A136:Q136"/>
    <mergeCell ref="A140:R141"/>
    <mergeCell ref="A133:B133"/>
    <mergeCell ref="C133:K133"/>
    <mergeCell ref="M133:N133"/>
    <mergeCell ref="O133:Q133"/>
    <mergeCell ref="A134:B134"/>
    <mergeCell ref="A143:B143"/>
    <mergeCell ref="C143:P143"/>
    <mergeCell ref="C142:E142"/>
    <mergeCell ref="F142:H142"/>
    <mergeCell ref="I142:R142"/>
    <mergeCell ref="Q143:R143"/>
    <mergeCell ref="A144:B144"/>
    <mergeCell ref="C144:P144"/>
    <mergeCell ref="Q144:R144"/>
    <mergeCell ref="O151:Q151"/>
    <mergeCell ref="A145:R145"/>
    <mergeCell ref="A146:B146"/>
    <mergeCell ref="C146:K146"/>
    <mergeCell ref="M146:N146"/>
    <mergeCell ref="O146:Q146"/>
    <mergeCell ref="A151:B151"/>
    <mergeCell ref="O156:Q156"/>
    <mergeCell ref="A147:B147"/>
    <mergeCell ref="C147:K147"/>
    <mergeCell ref="M147:N147"/>
    <mergeCell ref="O147:Q147"/>
    <mergeCell ref="O148:Q148"/>
    <mergeCell ref="A149:R149"/>
    <mergeCell ref="A150:B150"/>
    <mergeCell ref="C155:K155"/>
    <mergeCell ref="C150:K150"/>
    <mergeCell ref="M150:N150"/>
    <mergeCell ref="O150:Q150"/>
    <mergeCell ref="A148:B148"/>
    <mergeCell ref="C148:K148"/>
    <mergeCell ref="M148:N148"/>
    <mergeCell ref="C151:K151"/>
    <mergeCell ref="M151:N151"/>
    <mergeCell ref="O158:Q158"/>
    <mergeCell ref="A159:B159"/>
    <mergeCell ref="C159:K159"/>
    <mergeCell ref="O152:Q152"/>
    <mergeCell ref="A156:B156"/>
    <mergeCell ref="C156:K156"/>
    <mergeCell ref="M156:N156"/>
    <mergeCell ref="M154:N154"/>
    <mergeCell ref="O154:Q154"/>
    <mergeCell ref="A155:B155"/>
    <mergeCell ref="C50:K50"/>
    <mergeCell ref="M155:N155"/>
    <mergeCell ref="O155:Q155"/>
    <mergeCell ref="O153:Q153"/>
    <mergeCell ref="O160:Q160"/>
    <mergeCell ref="A161:Q161"/>
    <mergeCell ref="O157:Q157"/>
    <mergeCell ref="A158:B158"/>
    <mergeCell ref="C158:K158"/>
    <mergeCell ref="M158:N158"/>
    <mergeCell ref="O42:Q42"/>
    <mergeCell ref="A154:B154"/>
    <mergeCell ref="C154:K154"/>
    <mergeCell ref="A48:B48"/>
    <mergeCell ref="C48:K48"/>
    <mergeCell ref="M48:N48"/>
    <mergeCell ref="O48:Q48"/>
    <mergeCell ref="A49:B49"/>
    <mergeCell ref="C49:K49"/>
    <mergeCell ref="A50:B50"/>
    <mergeCell ref="O43:Q43"/>
    <mergeCell ref="C41:K41"/>
    <mergeCell ref="A39:B39"/>
    <mergeCell ref="M38:N38"/>
    <mergeCell ref="O38:Q38"/>
    <mergeCell ref="M41:N41"/>
    <mergeCell ref="O41:Q41"/>
    <mergeCell ref="A42:B42"/>
    <mergeCell ref="C42:K42"/>
    <mergeCell ref="M42:N42"/>
    <mergeCell ref="A36:R36"/>
    <mergeCell ref="I63:R63"/>
    <mergeCell ref="A64:B64"/>
    <mergeCell ref="C64:P64"/>
    <mergeCell ref="Q64:R64"/>
    <mergeCell ref="A65:B65"/>
    <mergeCell ref="C65:P65"/>
    <mergeCell ref="A43:B43"/>
    <mergeCell ref="C43:K43"/>
    <mergeCell ref="M43:N43"/>
    <mergeCell ref="M68:N68"/>
    <mergeCell ref="O68:Q68"/>
    <mergeCell ref="O56:Q56"/>
    <mergeCell ref="A57:B57"/>
    <mergeCell ref="C57:K57"/>
    <mergeCell ref="M57:N57"/>
    <mergeCell ref="O57:Q57"/>
    <mergeCell ref="Q65:R65"/>
    <mergeCell ref="C63:E63"/>
    <mergeCell ref="F63:H63"/>
    <mergeCell ref="C71:K71"/>
    <mergeCell ref="M71:N71"/>
    <mergeCell ref="O71:Q71"/>
    <mergeCell ref="A66:R66"/>
    <mergeCell ref="A67:B67"/>
    <mergeCell ref="C67:K67"/>
    <mergeCell ref="M67:N67"/>
    <mergeCell ref="O67:Q67"/>
    <mergeCell ref="A68:B68"/>
    <mergeCell ref="C68:K68"/>
    <mergeCell ref="A72:B72"/>
    <mergeCell ref="C72:K72"/>
    <mergeCell ref="M72:N72"/>
    <mergeCell ref="O72:Q72"/>
    <mergeCell ref="A69:B69"/>
    <mergeCell ref="C69:K69"/>
    <mergeCell ref="M69:N69"/>
    <mergeCell ref="O69:Q69"/>
    <mergeCell ref="A70:R70"/>
    <mergeCell ref="A71:B71"/>
    <mergeCell ref="A97:B97"/>
    <mergeCell ref="C97:K97"/>
    <mergeCell ref="M97:N97"/>
    <mergeCell ref="A89:R89"/>
    <mergeCell ref="A75:B75"/>
    <mergeCell ref="C75:K75"/>
    <mergeCell ref="M75:N75"/>
    <mergeCell ref="A94:B94"/>
    <mergeCell ref="C94:K94"/>
    <mergeCell ref="M94:N94"/>
    <mergeCell ref="C74:K74"/>
    <mergeCell ref="M74:N74"/>
    <mergeCell ref="O74:Q74"/>
    <mergeCell ref="A96:B96"/>
    <mergeCell ref="C96:K96"/>
    <mergeCell ref="M96:N96"/>
    <mergeCell ref="O96:Q96"/>
    <mergeCell ref="O94:Q94"/>
    <mergeCell ref="A95:B95"/>
    <mergeCell ref="C95:K95"/>
    <mergeCell ref="A73:B73"/>
    <mergeCell ref="C73:K73"/>
    <mergeCell ref="M73:N73"/>
    <mergeCell ref="O97:Q97"/>
    <mergeCell ref="A98:B98"/>
    <mergeCell ref="C98:K98"/>
    <mergeCell ref="M98:N98"/>
    <mergeCell ref="O98:Q98"/>
    <mergeCell ref="O73:Q73"/>
    <mergeCell ref="A74:B74"/>
    <mergeCell ref="A169:B169"/>
    <mergeCell ref="C169:P169"/>
    <mergeCell ref="Q169:R169"/>
    <mergeCell ref="A165:R166"/>
    <mergeCell ref="A153:B153"/>
    <mergeCell ref="C153:K153"/>
    <mergeCell ref="M153:N153"/>
    <mergeCell ref="M159:N159"/>
    <mergeCell ref="A157:B157"/>
    <mergeCell ref="C157:K157"/>
    <mergeCell ref="M114:N114"/>
    <mergeCell ref="O114:Q114"/>
    <mergeCell ref="A115:B115"/>
    <mergeCell ref="C115:K115"/>
    <mergeCell ref="M115:N115"/>
    <mergeCell ref="Q168:R168"/>
    <mergeCell ref="M157:N157"/>
    <mergeCell ref="A152:B152"/>
    <mergeCell ref="C152:K152"/>
    <mergeCell ref="M152:N152"/>
    <mergeCell ref="C167:E167"/>
    <mergeCell ref="F167:H167"/>
    <mergeCell ref="I167:R167"/>
    <mergeCell ref="A168:B168"/>
    <mergeCell ref="O172:Q172"/>
    <mergeCell ref="A106:B106"/>
    <mergeCell ref="C106:P106"/>
    <mergeCell ref="Q106:R106"/>
    <mergeCell ref="A114:B114"/>
    <mergeCell ref="C114:K114"/>
    <mergeCell ref="C171:K171"/>
    <mergeCell ref="M171:N171"/>
    <mergeCell ref="O171:Q171"/>
    <mergeCell ref="A172:B172"/>
    <mergeCell ref="C172:K172"/>
    <mergeCell ref="M172:N172"/>
    <mergeCell ref="O176:Q176"/>
    <mergeCell ref="C168:P168"/>
    <mergeCell ref="A176:B176"/>
    <mergeCell ref="C176:K176"/>
    <mergeCell ref="M176:N176"/>
    <mergeCell ref="A173:B173"/>
    <mergeCell ref="C173:K173"/>
    <mergeCell ref="M173:N173"/>
    <mergeCell ref="A174:R174"/>
    <mergeCell ref="A175:B175"/>
    <mergeCell ref="O159:Q159"/>
    <mergeCell ref="A160:B160"/>
    <mergeCell ref="C160:K160"/>
    <mergeCell ref="M160:N160"/>
    <mergeCell ref="C175:K175"/>
    <mergeCell ref="M175:N175"/>
    <mergeCell ref="O175:Q175"/>
    <mergeCell ref="O173:Q173"/>
    <mergeCell ref="A170:R170"/>
    <mergeCell ref="A171:B171"/>
    <mergeCell ref="A181:B181"/>
    <mergeCell ref="C181:K181"/>
    <mergeCell ref="M181:N181"/>
    <mergeCell ref="O181:Q181"/>
    <mergeCell ref="A179:B179"/>
    <mergeCell ref="M180:N180"/>
    <mergeCell ref="A180:B180"/>
    <mergeCell ref="C180:K180"/>
    <mergeCell ref="C179:K179"/>
    <mergeCell ref="M179:N179"/>
    <mergeCell ref="A178:B178"/>
    <mergeCell ref="C178:K178"/>
    <mergeCell ref="M178:N178"/>
    <mergeCell ref="O178:Q178"/>
    <mergeCell ref="O180:Q180"/>
    <mergeCell ref="A177:B177"/>
    <mergeCell ref="C177:K177"/>
    <mergeCell ref="M177:N177"/>
    <mergeCell ref="O177:Q177"/>
    <mergeCell ref="O179:Q179"/>
    <mergeCell ref="A183:B183"/>
    <mergeCell ref="C183:K183"/>
    <mergeCell ref="M183:N183"/>
    <mergeCell ref="O183:Q183"/>
    <mergeCell ref="A184:Q184"/>
    <mergeCell ref="A182:B182"/>
    <mergeCell ref="C182:K182"/>
    <mergeCell ref="M182:N182"/>
    <mergeCell ref="O182:Q182"/>
  </mergeCells>
  <printOptions horizontalCentered="1"/>
  <pageMargins left="0.196527777777778" right="0.196527777777778" top="0.62916666666666698" bottom="0.64305555555555605" header="0.39374999999999999" footer="0.39374999999999999"/>
  <pageSetup paperSize="9" scale="75" fitToHeight="100" orientation="portrait" r:id="rId1"/>
  <headerFooter>
    <oddHeader>&amp;C&amp;A</oddHeader>
    <oddFooter>&amp;C&amp;"Times New Roman,Normal"&amp;12&amp;Kffffff&amp;P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0370-B446-496B-866A-597E2D4E8339}">
  <sheetPr>
    <tabColor rgb="FF00B0F0"/>
    <pageSetUpPr fitToPage="1"/>
  </sheetPr>
  <dimension ref="A1:K36"/>
  <sheetViews>
    <sheetView view="pageBreakPreview" topLeftCell="A4" zoomScaleNormal="85" zoomScaleSheetLayoutView="100" workbookViewId="0">
      <selection activeCell="J11" sqref="J11"/>
    </sheetView>
  </sheetViews>
  <sheetFormatPr defaultColWidth="11.5" defaultRowHeight="12.75" customHeight="1" x14ac:dyDescent="0.2"/>
  <cols>
    <col min="1" max="1" width="18.5" style="512" customWidth="1"/>
    <col min="2" max="2" width="9.5" style="512" customWidth="1"/>
    <col min="3" max="3" width="12.5" style="512" customWidth="1"/>
    <col min="4" max="4" width="18" style="552" customWidth="1"/>
    <col min="5" max="5" width="47.83203125" style="512" customWidth="1"/>
    <col min="6" max="6" width="21.5" style="512" customWidth="1"/>
    <col min="7" max="7" width="10" style="512" customWidth="1"/>
    <col min="8" max="8" width="23.5" style="512" customWidth="1"/>
    <col min="9" max="9" width="22.1640625" style="512" customWidth="1"/>
    <col min="10" max="10" width="21.6640625" style="512" customWidth="1"/>
    <col min="11" max="11" width="4.5" style="512" customWidth="1"/>
    <col min="12" max="16384" width="11.5" style="512"/>
  </cols>
  <sheetData>
    <row r="1" spans="1:11" ht="26.25" x14ac:dyDescent="0.25">
      <c r="A1" s="508"/>
      <c r="B1" s="509"/>
      <c r="C1" s="509"/>
      <c r="D1" s="510" t="s">
        <v>120</v>
      </c>
      <c r="E1" s="509"/>
      <c r="F1" s="509"/>
      <c r="G1" s="509"/>
      <c r="H1" s="509"/>
      <c r="I1" s="509"/>
      <c r="J1" s="511"/>
    </row>
    <row r="2" spans="1:11" ht="18" customHeight="1" x14ac:dyDescent="0.2">
      <c r="A2" s="513"/>
      <c r="B2" s="514"/>
      <c r="C2" s="514"/>
      <c r="D2" s="515" t="s">
        <v>1</v>
      </c>
      <c r="E2" s="514"/>
      <c r="F2" s="514"/>
      <c r="G2" s="514"/>
      <c r="H2" s="514"/>
      <c r="I2" s="514"/>
      <c r="J2" s="516"/>
    </row>
    <row r="3" spans="1:11" ht="18" customHeight="1" x14ac:dyDescent="0.2">
      <c r="A3" s="513"/>
      <c r="B3" s="514"/>
      <c r="C3" s="514"/>
      <c r="D3" s="515" t="s">
        <v>2</v>
      </c>
      <c r="E3" s="514"/>
      <c r="F3" s="514"/>
      <c r="G3" s="514"/>
      <c r="H3" s="514"/>
      <c r="I3" s="514"/>
      <c r="J3" s="516"/>
    </row>
    <row r="4" spans="1:11" ht="18" customHeight="1" x14ac:dyDescent="0.2">
      <c r="A4" s="517"/>
      <c r="B4" s="518"/>
      <c r="C4" s="518"/>
      <c r="D4" s="519" t="s">
        <v>223</v>
      </c>
      <c r="E4" s="518"/>
      <c r="F4" s="518"/>
      <c r="G4" s="518"/>
      <c r="H4" s="518"/>
      <c r="I4" s="518"/>
      <c r="J4" s="520"/>
    </row>
    <row r="5" spans="1:11" ht="39" customHeight="1" x14ac:dyDescent="0.2">
      <c r="A5" s="1542" t="s">
        <v>1089</v>
      </c>
      <c r="B5" s="1542"/>
      <c r="C5" s="1542"/>
      <c r="D5" s="1542"/>
      <c r="E5" s="1542"/>
      <c r="F5" s="1542"/>
      <c r="G5" s="1542"/>
      <c r="H5" s="1542"/>
      <c r="I5" s="1542"/>
      <c r="J5" s="1542"/>
    </row>
    <row r="6" spans="1:11" ht="40.5" customHeight="1" x14ac:dyDescent="0.2">
      <c r="A6" s="1543" t="s">
        <v>1090</v>
      </c>
      <c r="B6" s="1544"/>
      <c r="C6" s="1544"/>
      <c r="D6" s="1544"/>
      <c r="E6" s="1544"/>
      <c r="F6" s="1544"/>
      <c r="G6" s="1544"/>
      <c r="H6" s="1544"/>
      <c r="I6" s="1544"/>
      <c r="J6" s="1544"/>
    </row>
    <row r="7" spans="1:11" ht="35.25" customHeight="1" x14ac:dyDescent="0.2">
      <c r="A7" s="1545" t="s">
        <v>1091</v>
      </c>
      <c r="B7" s="1546"/>
      <c r="C7" s="1546"/>
      <c r="D7" s="1546"/>
      <c r="E7" s="1546"/>
      <c r="F7" s="1546"/>
      <c r="G7" s="1546"/>
      <c r="H7" s="1546"/>
      <c r="I7" s="1546"/>
      <c r="J7" s="1547"/>
    </row>
    <row r="8" spans="1:11" ht="15" x14ac:dyDescent="0.2">
      <c r="A8" s="1548"/>
      <c r="B8" s="521" t="s">
        <v>1092</v>
      </c>
      <c r="C8" s="1550" t="s">
        <v>1093</v>
      </c>
      <c r="D8" s="1550"/>
      <c r="E8" s="1550"/>
      <c r="F8" s="522"/>
      <c r="G8" s="523"/>
      <c r="H8" s="524" t="s">
        <v>1094</v>
      </c>
      <c r="I8" s="524"/>
      <c r="J8" s="525">
        <f>'BDI Diferenciado 1.2 E 1.3'!H25</f>
        <v>0.14960000000000001</v>
      </c>
    </row>
    <row r="9" spans="1:11" ht="33" customHeight="1" x14ac:dyDescent="0.2">
      <c r="A9" s="1548"/>
      <c r="B9" s="521" t="s">
        <v>1095</v>
      </c>
      <c r="C9" s="1553" t="s">
        <v>1096</v>
      </c>
      <c r="D9" s="1553"/>
      <c r="E9" s="1553"/>
      <c r="F9" s="1553"/>
      <c r="G9" s="1554"/>
      <c r="H9" s="526" t="s">
        <v>1097</v>
      </c>
      <c r="I9" s="526"/>
      <c r="J9" s="527" t="s">
        <v>1098</v>
      </c>
    </row>
    <row r="10" spans="1:11" ht="86.25" customHeight="1" x14ac:dyDescent="0.2">
      <c r="A10" s="1548"/>
      <c r="B10" s="528"/>
      <c r="C10" s="529"/>
      <c r="D10" s="530" t="s">
        <v>1099</v>
      </c>
      <c r="E10" s="1551" t="s">
        <v>1100</v>
      </c>
      <c r="F10" s="1552"/>
      <c r="G10" s="1552"/>
      <c r="H10" s="823" t="s">
        <v>1101</v>
      </c>
      <c r="I10" s="824"/>
      <c r="J10" s="826">
        <f>Dados!G91</f>
        <v>0</v>
      </c>
    </row>
    <row r="11" spans="1:11" ht="45.75" customHeight="1" x14ac:dyDescent="0.2">
      <c r="A11" s="1549"/>
      <c r="B11" s="531"/>
      <c r="C11" s="531"/>
      <c r="D11" s="532"/>
      <c r="E11" s="533"/>
      <c r="F11" s="534"/>
      <c r="G11" s="535" t="s">
        <v>1102</v>
      </c>
      <c r="H11" s="536" t="s">
        <v>1103</v>
      </c>
      <c r="I11" s="537"/>
      <c r="J11" s="745">
        <f>1-Dados!G91</f>
        <v>1</v>
      </c>
    </row>
    <row r="12" spans="1:11" s="542" customFormat="1" ht="25.5" x14ac:dyDescent="0.2">
      <c r="A12" s="1559" t="s">
        <v>496</v>
      </c>
      <c r="B12" s="1560"/>
      <c r="C12" s="1560"/>
      <c r="D12" s="1561"/>
      <c r="E12" s="1562" t="s">
        <v>1104</v>
      </c>
      <c r="F12" s="1563"/>
      <c r="G12" s="1564"/>
      <c r="H12" s="540" t="s">
        <v>1105</v>
      </c>
      <c r="I12" s="540" t="s">
        <v>89</v>
      </c>
      <c r="J12" s="541" t="s">
        <v>1106</v>
      </c>
    </row>
    <row r="13" spans="1:11" s="551" customFormat="1" ht="33.75" customHeight="1" x14ac:dyDescent="0.2">
      <c r="A13" s="1557" t="s">
        <v>97</v>
      </c>
      <c r="B13" s="1557"/>
      <c r="C13" s="1557"/>
      <c r="D13" s="1557"/>
      <c r="E13" s="1558" t="s">
        <v>134</v>
      </c>
      <c r="F13" s="1558"/>
      <c r="G13" s="1558"/>
      <c r="H13" s="1076">
        <f>774182.324286708*J11</f>
        <v>774182.32428670803</v>
      </c>
      <c r="I13" s="1076">
        <f>H13*J8</f>
        <v>115817.67571329152</v>
      </c>
      <c r="J13" s="1076">
        <f>H13+I13</f>
        <v>889999.99999999953</v>
      </c>
      <c r="K13" s="512"/>
    </row>
    <row r="14" spans="1:11" s="551" customFormat="1" x14ac:dyDescent="0.2">
      <c r="A14" s="547"/>
      <c r="B14" s="1555"/>
      <c r="C14" s="1555"/>
      <c r="D14" s="548"/>
      <c r="E14" s="1556"/>
      <c r="F14" s="1556"/>
      <c r="G14" s="549"/>
      <c r="H14" s="550"/>
      <c r="I14" s="550"/>
      <c r="J14" s="550"/>
      <c r="K14" s="512"/>
    </row>
    <row r="15" spans="1:11" s="551" customFormat="1" ht="15.75" customHeight="1" x14ac:dyDescent="0.2">
      <c r="A15" s="547"/>
      <c r="B15" s="1555"/>
      <c r="C15" s="1555"/>
      <c r="D15" s="548"/>
      <c r="E15" s="1556"/>
      <c r="F15" s="1556"/>
      <c r="G15" s="549"/>
      <c r="H15" s="550"/>
      <c r="I15" s="550"/>
      <c r="J15" s="550"/>
      <c r="K15" s="512"/>
    </row>
    <row r="16" spans="1:11" s="551" customFormat="1" x14ac:dyDescent="0.2">
      <c r="A16" s="547"/>
      <c r="B16" s="1555"/>
      <c r="C16" s="1555"/>
      <c r="D16" s="548"/>
      <c r="E16" s="1556"/>
      <c r="F16" s="1556"/>
      <c r="G16" s="549"/>
      <c r="H16" s="550"/>
      <c r="I16" s="550"/>
      <c r="J16" s="550"/>
      <c r="K16" s="512"/>
    </row>
    <row r="17" spans="1:11" s="551" customFormat="1" x14ac:dyDescent="0.2">
      <c r="A17" s="547"/>
      <c r="B17" s="1555"/>
      <c r="C17" s="1555"/>
      <c r="D17" s="548"/>
      <c r="E17" s="1556"/>
      <c r="F17" s="1556"/>
      <c r="G17" s="549"/>
      <c r="H17" s="550"/>
      <c r="I17" s="550"/>
      <c r="J17" s="550"/>
      <c r="K17" s="512"/>
    </row>
    <row r="18" spans="1:11" s="551" customFormat="1" x14ac:dyDescent="0.2">
      <c r="A18" s="547"/>
      <c r="B18" s="1555"/>
      <c r="C18" s="1555"/>
      <c r="D18" s="548"/>
      <c r="E18" s="1556"/>
      <c r="F18" s="1556"/>
      <c r="G18" s="549"/>
      <c r="H18" s="550"/>
      <c r="I18" s="550"/>
      <c r="J18" s="550"/>
      <c r="K18" s="512"/>
    </row>
    <row r="19" spans="1:11" s="551" customFormat="1" x14ac:dyDescent="0.2">
      <c r="A19" s="547"/>
      <c r="B19" s="1555"/>
      <c r="C19" s="1555"/>
      <c r="D19" s="548"/>
      <c r="E19" s="1556"/>
      <c r="F19" s="1556"/>
      <c r="G19" s="549"/>
      <c r="H19" s="550"/>
      <c r="I19" s="550"/>
      <c r="J19" s="550"/>
      <c r="K19" s="512"/>
    </row>
    <row r="20" spans="1:11" s="551" customFormat="1" x14ac:dyDescent="0.2">
      <c r="A20" s="547"/>
      <c r="B20" s="1555"/>
      <c r="C20" s="1555"/>
      <c r="D20" s="548"/>
      <c r="E20" s="1556"/>
      <c r="F20" s="1556"/>
      <c r="G20" s="549"/>
      <c r="H20" s="550"/>
      <c r="I20" s="550"/>
      <c r="J20" s="550"/>
      <c r="K20" s="512"/>
    </row>
    <row r="21" spans="1:11" s="551" customFormat="1" x14ac:dyDescent="0.2">
      <c r="A21" s="547"/>
      <c r="B21" s="1555"/>
      <c r="C21" s="1555"/>
      <c r="D21" s="548"/>
      <c r="E21" s="1556"/>
      <c r="F21" s="1556"/>
      <c r="G21" s="549"/>
      <c r="H21" s="550"/>
      <c r="I21" s="550"/>
      <c r="J21" s="550"/>
      <c r="K21" s="512"/>
    </row>
    <row r="22" spans="1:11" s="551" customFormat="1" x14ac:dyDescent="0.2">
      <c r="A22" s="547"/>
      <c r="B22" s="1555"/>
      <c r="C22" s="1555"/>
      <c r="D22" s="548"/>
      <c r="E22" s="1556"/>
      <c r="F22" s="1556"/>
      <c r="G22" s="549"/>
      <c r="H22" s="550"/>
      <c r="I22" s="550"/>
      <c r="J22" s="550"/>
      <c r="K22" s="512"/>
    </row>
    <row r="23" spans="1:11" s="551" customFormat="1" x14ac:dyDescent="0.2">
      <c r="A23" s="547"/>
      <c r="B23" s="1555"/>
      <c r="C23" s="1555"/>
      <c r="D23" s="548"/>
      <c r="E23" s="1556"/>
      <c r="F23" s="1556"/>
      <c r="G23" s="549"/>
      <c r="H23" s="550"/>
      <c r="I23" s="550"/>
      <c r="J23" s="550"/>
      <c r="K23" s="512"/>
    </row>
    <row r="24" spans="1:11" s="551" customFormat="1" x14ac:dyDescent="0.2">
      <c r="A24" s="547"/>
      <c r="B24" s="1555"/>
      <c r="C24" s="1555"/>
      <c r="D24" s="548"/>
      <c r="E24" s="1556"/>
      <c r="F24" s="1556"/>
      <c r="G24" s="549"/>
      <c r="H24" s="550"/>
      <c r="I24" s="550"/>
      <c r="J24" s="550"/>
      <c r="K24" s="512"/>
    </row>
    <row r="25" spans="1:11" s="551" customFormat="1" x14ac:dyDescent="0.2">
      <c r="A25" s="547"/>
      <c r="B25" s="1555"/>
      <c r="C25" s="1555"/>
      <c r="D25" s="548"/>
      <c r="E25" s="1556"/>
      <c r="F25" s="1556"/>
      <c r="G25" s="549"/>
      <c r="H25" s="550"/>
      <c r="I25" s="550"/>
      <c r="J25" s="550"/>
      <c r="K25" s="512"/>
    </row>
    <row r="26" spans="1:11" s="551" customFormat="1" x14ac:dyDescent="0.2">
      <c r="A26" s="547"/>
      <c r="B26" s="1555"/>
      <c r="C26" s="1555"/>
      <c r="D26" s="548"/>
      <c r="E26" s="1556"/>
      <c r="F26" s="1556"/>
      <c r="G26" s="549"/>
      <c r="H26" s="550"/>
      <c r="I26" s="550"/>
      <c r="J26" s="550"/>
      <c r="K26" s="512"/>
    </row>
    <row r="27" spans="1:11" s="551" customFormat="1" x14ac:dyDescent="0.2">
      <c r="A27" s="547"/>
      <c r="B27" s="1555"/>
      <c r="C27" s="1555"/>
      <c r="D27" s="548"/>
      <c r="E27" s="1556"/>
      <c r="F27" s="1556"/>
      <c r="G27" s="549"/>
      <c r="H27" s="550"/>
      <c r="I27" s="550"/>
      <c r="J27" s="550"/>
      <c r="K27" s="512"/>
    </row>
    <row r="28" spans="1:11" s="551" customFormat="1" x14ac:dyDescent="0.2">
      <c r="A28" s="547"/>
      <c r="B28" s="1555"/>
      <c r="C28" s="1555"/>
      <c r="D28" s="548"/>
      <c r="E28" s="1556"/>
      <c r="F28" s="1556"/>
      <c r="G28" s="549"/>
      <c r="H28" s="550"/>
      <c r="I28" s="550"/>
      <c r="J28" s="550"/>
      <c r="K28" s="512"/>
    </row>
    <row r="29" spans="1:11" s="551" customFormat="1" x14ac:dyDescent="0.2">
      <c r="A29" s="547"/>
      <c r="B29" s="1555"/>
      <c r="C29" s="1555"/>
      <c r="D29" s="548"/>
      <c r="E29" s="1556"/>
      <c r="F29" s="1556"/>
      <c r="G29" s="549"/>
      <c r="H29" s="550"/>
      <c r="I29" s="550"/>
      <c r="J29" s="550"/>
      <c r="K29" s="512"/>
    </row>
    <row r="30" spans="1:11" s="551" customFormat="1" x14ac:dyDescent="0.2">
      <c r="A30" s="547"/>
      <c r="B30" s="1555"/>
      <c r="C30" s="1555"/>
      <c r="D30" s="548"/>
      <c r="E30" s="1556"/>
      <c r="F30" s="1556"/>
      <c r="G30" s="549"/>
      <c r="H30" s="550"/>
      <c r="I30" s="550"/>
      <c r="J30" s="550"/>
      <c r="K30" s="512"/>
    </row>
    <row r="31" spans="1:11" s="551" customFormat="1" x14ac:dyDescent="0.2">
      <c r="A31" s="547"/>
      <c r="B31" s="1555"/>
      <c r="C31" s="1555"/>
      <c r="D31" s="548"/>
      <c r="E31" s="1556"/>
      <c r="F31" s="1556"/>
      <c r="G31" s="549"/>
      <c r="H31" s="550"/>
      <c r="I31" s="550"/>
      <c r="J31" s="550"/>
      <c r="K31" s="512"/>
    </row>
    <row r="32" spans="1:11" s="551" customFormat="1" x14ac:dyDescent="0.2">
      <c r="A32" s="547"/>
      <c r="B32" s="1555"/>
      <c r="C32" s="1555"/>
      <c r="D32" s="548"/>
      <c r="E32" s="1556"/>
      <c r="F32" s="1556"/>
      <c r="G32" s="549"/>
      <c r="H32" s="550"/>
      <c r="I32" s="550"/>
      <c r="J32" s="550"/>
      <c r="K32" s="512"/>
    </row>
    <row r="33" spans="1:11" s="551" customFormat="1" x14ac:dyDescent="0.2">
      <c r="A33" s="547"/>
      <c r="B33" s="1555"/>
      <c r="C33" s="1555"/>
      <c r="D33" s="548"/>
      <c r="E33" s="1556"/>
      <c r="F33" s="1556"/>
      <c r="G33" s="549"/>
      <c r="H33" s="550"/>
      <c r="I33" s="550"/>
      <c r="J33" s="550"/>
      <c r="K33" s="512"/>
    </row>
    <row r="34" spans="1:11" s="551" customFormat="1" x14ac:dyDescent="0.2">
      <c r="A34" s="547"/>
      <c r="B34" s="1555"/>
      <c r="C34" s="1555"/>
      <c r="D34" s="548"/>
      <c r="E34" s="1556"/>
      <c r="F34" s="1556"/>
      <c r="G34" s="549"/>
      <c r="H34" s="550"/>
      <c r="I34" s="550"/>
      <c r="J34" s="550"/>
      <c r="K34" s="512"/>
    </row>
    <row r="35" spans="1:11" s="551" customFormat="1" x14ac:dyDescent="0.2">
      <c r="A35" s="547"/>
      <c r="B35" s="1555"/>
      <c r="C35" s="1555"/>
      <c r="D35" s="548"/>
      <c r="E35" s="1556"/>
      <c r="F35" s="1556"/>
      <c r="G35" s="549"/>
      <c r="H35" s="550"/>
      <c r="I35" s="550"/>
      <c r="J35" s="550"/>
      <c r="K35" s="512"/>
    </row>
    <row r="36" spans="1:11" s="551" customFormat="1" x14ac:dyDescent="0.2">
      <c r="A36" s="547"/>
      <c r="B36" s="1555"/>
      <c r="C36" s="1555"/>
      <c r="D36" s="548"/>
      <c r="E36" s="1556"/>
      <c r="F36" s="1556"/>
      <c r="G36" s="549"/>
      <c r="H36" s="550"/>
      <c r="I36" s="550"/>
      <c r="J36" s="550"/>
      <c r="K36" s="512"/>
    </row>
  </sheetData>
  <sheetProtection sheet="1" objects="1" scenarios="1"/>
  <mergeCells count="57">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8:C18"/>
    <mergeCell ref="E18:F18"/>
    <mergeCell ref="B15:C15"/>
    <mergeCell ref="E15:F15"/>
    <mergeCell ref="B16:C16"/>
    <mergeCell ref="E16:F16"/>
    <mergeCell ref="B17:C17"/>
    <mergeCell ref="E17:F17"/>
    <mergeCell ref="B14:C14"/>
    <mergeCell ref="E14:F14"/>
    <mergeCell ref="A13:D13"/>
    <mergeCell ref="E13:G13"/>
    <mergeCell ref="A12:D12"/>
    <mergeCell ref="E12:G12"/>
    <mergeCell ref="A5:J5"/>
    <mergeCell ref="A6:J6"/>
    <mergeCell ref="A7:J7"/>
    <mergeCell ref="A8:A11"/>
    <mergeCell ref="C8:E8"/>
    <mergeCell ref="E10:G10"/>
    <mergeCell ref="C9:G9"/>
  </mergeCells>
  <printOptions horizontalCentered="1"/>
  <pageMargins left="0.196527777777778" right="0.196527777777778" top="0.65902777777777799" bottom="0.65902777777777799" header="0.39374999999999999" footer="0.39374999999999999"/>
  <pageSetup paperSize="9" scale="54" fitToHeight="0" orientation="portrait" r:id="rId1"/>
  <headerFooter>
    <oddHeader>&amp;C&amp;"Times New Roman,Normal"&amp;12&amp;A</oddHeader>
    <oddFooter>&amp;C&amp;"Times New Roman,Normal"&amp;12&amp;P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9E27-210A-492B-A400-C0F42723172E}">
  <sheetPr>
    <pageSetUpPr fitToPage="1"/>
  </sheetPr>
  <dimension ref="A1:L806"/>
  <sheetViews>
    <sheetView view="pageBreakPreview" zoomScaleNormal="85" zoomScaleSheetLayoutView="100" workbookViewId="0">
      <selection activeCell="H13" sqref="H13"/>
    </sheetView>
  </sheetViews>
  <sheetFormatPr defaultColWidth="11.5" defaultRowHeight="12.75" customHeight="1" x14ac:dyDescent="0.2"/>
  <cols>
    <col min="1" max="1" width="18.5" style="512" customWidth="1"/>
    <col min="2" max="2" width="9.5" style="512" customWidth="1"/>
    <col min="3" max="3" width="12.5" style="512" customWidth="1"/>
    <col min="4" max="4" width="18" style="552" customWidth="1"/>
    <col min="5" max="5" width="61.5" style="512" customWidth="1"/>
    <col min="6" max="6" width="21.5" style="512" customWidth="1"/>
    <col min="7" max="7" width="10" style="512" customWidth="1"/>
    <col min="8" max="8" width="15.6640625" style="512" customWidth="1"/>
    <col min="9" max="9" width="15.33203125" style="512" customWidth="1"/>
    <col min="10" max="10" width="15.5" style="512" customWidth="1"/>
    <col min="11" max="11" width="4.5" style="512" customWidth="1"/>
    <col min="12" max="16384" width="11.5" style="512"/>
  </cols>
  <sheetData>
    <row r="1" spans="1:10" ht="26.25" x14ac:dyDescent="0.25">
      <c r="A1" s="508"/>
      <c r="B1" s="509"/>
      <c r="C1" s="509"/>
      <c r="D1" s="510" t="s">
        <v>120</v>
      </c>
      <c r="E1" s="509"/>
      <c r="F1" s="509"/>
      <c r="G1" s="509"/>
      <c r="H1" s="509"/>
      <c r="I1" s="509"/>
      <c r="J1" s="511"/>
    </row>
    <row r="2" spans="1:10" ht="18" customHeight="1" x14ac:dyDescent="0.2">
      <c r="A2" s="513"/>
      <c r="B2" s="514"/>
      <c r="C2" s="514"/>
      <c r="D2" s="515" t="s">
        <v>1</v>
      </c>
      <c r="E2" s="514"/>
      <c r="F2" s="514"/>
      <c r="G2" s="514"/>
      <c r="H2" s="514"/>
      <c r="I2" s="514"/>
      <c r="J2" s="516"/>
    </row>
    <row r="3" spans="1:10" ht="18" customHeight="1" x14ac:dyDescent="0.2">
      <c r="A3" s="513"/>
      <c r="B3" s="514"/>
      <c r="C3" s="514"/>
      <c r="D3" s="515" t="s">
        <v>2</v>
      </c>
      <c r="E3" s="514"/>
      <c r="F3" s="514"/>
      <c r="G3" s="514"/>
      <c r="H3" s="514"/>
      <c r="I3" s="514"/>
      <c r="J3" s="516"/>
    </row>
    <row r="4" spans="1:10" ht="18" customHeight="1" x14ac:dyDescent="0.2">
      <c r="A4" s="517"/>
      <c r="B4" s="518"/>
      <c r="C4" s="518"/>
      <c r="D4" s="519" t="s">
        <v>223</v>
      </c>
      <c r="E4" s="518"/>
      <c r="F4" s="518"/>
      <c r="G4" s="518"/>
      <c r="H4" s="518"/>
      <c r="I4" s="518"/>
      <c r="J4" s="520"/>
    </row>
    <row r="5" spans="1:10" ht="32.25" customHeight="1" x14ac:dyDescent="0.2">
      <c r="A5" s="1566" t="s">
        <v>1089</v>
      </c>
      <c r="B5" s="1566"/>
      <c r="C5" s="1566"/>
      <c r="D5" s="1566"/>
      <c r="E5" s="1566"/>
      <c r="F5" s="1566"/>
      <c r="G5" s="1566"/>
      <c r="H5" s="1566"/>
      <c r="I5" s="1566"/>
      <c r="J5" s="1566"/>
    </row>
    <row r="6" spans="1:10" ht="40.5" customHeight="1" x14ac:dyDescent="0.2">
      <c r="A6" s="1543" t="s">
        <v>1107</v>
      </c>
      <c r="B6" s="1544"/>
      <c r="C6" s="1544"/>
      <c r="D6" s="1544"/>
      <c r="E6" s="1544"/>
      <c r="F6" s="1544"/>
      <c r="G6" s="1544"/>
      <c r="H6" s="1544"/>
      <c r="I6" s="1544"/>
      <c r="J6" s="1544"/>
    </row>
    <row r="7" spans="1:10" ht="35.25" customHeight="1" x14ac:dyDescent="0.2">
      <c r="A7" s="1545" t="s">
        <v>1091</v>
      </c>
      <c r="B7" s="1546"/>
      <c r="C7" s="1546"/>
      <c r="D7" s="1546"/>
      <c r="E7" s="1546"/>
      <c r="F7" s="1546"/>
      <c r="G7" s="1546"/>
      <c r="H7" s="1546"/>
      <c r="I7" s="1546"/>
      <c r="J7" s="1547"/>
    </row>
    <row r="8" spans="1:10" ht="15" x14ac:dyDescent="0.2">
      <c r="A8" s="1548"/>
      <c r="B8" s="521" t="s">
        <v>1092</v>
      </c>
      <c r="C8" s="1550" t="s">
        <v>1093</v>
      </c>
      <c r="D8" s="1550"/>
      <c r="E8" s="1550"/>
      <c r="F8" s="522"/>
      <c r="G8" s="523"/>
      <c r="H8" s="524" t="s">
        <v>1094</v>
      </c>
      <c r="I8" s="524"/>
      <c r="J8" s="525">
        <f>'BDI Diferenciado 1.2 E 1.3'!H25</f>
        <v>0.14960000000000001</v>
      </c>
    </row>
    <row r="9" spans="1:10" ht="15" x14ac:dyDescent="0.2">
      <c r="A9" s="1548"/>
      <c r="B9" s="521" t="s">
        <v>1095</v>
      </c>
      <c r="C9" s="1550" t="s">
        <v>1096</v>
      </c>
      <c r="D9" s="1550"/>
      <c r="E9" s="1550"/>
      <c r="F9" s="522"/>
      <c r="G9" s="523"/>
      <c r="H9" s="526" t="s">
        <v>1097</v>
      </c>
      <c r="I9" s="526"/>
      <c r="J9" s="527" t="s">
        <v>1098</v>
      </c>
    </row>
    <row r="10" spans="1:10" ht="183" customHeight="1" x14ac:dyDescent="0.2">
      <c r="A10" s="1548"/>
      <c r="B10" s="528"/>
      <c r="C10" s="529"/>
      <c r="D10" s="530" t="s">
        <v>1099</v>
      </c>
      <c r="E10" s="1551" t="s">
        <v>1108</v>
      </c>
      <c r="F10" s="1552"/>
      <c r="G10" s="1552"/>
      <c r="H10" s="823" t="s">
        <v>1101</v>
      </c>
      <c r="I10" s="824"/>
      <c r="J10" s="826">
        <f>Dados!G91</f>
        <v>0</v>
      </c>
    </row>
    <row r="11" spans="1:10" ht="45.75" customHeight="1" x14ac:dyDescent="0.2">
      <c r="A11" s="1549"/>
      <c r="B11" s="531"/>
      <c r="C11" s="531"/>
      <c r="D11" s="532"/>
      <c r="E11" s="533"/>
      <c r="F11" s="534"/>
      <c r="G11" s="535" t="s">
        <v>1102</v>
      </c>
      <c r="H11" s="536" t="s">
        <v>1103</v>
      </c>
      <c r="I11" s="537"/>
      <c r="J11" s="745">
        <f>1-Dados!G91</f>
        <v>1</v>
      </c>
    </row>
    <row r="12" spans="1:10" s="542" customFormat="1" ht="38.25" x14ac:dyDescent="0.2">
      <c r="A12" s="539" t="s">
        <v>1109</v>
      </c>
      <c r="B12" s="1567" t="s">
        <v>1110</v>
      </c>
      <c r="C12" s="1567"/>
      <c r="D12" s="540" t="s">
        <v>1111</v>
      </c>
      <c r="E12" s="1567" t="s">
        <v>1104</v>
      </c>
      <c r="F12" s="1567"/>
      <c r="G12" s="539" t="s">
        <v>1112</v>
      </c>
      <c r="H12" s="540" t="s">
        <v>1105</v>
      </c>
      <c r="I12" s="540" t="s">
        <v>1113</v>
      </c>
      <c r="J12" s="541" t="s">
        <v>1114</v>
      </c>
    </row>
    <row r="13" spans="1:10" ht="39" customHeight="1" x14ac:dyDescent="0.2">
      <c r="A13" s="543" t="s">
        <v>1115</v>
      </c>
      <c r="B13" s="1565" t="s">
        <v>1116</v>
      </c>
      <c r="C13" s="1565"/>
      <c r="D13" s="543" t="s">
        <v>1117</v>
      </c>
      <c r="E13" s="1565" t="s">
        <v>1118</v>
      </c>
      <c r="F13" s="1565"/>
      <c r="G13" s="544" t="s">
        <v>1119</v>
      </c>
      <c r="H13" s="545">
        <v>16.5</v>
      </c>
      <c r="I13" s="545">
        <f>(H13*($J$11))</f>
        <v>16.5</v>
      </c>
      <c r="J13" s="546">
        <f t="shared" ref="J13:J76" si="0">TRUNC((H13*($J$11))*(1+$J$8),2)</f>
        <v>18.96</v>
      </c>
    </row>
    <row r="14" spans="1:10" ht="39" customHeight="1" x14ac:dyDescent="0.2">
      <c r="A14" s="543" t="s">
        <v>1115</v>
      </c>
      <c r="B14" s="1565" t="s">
        <v>1116</v>
      </c>
      <c r="C14" s="1565"/>
      <c r="D14" s="543" t="s">
        <v>1120</v>
      </c>
      <c r="E14" s="1565" t="s">
        <v>1121</v>
      </c>
      <c r="F14" s="1565"/>
      <c r="G14" s="544" t="s">
        <v>1122</v>
      </c>
      <c r="H14" s="545">
        <v>22</v>
      </c>
      <c r="I14" s="545">
        <f t="shared" ref="I14:I77" si="1">(H14*($J$11))</f>
        <v>22</v>
      </c>
      <c r="J14" s="546">
        <f t="shared" si="0"/>
        <v>25.29</v>
      </c>
    </row>
    <row r="15" spans="1:10" ht="39" customHeight="1" x14ac:dyDescent="0.2">
      <c r="A15" s="543" t="s">
        <v>1115</v>
      </c>
      <c r="B15" s="1565" t="s">
        <v>1123</v>
      </c>
      <c r="C15" s="1565"/>
      <c r="D15" s="543" t="s">
        <v>1124</v>
      </c>
      <c r="E15" s="1565" t="s">
        <v>1125</v>
      </c>
      <c r="F15" s="1565"/>
      <c r="G15" s="544" t="s">
        <v>1126</v>
      </c>
      <c r="H15" s="545">
        <v>1.3706</v>
      </c>
      <c r="I15" s="545">
        <f t="shared" si="1"/>
        <v>1.3706</v>
      </c>
      <c r="J15" s="546">
        <f t="shared" si="0"/>
        <v>1.57</v>
      </c>
    </row>
    <row r="16" spans="1:10" ht="39" customHeight="1" x14ac:dyDescent="0.2">
      <c r="A16" s="543" t="s">
        <v>1115</v>
      </c>
      <c r="B16" s="1565" t="s">
        <v>1123</v>
      </c>
      <c r="C16" s="1565"/>
      <c r="D16" s="543" t="s">
        <v>1127</v>
      </c>
      <c r="E16" s="1565" t="s">
        <v>1128</v>
      </c>
      <c r="F16" s="1565"/>
      <c r="G16" s="544" t="s">
        <v>1126</v>
      </c>
      <c r="H16" s="545">
        <v>6.0856000000000003</v>
      </c>
      <c r="I16" s="545">
        <f t="shared" si="1"/>
        <v>6.0856000000000003</v>
      </c>
      <c r="J16" s="546">
        <f t="shared" si="0"/>
        <v>6.99</v>
      </c>
    </row>
    <row r="17" spans="1:10" ht="39" customHeight="1" x14ac:dyDescent="0.2">
      <c r="A17" s="543" t="s">
        <v>1115</v>
      </c>
      <c r="B17" s="1565" t="s">
        <v>1123</v>
      </c>
      <c r="C17" s="1565"/>
      <c r="D17" s="543" t="s">
        <v>1129</v>
      </c>
      <c r="E17" s="1565" t="s">
        <v>1130</v>
      </c>
      <c r="F17" s="1565"/>
      <c r="G17" s="544" t="s">
        <v>1126</v>
      </c>
      <c r="H17" s="545">
        <v>0.11550000000000001</v>
      </c>
      <c r="I17" s="545">
        <f t="shared" si="1"/>
        <v>0.11550000000000001</v>
      </c>
      <c r="J17" s="546">
        <f t="shared" si="0"/>
        <v>0.13</v>
      </c>
    </row>
    <row r="18" spans="1:10" ht="39" customHeight="1" x14ac:dyDescent="0.2">
      <c r="A18" s="543" t="s">
        <v>1115</v>
      </c>
      <c r="B18" s="1565" t="s">
        <v>1116</v>
      </c>
      <c r="C18" s="1565"/>
      <c r="D18" s="543" t="s">
        <v>1131</v>
      </c>
      <c r="E18" s="1565" t="s">
        <v>1132</v>
      </c>
      <c r="F18" s="1565"/>
      <c r="G18" s="544" t="s">
        <v>646</v>
      </c>
      <c r="H18" s="545">
        <v>4958.55</v>
      </c>
      <c r="I18" s="545">
        <f t="shared" si="1"/>
        <v>4958.55</v>
      </c>
      <c r="J18" s="546">
        <f t="shared" si="0"/>
        <v>5700.34</v>
      </c>
    </row>
    <row r="19" spans="1:10" ht="39" customHeight="1" x14ac:dyDescent="0.2">
      <c r="A19" s="543" t="s">
        <v>1115</v>
      </c>
      <c r="B19" s="1565" t="s">
        <v>1116</v>
      </c>
      <c r="C19" s="1565"/>
      <c r="D19" s="543" t="s">
        <v>1133</v>
      </c>
      <c r="E19" s="1565" t="s">
        <v>1134</v>
      </c>
      <c r="F19" s="1565"/>
      <c r="G19" s="544" t="s">
        <v>646</v>
      </c>
      <c r="H19" s="545">
        <v>2852.37</v>
      </c>
      <c r="I19" s="545">
        <f t="shared" si="1"/>
        <v>2852.37</v>
      </c>
      <c r="J19" s="546">
        <f t="shared" si="0"/>
        <v>3279.08</v>
      </c>
    </row>
    <row r="20" spans="1:10" ht="39" customHeight="1" x14ac:dyDescent="0.2">
      <c r="A20" s="543" t="s">
        <v>1115</v>
      </c>
      <c r="B20" s="1565" t="s">
        <v>1123</v>
      </c>
      <c r="C20" s="1565"/>
      <c r="D20" s="543" t="s">
        <v>1135</v>
      </c>
      <c r="E20" s="1565" t="s">
        <v>1136</v>
      </c>
      <c r="F20" s="1565"/>
      <c r="G20" s="544" t="s">
        <v>1126</v>
      </c>
      <c r="H20" s="545">
        <v>1.3986000000000001</v>
      </c>
      <c r="I20" s="545">
        <f t="shared" si="1"/>
        <v>1.3986000000000001</v>
      </c>
      <c r="J20" s="546">
        <f t="shared" si="0"/>
        <v>1.6</v>
      </c>
    </row>
    <row r="21" spans="1:10" ht="39" customHeight="1" x14ac:dyDescent="0.2">
      <c r="A21" s="543" t="s">
        <v>1115</v>
      </c>
      <c r="B21" s="1565" t="s">
        <v>1123</v>
      </c>
      <c r="C21" s="1565"/>
      <c r="D21" s="543" t="s">
        <v>1137</v>
      </c>
      <c r="E21" s="1565" t="s">
        <v>1138</v>
      </c>
      <c r="F21" s="1565"/>
      <c r="G21" s="544" t="s">
        <v>1126</v>
      </c>
      <c r="H21" s="545">
        <v>2.4977999999999998</v>
      </c>
      <c r="I21" s="545">
        <f t="shared" si="1"/>
        <v>2.4977999999999998</v>
      </c>
      <c r="J21" s="546">
        <f t="shared" si="0"/>
        <v>2.87</v>
      </c>
    </row>
    <row r="22" spans="1:10" ht="39" customHeight="1" x14ac:dyDescent="0.2">
      <c r="A22" s="543" t="s">
        <v>1115</v>
      </c>
      <c r="B22" s="1565" t="s">
        <v>1116</v>
      </c>
      <c r="C22" s="1565"/>
      <c r="D22" s="543" t="s">
        <v>1139</v>
      </c>
      <c r="E22" s="1565" t="s">
        <v>1140</v>
      </c>
      <c r="F22" s="1565"/>
      <c r="G22" s="544" t="s">
        <v>646</v>
      </c>
      <c r="H22" s="545">
        <v>11906.25</v>
      </c>
      <c r="I22" s="545">
        <f t="shared" si="1"/>
        <v>11906.25</v>
      </c>
      <c r="J22" s="546">
        <f t="shared" si="0"/>
        <v>13687.42</v>
      </c>
    </row>
    <row r="23" spans="1:10" ht="39" customHeight="1" x14ac:dyDescent="0.2">
      <c r="A23" s="543" t="s">
        <v>1115</v>
      </c>
      <c r="B23" s="1565" t="s">
        <v>1116</v>
      </c>
      <c r="C23" s="1565"/>
      <c r="D23" s="543" t="s">
        <v>1141</v>
      </c>
      <c r="E23" s="1565" t="s">
        <v>1142</v>
      </c>
      <c r="F23" s="1565"/>
      <c r="G23" s="544" t="s">
        <v>1126</v>
      </c>
      <c r="H23" s="545">
        <v>2.46</v>
      </c>
      <c r="I23" s="545">
        <f t="shared" si="1"/>
        <v>2.46</v>
      </c>
      <c r="J23" s="546">
        <f t="shared" si="0"/>
        <v>2.82</v>
      </c>
    </row>
    <row r="24" spans="1:10" ht="39" customHeight="1" x14ac:dyDescent="0.2">
      <c r="A24" s="543" t="s">
        <v>1115</v>
      </c>
      <c r="B24" s="1565" t="s">
        <v>1116</v>
      </c>
      <c r="C24" s="1565"/>
      <c r="D24" s="543" t="s">
        <v>1143</v>
      </c>
      <c r="E24" s="1565" t="s">
        <v>1144</v>
      </c>
      <c r="F24" s="1565"/>
      <c r="G24" s="544" t="s">
        <v>1126</v>
      </c>
      <c r="H24" s="545">
        <v>1.76</v>
      </c>
      <c r="I24" s="545">
        <f t="shared" si="1"/>
        <v>1.76</v>
      </c>
      <c r="J24" s="546">
        <f t="shared" si="0"/>
        <v>2.02</v>
      </c>
    </row>
    <row r="25" spans="1:10" ht="39" customHeight="1" x14ac:dyDescent="0.2">
      <c r="A25" s="543" t="s">
        <v>1115</v>
      </c>
      <c r="B25" s="1565" t="s">
        <v>1116</v>
      </c>
      <c r="C25" s="1565"/>
      <c r="D25" s="543" t="s">
        <v>1145</v>
      </c>
      <c r="E25" s="1565" t="s">
        <v>1146</v>
      </c>
      <c r="F25" s="1565"/>
      <c r="G25" s="544" t="s">
        <v>646</v>
      </c>
      <c r="H25" s="545">
        <v>6350</v>
      </c>
      <c r="I25" s="545">
        <f t="shared" si="1"/>
        <v>6350</v>
      </c>
      <c r="J25" s="546">
        <f t="shared" si="0"/>
        <v>7299.96</v>
      </c>
    </row>
    <row r="26" spans="1:10" ht="39" customHeight="1" x14ac:dyDescent="0.2">
      <c r="A26" s="543" t="s">
        <v>1115</v>
      </c>
      <c r="B26" s="1565" t="s">
        <v>1116</v>
      </c>
      <c r="C26" s="1565"/>
      <c r="D26" s="543" t="s">
        <v>1147</v>
      </c>
      <c r="E26" s="1565" t="s">
        <v>1148</v>
      </c>
      <c r="F26" s="1565"/>
      <c r="G26" s="544" t="s">
        <v>1126</v>
      </c>
      <c r="H26" s="545">
        <v>25.67</v>
      </c>
      <c r="I26" s="545">
        <f t="shared" si="1"/>
        <v>25.67</v>
      </c>
      <c r="J26" s="546">
        <f t="shared" si="0"/>
        <v>29.51</v>
      </c>
    </row>
    <row r="27" spans="1:10" ht="39" customHeight="1" x14ac:dyDescent="0.2">
      <c r="A27" s="543" t="s">
        <v>1115</v>
      </c>
      <c r="B27" s="1565" t="s">
        <v>1116</v>
      </c>
      <c r="C27" s="1565"/>
      <c r="D27" s="543" t="s">
        <v>1149</v>
      </c>
      <c r="E27" s="1565" t="s">
        <v>1150</v>
      </c>
      <c r="F27" s="1565"/>
      <c r="G27" s="544" t="s">
        <v>1126</v>
      </c>
      <c r="H27" s="545">
        <v>21.46</v>
      </c>
      <c r="I27" s="545">
        <f t="shared" si="1"/>
        <v>21.46</v>
      </c>
      <c r="J27" s="546">
        <f t="shared" si="0"/>
        <v>24.67</v>
      </c>
    </row>
    <row r="28" spans="1:10" ht="39" customHeight="1" x14ac:dyDescent="0.2">
      <c r="A28" s="543" t="s">
        <v>1115</v>
      </c>
      <c r="B28" s="1565" t="s">
        <v>1116</v>
      </c>
      <c r="C28" s="1565"/>
      <c r="D28" s="543" t="s">
        <v>1151</v>
      </c>
      <c r="E28" s="1565" t="s">
        <v>1152</v>
      </c>
      <c r="F28" s="1565"/>
      <c r="G28" s="544" t="s">
        <v>646</v>
      </c>
      <c r="H28" s="545">
        <v>353.85</v>
      </c>
      <c r="I28" s="545">
        <f t="shared" si="1"/>
        <v>353.85</v>
      </c>
      <c r="J28" s="546">
        <f t="shared" si="0"/>
        <v>406.78</v>
      </c>
    </row>
    <row r="29" spans="1:10" ht="39" customHeight="1" x14ac:dyDescent="0.2">
      <c r="A29" s="543" t="s">
        <v>1115</v>
      </c>
      <c r="B29" s="1565" t="s">
        <v>1116</v>
      </c>
      <c r="C29" s="1565"/>
      <c r="D29" s="543" t="s">
        <v>1153</v>
      </c>
      <c r="E29" s="1565" t="s">
        <v>1154</v>
      </c>
      <c r="F29" s="1565"/>
      <c r="G29" s="544" t="s">
        <v>1126</v>
      </c>
      <c r="H29" s="545">
        <v>2.11</v>
      </c>
      <c r="I29" s="545">
        <f t="shared" si="1"/>
        <v>2.11</v>
      </c>
      <c r="J29" s="546">
        <f t="shared" si="0"/>
        <v>2.42</v>
      </c>
    </row>
    <row r="30" spans="1:10" ht="39" customHeight="1" x14ac:dyDescent="0.2">
      <c r="A30" s="543" t="s">
        <v>1115</v>
      </c>
      <c r="B30" s="1565" t="s">
        <v>1116</v>
      </c>
      <c r="C30" s="1565"/>
      <c r="D30" s="543" t="s">
        <v>1155</v>
      </c>
      <c r="E30" s="1565" t="s">
        <v>1156</v>
      </c>
      <c r="F30" s="1565"/>
      <c r="G30" s="544" t="s">
        <v>1062</v>
      </c>
      <c r="H30" s="545">
        <v>632.5</v>
      </c>
      <c r="I30" s="545">
        <f t="shared" si="1"/>
        <v>632.5</v>
      </c>
      <c r="J30" s="546">
        <f t="shared" si="0"/>
        <v>727.12</v>
      </c>
    </row>
    <row r="31" spans="1:10" ht="39" customHeight="1" x14ac:dyDescent="0.2">
      <c r="A31" s="543" t="s">
        <v>1157</v>
      </c>
      <c r="B31" s="1565" t="s">
        <v>1158</v>
      </c>
      <c r="C31" s="1565"/>
      <c r="D31" s="543" t="s">
        <v>1159</v>
      </c>
      <c r="E31" s="1565" t="s">
        <v>1160</v>
      </c>
      <c r="F31" s="1565"/>
      <c r="G31" s="544" t="s">
        <v>1161</v>
      </c>
      <c r="H31" s="545">
        <v>216.2</v>
      </c>
      <c r="I31" s="545">
        <f t="shared" si="1"/>
        <v>216.2</v>
      </c>
      <c r="J31" s="546">
        <f t="shared" si="0"/>
        <v>248.54</v>
      </c>
    </row>
    <row r="32" spans="1:10" ht="39" customHeight="1" x14ac:dyDescent="0.2">
      <c r="A32" s="543" t="s">
        <v>1157</v>
      </c>
      <c r="B32" s="1565" t="s">
        <v>1158</v>
      </c>
      <c r="C32" s="1565"/>
      <c r="D32" s="543" t="s">
        <v>1162</v>
      </c>
      <c r="E32" s="1565" t="s">
        <v>1163</v>
      </c>
      <c r="F32" s="1565"/>
      <c r="G32" s="544" t="s">
        <v>646</v>
      </c>
      <c r="H32" s="545">
        <v>103.03</v>
      </c>
      <c r="I32" s="545">
        <f t="shared" si="1"/>
        <v>103.03</v>
      </c>
      <c r="J32" s="546">
        <f t="shared" si="0"/>
        <v>118.44</v>
      </c>
    </row>
    <row r="33" spans="1:10" ht="39" customHeight="1" x14ac:dyDescent="0.2">
      <c r="A33" s="543" t="s">
        <v>1157</v>
      </c>
      <c r="B33" s="1565" t="s">
        <v>1116</v>
      </c>
      <c r="C33" s="1565"/>
      <c r="D33" s="543" t="s">
        <v>1164</v>
      </c>
      <c r="E33" s="1565" t="s">
        <v>1165</v>
      </c>
      <c r="F33" s="1565"/>
      <c r="G33" s="544" t="s">
        <v>646</v>
      </c>
      <c r="H33" s="545">
        <v>0.21</v>
      </c>
      <c r="I33" s="545">
        <f t="shared" si="1"/>
        <v>0.21</v>
      </c>
      <c r="J33" s="546">
        <f t="shared" si="0"/>
        <v>0.24</v>
      </c>
    </row>
    <row r="34" spans="1:10" ht="39" customHeight="1" x14ac:dyDescent="0.2">
      <c r="A34" s="543" t="s">
        <v>1157</v>
      </c>
      <c r="B34" s="1565" t="s">
        <v>1123</v>
      </c>
      <c r="C34" s="1565"/>
      <c r="D34" s="543" t="s">
        <v>1166</v>
      </c>
      <c r="E34" s="1565" t="s">
        <v>1167</v>
      </c>
      <c r="F34" s="1565"/>
      <c r="G34" s="544" t="s">
        <v>1168</v>
      </c>
      <c r="H34" s="545">
        <v>15.7232</v>
      </c>
      <c r="I34" s="545">
        <f t="shared" si="1"/>
        <v>15.7232</v>
      </c>
      <c r="J34" s="546">
        <f t="shared" si="0"/>
        <v>18.07</v>
      </c>
    </row>
    <row r="35" spans="1:10" ht="39" customHeight="1" x14ac:dyDescent="0.2">
      <c r="A35" s="543" t="s">
        <v>1157</v>
      </c>
      <c r="B35" s="1565" t="s">
        <v>1116</v>
      </c>
      <c r="C35" s="1565"/>
      <c r="D35" s="543" t="s">
        <v>1169</v>
      </c>
      <c r="E35" s="1565" t="s">
        <v>1170</v>
      </c>
      <c r="F35" s="1565"/>
      <c r="G35" s="544" t="s">
        <v>646</v>
      </c>
      <c r="H35" s="545">
        <v>3.32</v>
      </c>
      <c r="I35" s="545">
        <f t="shared" si="1"/>
        <v>3.32</v>
      </c>
      <c r="J35" s="546">
        <f t="shared" si="0"/>
        <v>3.81</v>
      </c>
    </row>
    <row r="36" spans="1:10" ht="39" customHeight="1" x14ac:dyDescent="0.2">
      <c r="A36" s="543" t="s">
        <v>1157</v>
      </c>
      <c r="B36" s="1565" t="s">
        <v>1116</v>
      </c>
      <c r="C36" s="1565"/>
      <c r="D36" s="543" t="s">
        <v>1171</v>
      </c>
      <c r="E36" s="1565" t="s">
        <v>1172</v>
      </c>
      <c r="F36" s="1565"/>
      <c r="G36" s="544" t="s">
        <v>646</v>
      </c>
      <c r="H36" s="545">
        <v>3.2</v>
      </c>
      <c r="I36" s="545">
        <f t="shared" si="1"/>
        <v>3.2</v>
      </c>
      <c r="J36" s="546">
        <f t="shared" si="0"/>
        <v>3.67</v>
      </c>
    </row>
    <row r="37" spans="1:10" ht="39" customHeight="1" x14ac:dyDescent="0.2">
      <c r="A37" s="543" t="s">
        <v>1157</v>
      </c>
      <c r="B37" s="1565" t="s">
        <v>1116</v>
      </c>
      <c r="C37" s="1565"/>
      <c r="D37" s="543" t="s">
        <v>1173</v>
      </c>
      <c r="E37" s="1565" t="s">
        <v>1174</v>
      </c>
      <c r="F37" s="1565"/>
      <c r="G37" s="544" t="s">
        <v>646</v>
      </c>
      <c r="H37" s="545">
        <v>1.62</v>
      </c>
      <c r="I37" s="545">
        <f t="shared" si="1"/>
        <v>1.62</v>
      </c>
      <c r="J37" s="546">
        <f t="shared" si="0"/>
        <v>1.86</v>
      </c>
    </row>
    <row r="38" spans="1:10" ht="39" customHeight="1" x14ac:dyDescent="0.2">
      <c r="A38" s="543" t="s">
        <v>1157</v>
      </c>
      <c r="B38" s="1565" t="s">
        <v>1116</v>
      </c>
      <c r="C38" s="1565"/>
      <c r="D38" s="543" t="s">
        <v>1175</v>
      </c>
      <c r="E38" s="1565" t="s">
        <v>1176</v>
      </c>
      <c r="F38" s="1565"/>
      <c r="G38" s="544" t="s">
        <v>646</v>
      </c>
      <c r="H38" s="545">
        <v>1.93</v>
      </c>
      <c r="I38" s="545">
        <f t="shared" si="1"/>
        <v>1.93</v>
      </c>
      <c r="J38" s="546">
        <f t="shared" si="0"/>
        <v>2.21</v>
      </c>
    </row>
    <row r="39" spans="1:10" ht="39" customHeight="1" x14ac:dyDescent="0.2">
      <c r="A39" s="543" t="s">
        <v>1157</v>
      </c>
      <c r="B39" s="1565" t="s">
        <v>1116</v>
      </c>
      <c r="C39" s="1565"/>
      <c r="D39" s="543" t="s">
        <v>1177</v>
      </c>
      <c r="E39" s="1565" t="s">
        <v>1178</v>
      </c>
      <c r="F39" s="1565"/>
      <c r="G39" s="544" t="s">
        <v>646</v>
      </c>
      <c r="H39" s="545">
        <v>3.69</v>
      </c>
      <c r="I39" s="545">
        <f t="shared" si="1"/>
        <v>3.69</v>
      </c>
      <c r="J39" s="546">
        <f t="shared" si="0"/>
        <v>4.24</v>
      </c>
    </row>
    <row r="40" spans="1:10" ht="39" customHeight="1" x14ac:dyDescent="0.2">
      <c r="A40" s="543" t="s">
        <v>1157</v>
      </c>
      <c r="B40" s="1565" t="s">
        <v>1116</v>
      </c>
      <c r="C40" s="1565"/>
      <c r="D40" s="543" t="s">
        <v>1179</v>
      </c>
      <c r="E40" s="1565" t="s">
        <v>1180</v>
      </c>
      <c r="F40" s="1565"/>
      <c r="G40" s="544" t="s">
        <v>1181</v>
      </c>
      <c r="H40" s="545">
        <v>78.88</v>
      </c>
      <c r="I40" s="545">
        <f t="shared" si="1"/>
        <v>78.88</v>
      </c>
      <c r="J40" s="546">
        <f t="shared" si="0"/>
        <v>90.68</v>
      </c>
    </row>
    <row r="41" spans="1:10" ht="39" customHeight="1" x14ac:dyDescent="0.2">
      <c r="A41" s="543" t="s">
        <v>1157</v>
      </c>
      <c r="B41" s="1565" t="s">
        <v>1116</v>
      </c>
      <c r="C41" s="1565"/>
      <c r="D41" s="543" t="s">
        <v>1182</v>
      </c>
      <c r="E41" s="1565" t="s">
        <v>1183</v>
      </c>
      <c r="F41" s="1565"/>
      <c r="G41" s="544" t="s">
        <v>1181</v>
      </c>
      <c r="H41" s="545">
        <v>8.2899999999999991</v>
      </c>
      <c r="I41" s="545">
        <f t="shared" si="1"/>
        <v>8.2899999999999991</v>
      </c>
      <c r="J41" s="546">
        <f t="shared" si="0"/>
        <v>9.5299999999999994</v>
      </c>
    </row>
    <row r="42" spans="1:10" ht="39" customHeight="1" x14ac:dyDescent="0.2">
      <c r="A42" s="543" t="s">
        <v>1157</v>
      </c>
      <c r="B42" s="1565" t="s">
        <v>1116</v>
      </c>
      <c r="C42" s="1565"/>
      <c r="D42" s="543" t="s">
        <v>1184</v>
      </c>
      <c r="E42" s="1565" t="s">
        <v>1185</v>
      </c>
      <c r="F42" s="1565"/>
      <c r="G42" s="544" t="s">
        <v>1181</v>
      </c>
      <c r="H42" s="545">
        <v>7.86</v>
      </c>
      <c r="I42" s="545">
        <f t="shared" si="1"/>
        <v>7.86</v>
      </c>
      <c r="J42" s="546">
        <f t="shared" si="0"/>
        <v>9.0299999999999994</v>
      </c>
    </row>
    <row r="43" spans="1:10" ht="39" customHeight="1" x14ac:dyDescent="0.2">
      <c r="A43" s="543" t="s">
        <v>1157</v>
      </c>
      <c r="B43" s="1565" t="s">
        <v>1116</v>
      </c>
      <c r="C43" s="1565"/>
      <c r="D43" s="543" t="s">
        <v>1186</v>
      </c>
      <c r="E43" s="1565" t="s">
        <v>1187</v>
      </c>
      <c r="F43" s="1565"/>
      <c r="G43" s="544" t="s">
        <v>1181</v>
      </c>
      <c r="H43" s="545">
        <v>8.34</v>
      </c>
      <c r="I43" s="545">
        <f t="shared" si="1"/>
        <v>8.34</v>
      </c>
      <c r="J43" s="546">
        <f t="shared" si="0"/>
        <v>9.58</v>
      </c>
    </row>
    <row r="44" spans="1:10" ht="39" customHeight="1" x14ac:dyDescent="0.2">
      <c r="A44" s="543" t="s">
        <v>1157</v>
      </c>
      <c r="B44" s="1565" t="s">
        <v>1188</v>
      </c>
      <c r="C44" s="1565"/>
      <c r="D44" s="543" t="s">
        <v>1189</v>
      </c>
      <c r="E44" s="1565" t="s">
        <v>1190</v>
      </c>
      <c r="F44" s="1565"/>
      <c r="G44" s="544" t="s">
        <v>1191</v>
      </c>
      <c r="H44" s="545">
        <v>68.91</v>
      </c>
      <c r="I44" s="545">
        <f t="shared" si="1"/>
        <v>68.91</v>
      </c>
      <c r="J44" s="546">
        <f t="shared" si="0"/>
        <v>79.209999999999994</v>
      </c>
    </row>
    <row r="45" spans="1:10" ht="39" customHeight="1" x14ac:dyDescent="0.2">
      <c r="A45" s="543" t="s">
        <v>1157</v>
      </c>
      <c r="B45" s="1565" t="s">
        <v>1123</v>
      </c>
      <c r="C45" s="1565"/>
      <c r="D45" s="543" t="s">
        <v>1192</v>
      </c>
      <c r="E45" s="1565" t="s">
        <v>1193</v>
      </c>
      <c r="F45" s="1565"/>
      <c r="G45" s="544" t="s">
        <v>1168</v>
      </c>
      <c r="H45" s="545">
        <v>420</v>
      </c>
      <c r="I45" s="545">
        <f t="shared" si="1"/>
        <v>420</v>
      </c>
      <c r="J45" s="546">
        <f t="shared" si="0"/>
        <v>482.83</v>
      </c>
    </row>
    <row r="46" spans="1:10" ht="39" customHeight="1" x14ac:dyDescent="0.2">
      <c r="A46" s="543" t="s">
        <v>1157</v>
      </c>
      <c r="B46" s="1565" t="s">
        <v>1123</v>
      </c>
      <c r="C46" s="1565"/>
      <c r="D46" s="543" t="s">
        <v>1194</v>
      </c>
      <c r="E46" s="1565" t="s">
        <v>1195</v>
      </c>
      <c r="F46" s="1565"/>
      <c r="G46" s="544" t="s">
        <v>964</v>
      </c>
      <c r="H46" s="545">
        <v>1170</v>
      </c>
      <c r="I46" s="545">
        <f t="shared" si="1"/>
        <v>1170</v>
      </c>
      <c r="J46" s="546">
        <f t="shared" si="0"/>
        <v>1345.03</v>
      </c>
    </row>
    <row r="47" spans="1:10" ht="39" customHeight="1" x14ac:dyDescent="0.2">
      <c r="A47" s="543" t="s">
        <v>1157</v>
      </c>
      <c r="B47" s="1565" t="s">
        <v>1123</v>
      </c>
      <c r="C47" s="1565"/>
      <c r="D47" s="543" t="s">
        <v>1196</v>
      </c>
      <c r="E47" s="1565" t="s">
        <v>1197</v>
      </c>
      <c r="F47" s="1565"/>
      <c r="G47" s="544" t="s">
        <v>964</v>
      </c>
      <c r="H47" s="545">
        <v>900</v>
      </c>
      <c r="I47" s="545">
        <f t="shared" si="1"/>
        <v>900</v>
      </c>
      <c r="J47" s="546">
        <f t="shared" si="0"/>
        <v>1034.6400000000001</v>
      </c>
    </row>
    <row r="48" spans="1:10" ht="39" customHeight="1" x14ac:dyDescent="0.2">
      <c r="A48" s="543" t="s">
        <v>1157</v>
      </c>
      <c r="B48" s="1565" t="s">
        <v>1116</v>
      </c>
      <c r="C48" s="1565"/>
      <c r="D48" s="543" t="s">
        <v>1198</v>
      </c>
      <c r="E48" s="1565" t="s">
        <v>1199</v>
      </c>
      <c r="F48" s="1565"/>
      <c r="G48" s="544" t="s">
        <v>646</v>
      </c>
      <c r="H48" s="545">
        <v>0.78</v>
      </c>
      <c r="I48" s="545">
        <f t="shared" si="1"/>
        <v>0.78</v>
      </c>
      <c r="J48" s="546">
        <f t="shared" si="0"/>
        <v>0.89</v>
      </c>
    </row>
    <row r="49" spans="1:10" ht="39" customHeight="1" x14ac:dyDescent="0.2">
      <c r="A49" s="543" t="s">
        <v>1157</v>
      </c>
      <c r="B49" s="1565" t="s">
        <v>1116</v>
      </c>
      <c r="C49" s="1565"/>
      <c r="D49" s="543" t="s">
        <v>1200</v>
      </c>
      <c r="E49" s="1565" t="s">
        <v>1201</v>
      </c>
      <c r="F49" s="1565"/>
      <c r="G49" s="544" t="s">
        <v>646</v>
      </c>
      <c r="H49" s="545">
        <v>0.86</v>
      </c>
      <c r="I49" s="545">
        <f t="shared" si="1"/>
        <v>0.86</v>
      </c>
      <c r="J49" s="546">
        <f t="shared" si="0"/>
        <v>0.98</v>
      </c>
    </row>
    <row r="50" spans="1:10" ht="39" customHeight="1" x14ac:dyDescent="0.2">
      <c r="A50" s="543" t="s">
        <v>1157</v>
      </c>
      <c r="B50" s="1565" t="s">
        <v>1116</v>
      </c>
      <c r="C50" s="1565"/>
      <c r="D50" s="543" t="s">
        <v>1202</v>
      </c>
      <c r="E50" s="1565" t="s">
        <v>1203</v>
      </c>
      <c r="F50" s="1565"/>
      <c r="G50" s="544" t="s">
        <v>1204</v>
      </c>
      <c r="H50" s="545">
        <v>1.72</v>
      </c>
      <c r="I50" s="545">
        <f t="shared" si="1"/>
        <v>1.72</v>
      </c>
      <c r="J50" s="546">
        <f t="shared" si="0"/>
        <v>1.97</v>
      </c>
    </row>
    <row r="51" spans="1:10" ht="39" customHeight="1" x14ac:dyDescent="0.2">
      <c r="A51" s="543" t="s">
        <v>1157</v>
      </c>
      <c r="B51" s="1565" t="s">
        <v>1116</v>
      </c>
      <c r="C51" s="1565"/>
      <c r="D51" s="543" t="s">
        <v>1205</v>
      </c>
      <c r="E51" s="1565" t="s">
        <v>1206</v>
      </c>
      <c r="F51" s="1565"/>
      <c r="G51" s="544" t="s">
        <v>646</v>
      </c>
      <c r="H51" s="545">
        <v>5.99</v>
      </c>
      <c r="I51" s="545">
        <f t="shared" si="1"/>
        <v>5.99</v>
      </c>
      <c r="J51" s="546">
        <f t="shared" si="0"/>
        <v>6.88</v>
      </c>
    </row>
    <row r="52" spans="1:10" ht="39" customHeight="1" x14ac:dyDescent="0.2">
      <c r="A52" s="543" t="s">
        <v>1157</v>
      </c>
      <c r="B52" s="1565" t="s">
        <v>1123</v>
      </c>
      <c r="C52" s="1565"/>
      <c r="D52" s="543" t="s">
        <v>1207</v>
      </c>
      <c r="E52" s="1565" t="s">
        <v>1208</v>
      </c>
      <c r="F52" s="1565"/>
      <c r="G52" s="544" t="s">
        <v>964</v>
      </c>
      <c r="H52" s="545">
        <v>428.70679999999999</v>
      </c>
      <c r="I52" s="545">
        <f t="shared" si="1"/>
        <v>428.70679999999999</v>
      </c>
      <c r="J52" s="546">
        <f t="shared" si="0"/>
        <v>492.84</v>
      </c>
    </row>
    <row r="53" spans="1:10" ht="39" customHeight="1" x14ac:dyDescent="0.2">
      <c r="A53" s="543" t="s">
        <v>1157</v>
      </c>
      <c r="B53" s="1565" t="s">
        <v>1116</v>
      </c>
      <c r="C53" s="1565"/>
      <c r="D53" s="543" t="s">
        <v>1209</v>
      </c>
      <c r="E53" s="1565" t="s">
        <v>1210</v>
      </c>
      <c r="F53" s="1565"/>
      <c r="G53" s="544" t="s">
        <v>646</v>
      </c>
      <c r="H53" s="545">
        <v>3.57</v>
      </c>
      <c r="I53" s="545">
        <f t="shared" si="1"/>
        <v>3.57</v>
      </c>
      <c r="J53" s="546">
        <f t="shared" si="0"/>
        <v>4.0999999999999996</v>
      </c>
    </row>
    <row r="54" spans="1:10" ht="39" customHeight="1" x14ac:dyDescent="0.2">
      <c r="A54" s="543" t="s">
        <v>1157</v>
      </c>
      <c r="B54" s="1565" t="s">
        <v>1116</v>
      </c>
      <c r="C54" s="1565"/>
      <c r="D54" s="543" t="s">
        <v>1211</v>
      </c>
      <c r="E54" s="1565" t="s">
        <v>1212</v>
      </c>
      <c r="F54" s="1565"/>
      <c r="G54" s="544" t="s">
        <v>646</v>
      </c>
      <c r="H54" s="545">
        <v>4.3</v>
      </c>
      <c r="I54" s="545">
        <f t="shared" si="1"/>
        <v>4.3</v>
      </c>
      <c r="J54" s="546">
        <f t="shared" si="0"/>
        <v>4.9400000000000004</v>
      </c>
    </row>
    <row r="55" spans="1:10" ht="39" customHeight="1" x14ac:dyDescent="0.2">
      <c r="A55" s="543" t="s">
        <v>1157</v>
      </c>
      <c r="B55" s="1565" t="s">
        <v>1123</v>
      </c>
      <c r="C55" s="1565"/>
      <c r="D55" s="543" t="s">
        <v>1213</v>
      </c>
      <c r="E55" s="1565" t="s">
        <v>1214</v>
      </c>
      <c r="F55" s="1565"/>
      <c r="G55" s="544" t="s">
        <v>1168</v>
      </c>
      <c r="H55" s="545">
        <v>471</v>
      </c>
      <c r="I55" s="545">
        <f t="shared" si="1"/>
        <v>471</v>
      </c>
      <c r="J55" s="546">
        <f t="shared" si="0"/>
        <v>541.46</v>
      </c>
    </row>
    <row r="56" spans="1:10" ht="39" customHeight="1" x14ac:dyDescent="0.2">
      <c r="A56" s="543" t="s">
        <v>1157</v>
      </c>
      <c r="B56" s="1565" t="s">
        <v>1116</v>
      </c>
      <c r="C56" s="1565"/>
      <c r="D56" s="543" t="s">
        <v>1215</v>
      </c>
      <c r="E56" s="1565" t="s">
        <v>1216</v>
      </c>
      <c r="F56" s="1565"/>
      <c r="G56" s="544" t="s">
        <v>1204</v>
      </c>
      <c r="H56" s="545">
        <v>10.76</v>
      </c>
      <c r="I56" s="545">
        <f t="shared" si="1"/>
        <v>10.76</v>
      </c>
      <c r="J56" s="546">
        <f t="shared" si="0"/>
        <v>12.36</v>
      </c>
    </row>
    <row r="57" spans="1:10" ht="39" customHeight="1" x14ac:dyDescent="0.2">
      <c r="A57" s="543" t="s">
        <v>1157</v>
      </c>
      <c r="B57" s="1565" t="s">
        <v>1123</v>
      </c>
      <c r="C57" s="1565"/>
      <c r="D57" s="543" t="s">
        <v>1217</v>
      </c>
      <c r="E57" s="1565" t="s">
        <v>1218</v>
      </c>
      <c r="F57" s="1565"/>
      <c r="G57" s="544" t="s">
        <v>1168</v>
      </c>
      <c r="H57" s="545">
        <v>409.5</v>
      </c>
      <c r="I57" s="545">
        <f t="shared" si="1"/>
        <v>409.5</v>
      </c>
      <c r="J57" s="546">
        <f t="shared" si="0"/>
        <v>470.76</v>
      </c>
    </row>
    <row r="58" spans="1:10" ht="39" customHeight="1" x14ac:dyDescent="0.2">
      <c r="A58" s="543" t="s">
        <v>1157</v>
      </c>
      <c r="B58" s="1565" t="s">
        <v>1116</v>
      </c>
      <c r="C58" s="1565"/>
      <c r="D58" s="543" t="s">
        <v>1219</v>
      </c>
      <c r="E58" s="1565" t="s">
        <v>1220</v>
      </c>
      <c r="F58" s="1565"/>
      <c r="G58" s="544" t="s">
        <v>646</v>
      </c>
      <c r="H58" s="545">
        <v>18.72</v>
      </c>
      <c r="I58" s="545">
        <f t="shared" si="1"/>
        <v>18.72</v>
      </c>
      <c r="J58" s="546">
        <f t="shared" si="0"/>
        <v>21.52</v>
      </c>
    </row>
    <row r="59" spans="1:10" ht="39" customHeight="1" x14ac:dyDescent="0.2">
      <c r="A59" s="543" t="s">
        <v>1157</v>
      </c>
      <c r="B59" s="1565" t="s">
        <v>1123</v>
      </c>
      <c r="C59" s="1565"/>
      <c r="D59" s="543" t="s">
        <v>1221</v>
      </c>
      <c r="E59" s="1565" t="s">
        <v>1222</v>
      </c>
      <c r="F59" s="1565"/>
      <c r="G59" s="544" t="s">
        <v>1168</v>
      </c>
      <c r="H59" s="545">
        <v>198</v>
      </c>
      <c r="I59" s="545">
        <f t="shared" si="1"/>
        <v>198</v>
      </c>
      <c r="J59" s="546">
        <f t="shared" si="0"/>
        <v>227.62</v>
      </c>
    </row>
    <row r="60" spans="1:10" ht="39" customHeight="1" x14ac:dyDescent="0.2">
      <c r="A60" s="543" t="s">
        <v>1157</v>
      </c>
      <c r="B60" s="1565" t="s">
        <v>1116</v>
      </c>
      <c r="C60" s="1565"/>
      <c r="D60" s="543" t="s">
        <v>1223</v>
      </c>
      <c r="E60" s="1565" t="s">
        <v>1224</v>
      </c>
      <c r="F60" s="1565"/>
      <c r="G60" s="544" t="s">
        <v>1204</v>
      </c>
      <c r="H60" s="545">
        <v>25.81</v>
      </c>
      <c r="I60" s="545">
        <f t="shared" si="1"/>
        <v>25.81</v>
      </c>
      <c r="J60" s="546">
        <f t="shared" si="0"/>
        <v>29.67</v>
      </c>
    </row>
    <row r="61" spans="1:10" ht="39" customHeight="1" x14ac:dyDescent="0.2">
      <c r="A61" s="543" t="s">
        <v>1157</v>
      </c>
      <c r="B61" s="1565" t="s">
        <v>1123</v>
      </c>
      <c r="C61" s="1565"/>
      <c r="D61" s="543" t="s">
        <v>1225</v>
      </c>
      <c r="E61" s="1565" t="s">
        <v>1226</v>
      </c>
      <c r="F61" s="1565"/>
      <c r="G61" s="544" t="s">
        <v>1168</v>
      </c>
      <c r="H61" s="545">
        <v>856.23</v>
      </c>
      <c r="I61" s="545">
        <f t="shared" si="1"/>
        <v>856.23</v>
      </c>
      <c r="J61" s="546">
        <f t="shared" si="0"/>
        <v>984.32</v>
      </c>
    </row>
    <row r="62" spans="1:10" ht="39" customHeight="1" x14ac:dyDescent="0.2">
      <c r="A62" s="543" t="s">
        <v>1157</v>
      </c>
      <c r="B62" s="1565" t="s">
        <v>1123</v>
      </c>
      <c r="C62" s="1565"/>
      <c r="D62" s="543" t="s">
        <v>1227</v>
      </c>
      <c r="E62" s="1565" t="s">
        <v>1228</v>
      </c>
      <c r="F62" s="1565"/>
      <c r="G62" s="544" t="s">
        <v>1168</v>
      </c>
      <c r="H62" s="545">
        <v>637.88</v>
      </c>
      <c r="I62" s="545">
        <f t="shared" si="1"/>
        <v>637.88</v>
      </c>
      <c r="J62" s="546">
        <f t="shared" si="0"/>
        <v>733.3</v>
      </c>
    </row>
    <row r="63" spans="1:10" ht="39" customHeight="1" x14ac:dyDescent="0.2">
      <c r="A63" s="543" t="s">
        <v>1157</v>
      </c>
      <c r="B63" s="1565" t="s">
        <v>1123</v>
      </c>
      <c r="C63" s="1565"/>
      <c r="D63" s="543" t="s">
        <v>1229</v>
      </c>
      <c r="E63" s="1565" t="s">
        <v>1230</v>
      </c>
      <c r="F63" s="1565"/>
      <c r="G63" s="544" t="s">
        <v>1231</v>
      </c>
      <c r="H63" s="545">
        <v>7.0000000000000007E-2</v>
      </c>
      <c r="I63" s="545">
        <f t="shared" si="1"/>
        <v>7.0000000000000007E-2</v>
      </c>
      <c r="J63" s="546">
        <f t="shared" si="0"/>
        <v>0.08</v>
      </c>
    </row>
    <row r="64" spans="1:10" ht="39" customHeight="1" x14ac:dyDescent="0.2">
      <c r="A64" s="543" t="s">
        <v>1157</v>
      </c>
      <c r="B64" s="1565" t="s">
        <v>1123</v>
      </c>
      <c r="C64" s="1565"/>
      <c r="D64" s="543" t="s">
        <v>1232</v>
      </c>
      <c r="E64" s="1565" t="s">
        <v>1233</v>
      </c>
      <c r="F64" s="1565"/>
      <c r="G64" s="544" t="s">
        <v>1168</v>
      </c>
      <c r="H64" s="545">
        <v>35</v>
      </c>
      <c r="I64" s="545">
        <f t="shared" si="1"/>
        <v>35</v>
      </c>
      <c r="J64" s="546">
        <f t="shared" si="0"/>
        <v>40.229999999999997</v>
      </c>
    </row>
    <row r="65" spans="1:10" ht="39" customHeight="1" x14ac:dyDescent="0.2">
      <c r="A65" s="543" t="s">
        <v>1157</v>
      </c>
      <c r="B65" s="1565" t="s">
        <v>1123</v>
      </c>
      <c r="C65" s="1565"/>
      <c r="D65" s="543" t="s">
        <v>1234</v>
      </c>
      <c r="E65" s="1565" t="s">
        <v>1235</v>
      </c>
      <c r="F65" s="1565"/>
      <c r="G65" s="544" t="s">
        <v>1236</v>
      </c>
      <c r="H65" s="545">
        <v>140.01140000000001</v>
      </c>
      <c r="I65" s="545">
        <f t="shared" si="1"/>
        <v>140.01140000000001</v>
      </c>
      <c r="J65" s="546">
        <f t="shared" si="0"/>
        <v>160.94999999999999</v>
      </c>
    </row>
    <row r="66" spans="1:10" ht="39" customHeight="1" x14ac:dyDescent="0.2">
      <c r="A66" s="543" t="s">
        <v>1157</v>
      </c>
      <c r="B66" s="1565" t="s">
        <v>1123</v>
      </c>
      <c r="C66" s="1565"/>
      <c r="D66" s="543" t="s">
        <v>1237</v>
      </c>
      <c r="E66" s="1565" t="s">
        <v>1238</v>
      </c>
      <c r="F66" s="1565"/>
      <c r="G66" s="544" t="s">
        <v>1236</v>
      </c>
      <c r="H66" s="545">
        <v>137.52350000000001</v>
      </c>
      <c r="I66" s="545">
        <f t="shared" si="1"/>
        <v>137.52350000000001</v>
      </c>
      <c r="J66" s="546">
        <f t="shared" si="0"/>
        <v>158.09</v>
      </c>
    </row>
    <row r="67" spans="1:10" ht="39" customHeight="1" x14ac:dyDescent="0.2">
      <c r="A67" s="543" t="s">
        <v>1157</v>
      </c>
      <c r="B67" s="1565" t="s">
        <v>1123</v>
      </c>
      <c r="C67" s="1565"/>
      <c r="D67" s="543" t="s">
        <v>1239</v>
      </c>
      <c r="E67" s="1565" t="s">
        <v>1240</v>
      </c>
      <c r="F67" s="1565"/>
      <c r="G67" s="544" t="s">
        <v>1236</v>
      </c>
      <c r="H67" s="545">
        <v>138.25579999999999</v>
      </c>
      <c r="I67" s="545">
        <f t="shared" si="1"/>
        <v>138.25579999999999</v>
      </c>
      <c r="J67" s="546">
        <f t="shared" si="0"/>
        <v>158.93</v>
      </c>
    </row>
    <row r="68" spans="1:10" ht="39" customHeight="1" x14ac:dyDescent="0.2">
      <c r="A68" s="543" t="s">
        <v>1157</v>
      </c>
      <c r="B68" s="1565" t="s">
        <v>1123</v>
      </c>
      <c r="C68" s="1565"/>
      <c r="D68" s="543" t="s">
        <v>1241</v>
      </c>
      <c r="E68" s="1565" t="s">
        <v>1242</v>
      </c>
      <c r="F68" s="1565"/>
      <c r="G68" s="544" t="s">
        <v>1243</v>
      </c>
      <c r="H68" s="545">
        <v>0.76</v>
      </c>
      <c r="I68" s="545">
        <f t="shared" si="1"/>
        <v>0.76</v>
      </c>
      <c r="J68" s="546">
        <f t="shared" si="0"/>
        <v>0.87</v>
      </c>
    </row>
    <row r="69" spans="1:10" ht="39" customHeight="1" x14ac:dyDescent="0.2">
      <c r="A69" s="543" t="s">
        <v>1157</v>
      </c>
      <c r="B69" s="1565" t="s">
        <v>1116</v>
      </c>
      <c r="C69" s="1565"/>
      <c r="D69" s="543" t="s">
        <v>1244</v>
      </c>
      <c r="E69" s="1565" t="s">
        <v>1245</v>
      </c>
      <c r="F69" s="1565"/>
      <c r="G69" s="544" t="s">
        <v>1181</v>
      </c>
      <c r="H69" s="545">
        <v>40.69</v>
      </c>
      <c r="I69" s="545">
        <f t="shared" si="1"/>
        <v>40.69</v>
      </c>
      <c r="J69" s="546">
        <f t="shared" si="0"/>
        <v>46.77</v>
      </c>
    </row>
    <row r="70" spans="1:10" ht="39" customHeight="1" x14ac:dyDescent="0.2">
      <c r="A70" s="543" t="s">
        <v>1157</v>
      </c>
      <c r="B70" s="1565" t="s">
        <v>1116</v>
      </c>
      <c r="C70" s="1565"/>
      <c r="D70" s="543" t="s">
        <v>1246</v>
      </c>
      <c r="E70" s="1565" t="s">
        <v>1247</v>
      </c>
      <c r="F70" s="1565"/>
      <c r="G70" s="544" t="s">
        <v>1248</v>
      </c>
      <c r="H70" s="545">
        <v>13.49</v>
      </c>
      <c r="I70" s="545">
        <f t="shared" si="1"/>
        <v>13.49</v>
      </c>
      <c r="J70" s="546">
        <f t="shared" si="0"/>
        <v>15.5</v>
      </c>
    </row>
    <row r="71" spans="1:10" ht="39" customHeight="1" x14ac:dyDescent="0.2">
      <c r="A71" s="543" t="s">
        <v>1157</v>
      </c>
      <c r="B71" s="1565" t="s">
        <v>1116</v>
      </c>
      <c r="C71" s="1565"/>
      <c r="D71" s="543" t="s">
        <v>1249</v>
      </c>
      <c r="E71" s="1565" t="s">
        <v>1250</v>
      </c>
      <c r="F71" s="1565"/>
      <c r="G71" s="544" t="s">
        <v>646</v>
      </c>
      <c r="H71" s="545">
        <v>20.99</v>
      </c>
      <c r="I71" s="545">
        <f t="shared" si="1"/>
        <v>20.99</v>
      </c>
      <c r="J71" s="546">
        <f t="shared" si="0"/>
        <v>24.13</v>
      </c>
    </row>
    <row r="72" spans="1:10" ht="39" customHeight="1" x14ac:dyDescent="0.2">
      <c r="A72" s="543" t="s">
        <v>1157</v>
      </c>
      <c r="B72" s="1565" t="s">
        <v>1116</v>
      </c>
      <c r="C72" s="1565"/>
      <c r="D72" s="543" t="s">
        <v>1251</v>
      </c>
      <c r="E72" s="1565" t="s">
        <v>1252</v>
      </c>
      <c r="F72" s="1565"/>
      <c r="G72" s="544" t="s">
        <v>1181</v>
      </c>
      <c r="H72" s="545">
        <v>37.64</v>
      </c>
      <c r="I72" s="545">
        <f t="shared" si="1"/>
        <v>37.64</v>
      </c>
      <c r="J72" s="546">
        <f t="shared" si="0"/>
        <v>43.27</v>
      </c>
    </row>
    <row r="73" spans="1:10" ht="39" customHeight="1" x14ac:dyDescent="0.2">
      <c r="A73" s="543" t="s">
        <v>1157</v>
      </c>
      <c r="B73" s="1565" t="s">
        <v>1116</v>
      </c>
      <c r="C73" s="1565"/>
      <c r="D73" s="543" t="s">
        <v>1253</v>
      </c>
      <c r="E73" s="1565" t="s">
        <v>1254</v>
      </c>
      <c r="F73" s="1565"/>
      <c r="G73" s="544" t="s">
        <v>646</v>
      </c>
      <c r="H73" s="545">
        <v>64.319999999999993</v>
      </c>
      <c r="I73" s="545">
        <f t="shared" si="1"/>
        <v>64.319999999999993</v>
      </c>
      <c r="J73" s="546">
        <f t="shared" si="0"/>
        <v>73.94</v>
      </c>
    </row>
    <row r="74" spans="1:10" ht="39" customHeight="1" x14ac:dyDescent="0.2">
      <c r="A74" s="543" t="s">
        <v>1157</v>
      </c>
      <c r="B74" s="1565" t="s">
        <v>1123</v>
      </c>
      <c r="C74" s="1565"/>
      <c r="D74" s="543" t="s">
        <v>1255</v>
      </c>
      <c r="E74" s="1565" t="s">
        <v>1256</v>
      </c>
      <c r="F74" s="1565"/>
      <c r="G74" s="544" t="s">
        <v>1257</v>
      </c>
      <c r="H74" s="545">
        <v>55.21</v>
      </c>
      <c r="I74" s="545">
        <f t="shared" si="1"/>
        <v>55.21</v>
      </c>
      <c r="J74" s="546">
        <f t="shared" si="0"/>
        <v>63.46</v>
      </c>
    </row>
    <row r="75" spans="1:10" ht="39" customHeight="1" x14ac:dyDescent="0.2">
      <c r="A75" s="543" t="s">
        <v>1157</v>
      </c>
      <c r="B75" s="1565" t="s">
        <v>1123</v>
      </c>
      <c r="C75" s="1565"/>
      <c r="D75" s="543" t="s">
        <v>1258</v>
      </c>
      <c r="E75" s="1565" t="s">
        <v>1259</v>
      </c>
      <c r="F75" s="1565"/>
      <c r="G75" s="544" t="s">
        <v>1260</v>
      </c>
      <c r="H75" s="545">
        <v>7.9108000000000001</v>
      </c>
      <c r="I75" s="545">
        <f t="shared" si="1"/>
        <v>7.9108000000000001</v>
      </c>
      <c r="J75" s="546">
        <f t="shared" si="0"/>
        <v>9.09</v>
      </c>
    </row>
    <row r="76" spans="1:10" ht="39" customHeight="1" x14ac:dyDescent="0.2">
      <c r="A76" s="543" t="s">
        <v>1157</v>
      </c>
      <c r="B76" s="1565" t="s">
        <v>1123</v>
      </c>
      <c r="C76" s="1565"/>
      <c r="D76" s="543" t="s">
        <v>1261</v>
      </c>
      <c r="E76" s="1565" t="s">
        <v>1262</v>
      </c>
      <c r="F76" s="1565"/>
      <c r="G76" s="544" t="s">
        <v>1243</v>
      </c>
      <c r="H76" s="545">
        <v>8.3691999999999993</v>
      </c>
      <c r="I76" s="545">
        <f t="shared" si="1"/>
        <v>8.3691999999999993</v>
      </c>
      <c r="J76" s="546">
        <f t="shared" si="0"/>
        <v>9.6199999999999992</v>
      </c>
    </row>
    <row r="77" spans="1:10" ht="39" customHeight="1" x14ac:dyDescent="0.2">
      <c r="A77" s="543" t="s">
        <v>1157</v>
      </c>
      <c r="B77" s="1565" t="s">
        <v>1123</v>
      </c>
      <c r="C77" s="1565"/>
      <c r="D77" s="543" t="s">
        <v>1263</v>
      </c>
      <c r="E77" s="1565" t="s">
        <v>1264</v>
      </c>
      <c r="F77" s="1565"/>
      <c r="G77" s="544" t="s">
        <v>1243</v>
      </c>
      <c r="H77" s="545">
        <v>8.7745999999999995</v>
      </c>
      <c r="I77" s="545">
        <f t="shared" si="1"/>
        <v>8.7745999999999995</v>
      </c>
      <c r="J77" s="546">
        <f t="shared" ref="J77:J140" si="2">TRUNC((H77*($J$11))*(1+$J$8),2)</f>
        <v>10.08</v>
      </c>
    </row>
    <row r="78" spans="1:10" ht="39" customHeight="1" x14ac:dyDescent="0.2">
      <c r="A78" s="543" t="s">
        <v>1157</v>
      </c>
      <c r="B78" s="1565" t="s">
        <v>1116</v>
      </c>
      <c r="C78" s="1565"/>
      <c r="D78" s="543" t="s">
        <v>1265</v>
      </c>
      <c r="E78" s="1565" t="s">
        <v>1266</v>
      </c>
      <c r="F78" s="1565"/>
      <c r="G78" s="544" t="s">
        <v>1267</v>
      </c>
      <c r="H78" s="545">
        <v>215.95</v>
      </c>
      <c r="I78" s="545">
        <f t="shared" ref="I78:I141" si="3">(H78*($J$11))</f>
        <v>215.95</v>
      </c>
      <c r="J78" s="546">
        <f t="shared" si="2"/>
        <v>248.25</v>
      </c>
    </row>
    <row r="79" spans="1:10" ht="39" customHeight="1" x14ac:dyDescent="0.2">
      <c r="A79" s="543" t="s">
        <v>1157</v>
      </c>
      <c r="B79" s="1565" t="s">
        <v>1123</v>
      </c>
      <c r="C79" s="1565"/>
      <c r="D79" s="543" t="s">
        <v>1268</v>
      </c>
      <c r="E79" s="1565" t="s">
        <v>1269</v>
      </c>
      <c r="F79" s="1565"/>
      <c r="G79" s="544" t="s">
        <v>1243</v>
      </c>
      <c r="H79" s="545">
        <v>8.4322999999999997</v>
      </c>
      <c r="I79" s="545">
        <f t="shared" si="3"/>
        <v>8.4322999999999997</v>
      </c>
      <c r="J79" s="546">
        <f t="shared" si="2"/>
        <v>9.69</v>
      </c>
    </row>
    <row r="80" spans="1:10" ht="39" customHeight="1" x14ac:dyDescent="0.2">
      <c r="A80" s="543" t="s">
        <v>1157</v>
      </c>
      <c r="B80" s="1565" t="s">
        <v>1123</v>
      </c>
      <c r="C80" s="1565"/>
      <c r="D80" s="543" t="s">
        <v>1270</v>
      </c>
      <c r="E80" s="1565" t="s">
        <v>1271</v>
      </c>
      <c r="F80" s="1565"/>
      <c r="G80" s="544" t="s">
        <v>1243</v>
      </c>
      <c r="H80" s="545">
        <v>8.4649999999999999</v>
      </c>
      <c r="I80" s="545">
        <f t="shared" si="3"/>
        <v>8.4649999999999999</v>
      </c>
      <c r="J80" s="546">
        <f t="shared" si="2"/>
        <v>9.73</v>
      </c>
    </row>
    <row r="81" spans="1:10" ht="39" customHeight="1" x14ac:dyDescent="0.2">
      <c r="A81" s="543" t="s">
        <v>1157</v>
      </c>
      <c r="B81" s="1565" t="s">
        <v>1123</v>
      </c>
      <c r="C81" s="1565"/>
      <c r="D81" s="543" t="s">
        <v>1272</v>
      </c>
      <c r="E81" s="1565" t="s">
        <v>1273</v>
      </c>
      <c r="F81" s="1565"/>
      <c r="G81" s="544" t="s">
        <v>1243</v>
      </c>
      <c r="H81" s="545">
        <v>21.73</v>
      </c>
      <c r="I81" s="545">
        <f t="shared" si="3"/>
        <v>21.73</v>
      </c>
      <c r="J81" s="546">
        <f t="shared" si="2"/>
        <v>24.98</v>
      </c>
    </row>
    <row r="82" spans="1:10" ht="39" customHeight="1" x14ac:dyDescent="0.2">
      <c r="A82" s="543" t="s">
        <v>1157</v>
      </c>
      <c r="B82" s="1565" t="s">
        <v>1123</v>
      </c>
      <c r="C82" s="1565"/>
      <c r="D82" s="543" t="s">
        <v>1274</v>
      </c>
      <c r="E82" s="1565" t="s">
        <v>1275</v>
      </c>
      <c r="F82" s="1565"/>
      <c r="G82" s="544" t="s">
        <v>1243</v>
      </c>
      <c r="H82" s="545">
        <v>23.914400000000001</v>
      </c>
      <c r="I82" s="545">
        <f t="shared" si="3"/>
        <v>23.914400000000001</v>
      </c>
      <c r="J82" s="546">
        <f t="shared" si="2"/>
        <v>27.49</v>
      </c>
    </row>
    <row r="83" spans="1:10" ht="39" customHeight="1" x14ac:dyDescent="0.2">
      <c r="A83" s="543" t="s">
        <v>1157</v>
      </c>
      <c r="B83" s="1565" t="s">
        <v>1123</v>
      </c>
      <c r="C83" s="1565"/>
      <c r="D83" s="543" t="s">
        <v>1276</v>
      </c>
      <c r="E83" s="1565" t="s">
        <v>1277</v>
      </c>
      <c r="F83" s="1565"/>
      <c r="G83" s="544" t="s">
        <v>1243</v>
      </c>
      <c r="H83" s="545">
        <v>19</v>
      </c>
      <c r="I83" s="545">
        <f t="shared" si="3"/>
        <v>19</v>
      </c>
      <c r="J83" s="546">
        <f t="shared" si="2"/>
        <v>21.84</v>
      </c>
    </row>
    <row r="84" spans="1:10" ht="39" customHeight="1" x14ac:dyDescent="0.2">
      <c r="A84" s="543" t="s">
        <v>1157</v>
      </c>
      <c r="B84" s="1565" t="s">
        <v>1123</v>
      </c>
      <c r="C84" s="1565"/>
      <c r="D84" s="543" t="s">
        <v>1278</v>
      </c>
      <c r="E84" s="1565" t="s">
        <v>1279</v>
      </c>
      <c r="F84" s="1565"/>
      <c r="G84" s="544" t="s">
        <v>1231</v>
      </c>
      <c r="H84" s="545">
        <v>9.0325000000000006</v>
      </c>
      <c r="I84" s="545">
        <f t="shared" si="3"/>
        <v>9.0325000000000006</v>
      </c>
      <c r="J84" s="546">
        <f t="shared" si="2"/>
        <v>10.38</v>
      </c>
    </row>
    <row r="85" spans="1:10" ht="39" customHeight="1" x14ac:dyDescent="0.2">
      <c r="A85" s="543" t="s">
        <v>1157</v>
      </c>
      <c r="B85" s="1565" t="s">
        <v>1123</v>
      </c>
      <c r="C85" s="1565"/>
      <c r="D85" s="543" t="s">
        <v>1280</v>
      </c>
      <c r="E85" s="1565" t="s">
        <v>1281</v>
      </c>
      <c r="F85" s="1565"/>
      <c r="G85" s="544" t="s">
        <v>1231</v>
      </c>
      <c r="H85" s="545">
        <v>3.4550000000000001</v>
      </c>
      <c r="I85" s="545">
        <f t="shared" si="3"/>
        <v>3.4550000000000001</v>
      </c>
      <c r="J85" s="546">
        <f t="shared" si="2"/>
        <v>3.97</v>
      </c>
    </row>
    <row r="86" spans="1:10" ht="39" customHeight="1" x14ac:dyDescent="0.2">
      <c r="A86" s="543" t="s">
        <v>1157</v>
      </c>
      <c r="B86" s="1565" t="s">
        <v>1123</v>
      </c>
      <c r="C86" s="1565"/>
      <c r="D86" s="543" t="s">
        <v>1282</v>
      </c>
      <c r="E86" s="1565" t="s">
        <v>1283</v>
      </c>
      <c r="F86" s="1565"/>
      <c r="G86" s="544" t="s">
        <v>1257</v>
      </c>
      <c r="H86" s="545">
        <v>28.166799999999999</v>
      </c>
      <c r="I86" s="545">
        <f t="shared" si="3"/>
        <v>28.166799999999999</v>
      </c>
      <c r="J86" s="546">
        <f t="shared" si="2"/>
        <v>32.380000000000003</v>
      </c>
    </row>
    <row r="87" spans="1:10" ht="39" customHeight="1" x14ac:dyDescent="0.2">
      <c r="A87" s="543" t="s">
        <v>1157</v>
      </c>
      <c r="B87" s="1565" t="s">
        <v>1116</v>
      </c>
      <c r="C87" s="1565"/>
      <c r="D87" s="543" t="s">
        <v>1284</v>
      </c>
      <c r="E87" s="1565" t="s">
        <v>1285</v>
      </c>
      <c r="F87" s="1565"/>
      <c r="G87" s="544" t="s">
        <v>1191</v>
      </c>
      <c r="H87" s="545">
        <v>7.85</v>
      </c>
      <c r="I87" s="545">
        <f t="shared" si="3"/>
        <v>7.85</v>
      </c>
      <c r="J87" s="546">
        <f t="shared" si="2"/>
        <v>9.02</v>
      </c>
    </row>
    <row r="88" spans="1:10" ht="39" customHeight="1" x14ac:dyDescent="0.2">
      <c r="A88" s="543" t="s">
        <v>1157</v>
      </c>
      <c r="B88" s="1565" t="s">
        <v>1116</v>
      </c>
      <c r="C88" s="1565"/>
      <c r="D88" s="543" t="s">
        <v>1286</v>
      </c>
      <c r="E88" s="1565" t="s">
        <v>1287</v>
      </c>
      <c r="F88" s="1565"/>
      <c r="G88" s="544" t="s">
        <v>646</v>
      </c>
      <c r="H88" s="545">
        <v>2.93</v>
      </c>
      <c r="I88" s="545">
        <f t="shared" si="3"/>
        <v>2.93</v>
      </c>
      <c r="J88" s="546">
        <f t="shared" si="2"/>
        <v>3.36</v>
      </c>
    </row>
    <row r="89" spans="1:10" ht="39" customHeight="1" x14ac:dyDescent="0.2">
      <c r="A89" s="543" t="s">
        <v>1157</v>
      </c>
      <c r="B89" s="1565" t="s">
        <v>1116</v>
      </c>
      <c r="C89" s="1565"/>
      <c r="D89" s="543" t="s">
        <v>1288</v>
      </c>
      <c r="E89" s="1565" t="s">
        <v>1289</v>
      </c>
      <c r="F89" s="1565"/>
      <c r="G89" s="544" t="s">
        <v>646</v>
      </c>
      <c r="H89" s="545">
        <v>1.65</v>
      </c>
      <c r="I89" s="545">
        <f t="shared" si="3"/>
        <v>1.65</v>
      </c>
      <c r="J89" s="546">
        <f t="shared" si="2"/>
        <v>1.89</v>
      </c>
    </row>
    <row r="90" spans="1:10" ht="39" customHeight="1" x14ac:dyDescent="0.2">
      <c r="A90" s="543" t="s">
        <v>1157</v>
      </c>
      <c r="B90" s="1565" t="s">
        <v>1123</v>
      </c>
      <c r="C90" s="1565"/>
      <c r="D90" s="543" t="s">
        <v>1290</v>
      </c>
      <c r="E90" s="1565" t="s">
        <v>1291</v>
      </c>
      <c r="F90" s="1565"/>
      <c r="G90" s="544" t="s">
        <v>1243</v>
      </c>
      <c r="H90" s="545">
        <v>29.9</v>
      </c>
      <c r="I90" s="545">
        <f t="shared" si="3"/>
        <v>29.9</v>
      </c>
      <c r="J90" s="546">
        <f t="shared" si="2"/>
        <v>34.369999999999997</v>
      </c>
    </row>
    <row r="91" spans="1:10" ht="39" customHeight="1" x14ac:dyDescent="0.2">
      <c r="A91" s="543" t="s">
        <v>1157</v>
      </c>
      <c r="B91" s="1565" t="s">
        <v>1123</v>
      </c>
      <c r="C91" s="1565"/>
      <c r="D91" s="543" t="s">
        <v>1292</v>
      </c>
      <c r="E91" s="1565" t="s">
        <v>1293</v>
      </c>
      <c r="F91" s="1565"/>
      <c r="G91" s="544" t="s">
        <v>1257</v>
      </c>
      <c r="H91" s="545">
        <v>62.16</v>
      </c>
      <c r="I91" s="545">
        <f t="shared" si="3"/>
        <v>62.16</v>
      </c>
      <c r="J91" s="546">
        <f t="shared" si="2"/>
        <v>71.45</v>
      </c>
    </row>
    <row r="92" spans="1:10" ht="39" customHeight="1" x14ac:dyDescent="0.2">
      <c r="A92" s="543" t="s">
        <v>1157</v>
      </c>
      <c r="B92" s="1565" t="s">
        <v>1123</v>
      </c>
      <c r="C92" s="1565"/>
      <c r="D92" s="543" t="s">
        <v>1294</v>
      </c>
      <c r="E92" s="1565" t="s">
        <v>1295</v>
      </c>
      <c r="F92" s="1565"/>
      <c r="G92" s="544" t="s">
        <v>1257</v>
      </c>
      <c r="H92" s="545">
        <v>112</v>
      </c>
      <c r="I92" s="545">
        <f t="shared" si="3"/>
        <v>112</v>
      </c>
      <c r="J92" s="546">
        <f t="shared" si="2"/>
        <v>128.75</v>
      </c>
    </row>
    <row r="93" spans="1:10" ht="39" customHeight="1" x14ac:dyDescent="0.2">
      <c r="A93" s="543" t="s">
        <v>1157</v>
      </c>
      <c r="B93" s="1565" t="s">
        <v>1123</v>
      </c>
      <c r="C93" s="1565"/>
      <c r="D93" s="543" t="s">
        <v>1296</v>
      </c>
      <c r="E93" s="1565" t="s">
        <v>1297</v>
      </c>
      <c r="F93" s="1565"/>
      <c r="G93" s="544" t="s">
        <v>1243</v>
      </c>
      <c r="H93" s="545">
        <v>59.949100000000001</v>
      </c>
      <c r="I93" s="545">
        <f t="shared" si="3"/>
        <v>59.949100000000001</v>
      </c>
      <c r="J93" s="546">
        <f t="shared" si="2"/>
        <v>68.91</v>
      </c>
    </row>
    <row r="94" spans="1:10" ht="39" customHeight="1" x14ac:dyDescent="0.2">
      <c r="A94" s="543" t="s">
        <v>1157</v>
      </c>
      <c r="B94" s="1565" t="s">
        <v>1123</v>
      </c>
      <c r="C94" s="1565"/>
      <c r="D94" s="543" t="s">
        <v>1298</v>
      </c>
      <c r="E94" s="1565" t="s">
        <v>1299</v>
      </c>
      <c r="F94" s="1565"/>
      <c r="G94" s="544" t="s">
        <v>1260</v>
      </c>
      <c r="H94" s="545">
        <v>121.6</v>
      </c>
      <c r="I94" s="545">
        <f t="shared" si="3"/>
        <v>121.6</v>
      </c>
      <c r="J94" s="546">
        <f t="shared" si="2"/>
        <v>139.79</v>
      </c>
    </row>
    <row r="95" spans="1:10" ht="39" customHeight="1" x14ac:dyDescent="0.2">
      <c r="A95" s="543" t="s">
        <v>1157</v>
      </c>
      <c r="B95" s="1565" t="s">
        <v>1116</v>
      </c>
      <c r="C95" s="1565"/>
      <c r="D95" s="543" t="s">
        <v>1300</v>
      </c>
      <c r="E95" s="1565" t="s">
        <v>1301</v>
      </c>
      <c r="F95" s="1565"/>
      <c r="G95" s="544" t="s">
        <v>646</v>
      </c>
      <c r="H95" s="545">
        <v>3.44</v>
      </c>
      <c r="I95" s="545">
        <f t="shared" si="3"/>
        <v>3.44</v>
      </c>
      <c r="J95" s="546">
        <f t="shared" si="2"/>
        <v>3.95</v>
      </c>
    </row>
    <row r="96" spans="1:10" ht="39" customHeight="1" x14ac:dyDescent="0.2">
      <c r="A96" s="543" t="s">
        <v>1157</v>
      </c>
      <c r="B96" s="1565" t="s">
        <v>1123</v>
      </c>
      <c r="C96" s="1565"/>
      <c r="D96" s="543" t="s">
        <v>1302</v>
      </c>
      <c r="E96" s="1565" t="s">
        <v>1303</v>
      </c>
      <c r="F96" s="1565"/>
      <c r="G96" s="544" t="s">
        <v>1260</v>
      </c>
      <c r="H96" s="545">
        <v>32.72</v>
      </c>
      <c r="I96" s="545">
        <f t="shared" si="3"/>
        <v>32.72</v>
      </c>
      <c r="J96" s="546">
        <f t="shared" si="2"/>
        <v>37.61</v>
      </c>
    </row>
    <row r="97" spans="1:10" ht="39" customHeight="1" x14ac:dyDescent="0.2">
      <c r="A97" s="543" t="s">
        <v>1157</v>
      </c>
      <c r="B97" s="1565" t="s">
        <v>1116</v>
      </c>
      <c r="C97" s="1565"/>
      <c r="D97" s="543" t="s">
        <v>1304</v>
      </c>
      <c r="E97" s="1565" t="s">
        <v>1305</v>
      </c>
      <c r="F97" s="1565"/>
      <c r="G97" s="544" t="s">
        <v>646</v>
      </c>
      <c r="H97" s="545">
        <v>11.89</v>
      </c>
      <c r="I97" s="545">
        <f t="shared" si="3"/>
        <v>11.89</v>
      </c>
      <c r="J97" s="546">
        <f t="shared" si="2"/>
        <v>13.66</v>
      </c>
    </row>
    <row r="98" spans="1:10" ht="39" customHeight="1" x14ac:dyDescent="0.2">
      <c r="A98" s="543" t="s">
        <v>1157</v>
      </c>
      <c r="B98" s="1565" t="s">
        <v>1123</v>
      </c>
      <c r="C98" s="1565"/>
      <c r="D98" s="543" t="s">
        <v>1306</v>
      </c>
      <c r="E98" s="1565" t="s">
        <v>1307</v>
      </c>
      <c r="F98" s="1565"/>
      <c r="G98" s="544" t="s">
        <v>1168</v>
      </c>
      <c r="H98" s="545">
        <v>3.35</v>
      </c>
      <c r="I98" s="545">
        <f t="shared" si="3"/>
        <v>3.35</v>
      </c>
      <c r="J98" s="546">
        <f t="shared" si="2"/>
        <v>3.85</v>
      </c>
    </row>
    <row r="99" spans="1:10" ht="39" customHeight="1" x14ac:dyDescent="0.2">
      <c r="A99" s="543" t="s">
        <v>1157</v>
      </c>
      <c r="B99" s="1565" t="s">
        <v>1123</v>
      </c>
      <c r="C99" s="1565"/>
      <c r="D99" s="543" t="s">
        <v>1308</v>
      </c>
      <c r="E99" s="1565" t="s">
        <v>1309</v>
      </c>
      <c r="F99" s="1565"/>
      <c r="G99" s="544" t="s">
        <v>1260</v>
      </c>
      <c r="H99" s="545">
        <v>27.04</v>
      </c>
      <c r="I99" s="545">
        <f t="shared" si="3"/>
        <v>27.04</v>
      </c>
      <c r="J99" s="546">
        <f t="shared" si="2"/>
        <v>31.08</v>
      </c>
    </row>
    <row r="100" spans="1:10" ht="39" customHeight="1" x14ac:dyDescent="0.2">
      <c r="A100" s="543" t="s">
        <v>1157</v>
      </c>
      <c r="B100" s="1565" t="s">
        <v>1116</v>
      </c>
      <c r="C100" s="1565"/>
      <c r="D100" s="543" t="s">
        <v>1310</v>
      </c>
      <c r="E100" s="1565" t="s">
        <v>1311</v>
      </c>
      <c r="F100" s="1565"/>
      <c r="G100" s="544" t="s">
        <v>646</v>
      </c>
      <c r="H100" s="545">
        <v>2.64</v>
      </c>
      <c r="I100" s="545">
        <f t="shared" si="3"/>
        <v>2.64</v>
      </c>
      <c r="J100" s="546">
        <f t="shared" si="2"/>
        <v>3.03</v>
      </c>
    </row>
    <row r="101" spans="1:10" ht="39" customHeight="1" x14ac:dyDescent="0.2">
      <c r="A101" s="543" t="s">
        <v>1157</v>
      </c>
      <c r="B101" s="1565" t="s">
        <v>1123</v>
      </c>
      <c r="C101" s="1565"/>
      <c r="D101" s="543" t="s">
        <v>1312</v>
      </c>
      <c r="E101" s="1565" t="s">
        <v>1313</v>
      </c>
      <c r="F101" s="1565"/>
      <c r="G101" s="544" t="s">
        <v>1260</v>
      </c>
      <c r="H101" s="545">
        <v>47.11</v>
      </c>
      <c r="I101" s="545">
        <f t="shared" si="3"/>
        <v>47.11</v>
      </c>
      <c r="J101" s="546">
        <f t="shared" si="2"/>
        <v>54.15</v>
      </c>
    </row>
    <row r="102" spans="1:10" ht="39" customHeight="1" x14ac:dyDescent="0.2">
      <c r="A102" s="543" t="s">
        <v>1157</v>
      </c>
      <c r="B102" s="1565" t="s">
        <v>1123</v>
      </c>
      <c r="C102" s="1565"/>
      <c r="D102" s="543" t="s">
        <v>1314</v>
      </c>
      <c r="E102" s="1565" t="s">
        <v>1315</v>
      </c>
      <c r="F102" s="1565"/>
      <c r="G102" s="544" t="s">
        <v>1243</v>
      </c>
      <c r="H102" s="545">
        <v>2.2400000000000002</v>
      </c>
      <c r="I102" s="545">
        <f t="shared" si="3"/>
        <v>2.2400000000000002</v>
      </c>
      <c r="J102" s="546">
        <f t="shared" si="2"/>
        <v>2.57</v>
      </c>
    </row>
    <row r="103" spans="1:10" ht="39" customHeight="1" x14ac:dyDescent="0.2">
      <c r="A103" s="543" t="s">
        <v>1157</v>
      </c>
      <c r="B103" s="1565" t="s">
        <v>1123</v>
      </c>
      <c r="C103" s="1565"/>
      <c r="D103" s="543" t="s">
        <v>1316</v>
      </c>
      <c r="E103" s="1565" t="s">
        <v>1317</v>
      </c>
      <c r="F103" s="1565"/>
      <c r="G103" s="544" t="s">
        <v>1260</v>
      </c>
      <c r="H103" s="545">
        <v>43.86</v>
      </c>
      <c r="I103" s="545">
        <f t="shared" si="3"/>
        <v>43.86</v>
      </c>
      <c r="J103" s="546">
        <f t="shared" si="2"/>
        <v>50.42</v>
      </c>
    </row>
    <row r="104" spans="1:10" ht="39" customHeight="1" x14ac:dyDescent="0.2">
      <c r="A104" s="543" t="s">
        <v>1157</v>
      </c>
      <c r="B104" s="1565" t="s">
        <v>1123</v>
      </c>
      <c r="C104" s="1565"/>
      <c r="D104" s="543" t="s">
        <v>1318</v>
      </c>
      <c r="E104" s="1565" t="s">
        <v>1319</v>
      </c>
      <c r="F104" s="1565"/>
      <c r="G104" s="544" t="s">
        <v>1168</v>
      </c>
      <c r="H104" s="545">
        <v>0.92</v>
      </c>
      <c r="I104" s="545">
        <f t="shared" si="3"/>
        <v>0.92</v>
      </c>
      <c r="J104" s="546">
        <f t="shared" si="2"/>
        <v>1.05</v>
      </c>
    </row>
    <row r="105" spans="1:10" ht="39" customHeight="1" x14ac:dyDescent="0.2">
      <c r="A105" s="543" t="s">
        <v>1157</v>
      </c>
      <c r="B105" s="1565" t="s">
        <v>1123</v>
      </c>
      <c r="C105" s="1565"/>
      <c r="D105" s="543" t="s">
        <v>1320</v>
      </c>
      <c r="E105" s="1565" t="s">
        <v>1321</v>
      </c>
      <c r="F105" s="1565"/>
      <c r="G105" s="544" t="s">
        <v>1260</v>
      </c>
      <c r="H105" s="545">
        <v>19.829999999999998</v>
      </c>
      <c r="I105" s="545">
        <f t="shared" si="3"/>
        <v>19.829999999999998</v>
      </c>
      <c r="J105" s="546">
        <f t="shared" si="2"/>
        <v>22.79</v>
      </c>
    </row>
    <row r="106" spans="1:10" ht="39" customHeight="1" x14ac:dyDescent="0.2">
      <c r="A106" s="543" t="s">
        <v>1157</v>
      </c>
      <c r="B106" s="1565" t="s">
        <v>1123</v>
      </c>
      <c r="C106" s="1565"/>
      <c r="D106" s="543" t="s">
        <v>1322</v>
      </c>
      <c r="E106" s="1565" t="s">
        <v>1323</v>
      </c>
      <c r="F106" s="1565"/>
      <c r="G106" s="544" t="s">
        <v>1168</v>
      </c>
      <c r="H106" s="545">
        <v>47.6</v>
      </c>
      <c r="I106" s="545">
        <f t="shared" si="3"/>
        <v>47.6</v>
      </c>
      <c r="J106" s="546">
        <f t="shared" si="2"/>
        <v>54.72</v>
      </c>
    </row>
    <row r="107" spans="1:10" ht="39" customHeight="1" x14ac:dyDescent="0.2">
      <c r="A107" s="543" t="s">
        <v>1157</v>
      </c>
      <c r="B107" s="1565" t="s">
        <v>1123</v>
      </c>
      <c r="C107" s="1565"/>
      <c r="D107" s="543" t="s">
        <v>1324</v>
      </c>
      <c r="E107" s="1565" t="s">
        <v>1325</v>
      </c>
      <c r="F107" s="1565"/>
      <c r="G107" s="544" t="s">
        <v>1168</v>
      </c>
      <c r="H107" s="545">
        <v>163.62</v>
      </c>
      <c r="I107" s="545">
        <f t="shared" si="3"/>
        <v>163.62</v>
      </c>
      <c r="J107" s="546">
        <f t="shared" si="2"/>
        <v>188.09</v>
      </c>
    </row>
    <row r="108" spans="1:10" ht="39" customHeight="1" x14ac:dyDescent="0.2">
      <c r="A108" s="543" t="s">
        <v>1157</v>
      </c>
      <c r="B108" s="1565" t="s">
        <v>1123</v>
      </c>
      <c r="C108" s="1565"/>
      <c r="D108" s="543" t="s">
        <v>1326</v>
      </c>
      <c r="E108" s="1565" t="s">
        <v>1327</v>
      </c>
      <c r="F108" s="1565"/>
      <c r="G108" s="544" t="s">
        <v>1168</v>
      </c>
      <c r="H108" s="545">
        <v>161.9</v>
      </c>
      <c r="I108" s="545">
        <f t="shared" si="3"/>
        <v>161.9</v>
      </c>
      <c r="J108" s="546">
        <f t="shared" si="2"/>
        <v>186.12</v>
      </c>
    </row>
    <row r="109" spans="1:10" ht="39" customHeight="1" x14ac:dyDescent="0.2">
      <c r="A109" s="543" t="s">
        <v>1157</v>
      </c>
      <c r="B109" s="1565" t="s">
        <v>1116</v>
      </c>
      <c r="C109" s="1565"/>
      <c r="D109" s="543" t="s">
        <v>1328</v>
      </c>
      <c r="E109" s="1565" t="s">
        <v>1329</v>
      </c>
      <c r="F109" s="1565"/>
      <c r="G109" s="544" t="s">
        <v>1181</v>
      </c>
      <c r="H109" s="545">
        <v>29.24</v>
      </c>
      <c r="I109" s="545">
        <f t="shared" si="3"/>
        <v>29.24</v>
      </c>
      <c r="J109" s="546">
        <f t="shared" si="2"/>
        <v>33.61</v>
      </c>
    </row>
    <row r="110" spans="1:10" ht="39" customHeight="1" x14ac:dyDescent="0.2">
      <c r="A110" s="543" t="s">
        <v>1157</v>
      </c>
      <c r="B110" s="1565" t="s">
        <v>1116</v>
      </c>
      <c r="C110" s="1565"/>
      <c r="D110" s="543" t="s">
        <v>1330</v>
      </c>
      <c r="E110" s="1565" t="s">
        <v>1331</v>
      </c>
      <c r="F110" s="1565"/>
      <c r="G110" s="544" t="s">
        <v>1332</v>
      </c>
      <c r="H110" s="545">
        <v>165</v>
      </c>
      <c r="I110" s="545">
        <f t="shared" si="3"/>
        <v>165</v>
      </c>
      <c r="J110" s="546">
        <f t="shared" si="2"/>
        <v>189.68</v>
      </c>
    </row>
    <row r="111" spans="1:10" ht="39" customHeight="1" x14ac:dyDescent="0.2">
      <c r="A111" s="543" t="s">
        <v>1157</v>
      </c>
      <c r="B111" s="1565" t="s">
        <v>1116</v>
      </c>
      <c r="C111" s="1565"/>
      <c r="D111" s="543" t="s">
        <v>1333</v>
      </c>
      <c r="E111" s="1565" t="s">
        <v>1334</v>
      </c>
      <c r="F111" s="1565"/>
      <c r="G111" s="544" t="s">
        <v>1332</v>
      </c>
      <c r="H111" s="545">
        <v>167.15</v>
      </c>
      <c r="I111" s="545">
        <f t="shared" si="3"/>
        <v>167.15</v>
      </c>
      <c r="J111" s="546">
        <f t="shared" si="2"/>
        <v>192.15</v>
      </c>
    </row>
    <row r="112" spans="1:10" ht="39" customHeight="1" x14ac:dyDescent="0.2">
      <c r="A112" s="543" t="s">
        <v>1157</v>
      </c>
      <c r="B112" s="1565" t="s">
        <v>1116</v>
      </c>
      <c r="C112" s="1565"/>
      <c r="D112" s="543" t="s">
        <v>1335</v>
      </c>
      <c r="E112" s="1565" t="s">
        <v>1336</v>
      </c>
      <c r="F112" s="1565"/>
      <c r="G112" s="544" t="s">
        <v>1332</v>
      </c>
      <c r="H112" s="545">
        <v>165</v>
      </c>
      <c r="I112" s="545">
        <f t="shared" si="3"/>
        <v>165</v>
      </c>
      <c r="J112" s="546">
        <f t="shared" si="2"/>
        <v>189.68</v>
      </c>
    </row>
    <row r="113" spans="1:10" ht="39" customHeight="1" x14ac:dyDescent="0.2">
      <c r="A113" s="543" t="s">
        <v>1157</v>
      </c>
      <c r="B113" s="1565" t="s">
        <v>1116</v>
      </c>
      <c r="C113" s="1565"/>
      <c r="D113" s="543" t="s">
        <v>1337</v>
      </c>
      <c r="E113" s="1565" t="s">
        <v>1338</v>
      </c>
      <c r="F113" s="1565"/>
      <c r="G113" s="544" t="s">
        <v>1181</v>
      </c>
      <c r="H113" s="545">
        <v>1.51</v>
      </c>
      <c r="I113" s="545">
        <f t="shared" si="3"/>
        <v>1.51</v>
      </c>
      <c r="J113" s="546">
        <f t="shared" si="2"/>
        <v>1.73</v>
      </c>
    </row>
    <row r="114" spans="1:10" ht="39" customHeight="1" x14ac:dyDescent="0.2">
      <c r="A114" s="543" t="s">
        <v>1157</v>
      </c>
      <c r="B114" s="1565" t="s">
        <v>1116</v>
      </c>
      <c r="C114" s="1565"/>
      <c r="D114" s="543" t="s">
        <v>1339</v>
      </c>
      <c r="E114" s="1565" t="s">
        <v>1340</v>
      </c>
      <c r="F114" s="1565"/>
      <c r="G114" s="544" t="s">
        <v>1181</v>
      </c>
      <c r="H114" s="545">
        <v>2.94</v>
      </c>
      <c r="I114" s="545">
        <f t="shared" si="3"/>
        <v>2.94</v>
      </c>
      <c r="J114" s="546">
        <f t="shared" si="2"/>
        <v>3.37</v>
      </c>
    </row>
    <row r="115" spans="1:10" ht="39" customHeight="1" x14ac:dyDescent="0.2">
      <c r="A115" s="543" t="s">
        <v>1157</v>
      </c>
      <c r="B115" s="1565" t="s">
        <v>1116</v>
      </c>
      <c r="C115" s="1565"/>
      <c r="D115" s="543" t="s">
        <v>1341</v>
      </c>
      <c r="E115" s="1565" t="s">
        <v>1342</v>
      </c>
      <c r="F115" s="1565"/>
      <c r="G115" s="544" t="s">
        <v>1181</v>
      </c>
      <c r="H115" s="545">
        <v>0.76</v>
      </c>
      <c r="I115" s="545">
        <f t="shared" si="3"/>
        <v>0.76</v>
      </c>
      <c r="J115" s="546">
        <f t="shared" si="2"/>
        <v>0.87</v>
      </c>
    </row>
    <row r="116" spans="1:10" ht="39" customHeight="1" x14ac:dyDescent="0.2">
      <c r="A116" s="543" t="s">
        <v>1157</v>
      </c>
      <c r="B116" s="1565" t="s">
        <v>1123</v>
      </c>
      <c r="C116" s="1565"/>
      <c r="D116" s="543" t="s">
        <v>1343</v>
      </c>
      <c r="E116" s="1565" t="s">
        <v>1344</v>
      </c>
      <c r="F116" s="1565"/>
      <c r="G116" s="544" t="s">
        <v>1231</v>
      </c>
      <c r="H116" s="545">
        <v>0.13</v>
      </c>
      <c r="I116" s="545">
        <f t="shared" si="3"/>
        <v>0.13</v>
      </c>
      <c r="J116" s="546">
        <f t="shared" si="2"/>
        <v>0.14000000000000001</v>
      </c>
    </row>
    <row r="117" spans="1:10" ht="39" customHeight="1" x14ac:dyDescent="0.2">
      <c r="A117" s="543" t="s">
        <v>1157</v>
      </c>
      <c r="B117" s="1565" t="s">
        <v>1116</v>
      </c>
      <c r="C117" s="1565"/>
      <c r="D117" s="543" t="s">
        <v>1345</v>
      </c>
      <c r="E117" s="1565" t="s">
        <v>1346</v>
      </c>
      <c r="F117" s="1565"/>
      <c r="G117" s="544" t="s">
        <v>646</v>
      </c>
      <c r="H117" s="545">
        <v>1.42</v>
      </c>
      <c r="I117" s="545">
        <f t="shared" si="3"/>
        <v>1.42</v>
      </c>
      <c r="J117" s="546">
        <f t="shared" si="2"/>
        <v>1.63</v>
      </c>
    </row>
    <row r="118" spans="1:10" ht="39" customHeight="1" x14ac:dyDescent="0.2">
      <c r="A118" s="543" t="s">
        <v>1157</v>
      </c>
      <c r="B118" s="1565" t="s">
        <v>1116</v>
      </c>
      <c r="C118" s="1565"/>
      <c r="D118" s="543" t="s">
        <v>1347</v>
      </c>
      <c r="E118" s="1565" t="s">
        <v>1348</v>
      </c>
      <c r="F118" s="1565"/>
      <c r="G118" s="544" t="s">
        <v>1181</v>
      </c>
      <c r="H118" s="545">
        <v>16.66</v>
      </c>
      <c r="I118" s="545">
        <f t="shared" si="3"/>
        <v>16.66</v>
      </c>
      <c r="J118" s="546">
        <f t="shared" si="2"/>
        <v>19.149999999999999</v>
      </c>
    </row>
    <row r="119" spans="1:10" ht="39" customHeight="1" x14ac:dyDescent="0.2">
      <c r="A119" s="543" t="s">
        <v>1157</v>
      </c>
      <c r="B119" s="1565" t="s">
        <v>1116</v>
      </c>
      <c r="C119" s="1565"/>
      <c r="D119" s="543" t="s">
        <v>1349</v>
      </c>
      <c r="E119" s="1565" t="s">
        <v>1350</v>
      </c>
      <c r="F119" s="1565"/>
      <c r="G119" s="544" t="s">
        <v>1191</v>
      </c>
      <c r="H119" s="545">
        <v>27.9</v>
      </c>
      <c r="I119" s="545">
        <f t="shared" si="3"/>
        <v>27.9</v>
      </c>
      <c r="J119" s="546">
        <f t="shared" si="2"/>
        <v>32.07</v>
      </c>
    </row>
    <row r="120" spans="1:10" ht="39" customHeight="1" x14ac:dyDescent="0.2">
      <c r="A120" s="543" t="s">
        <v>1157</v>
      </c>
      <c r="B120" s="1565" t="s">
        <v>1188</v>
      </c>
      <c r="C120" s="1565"/>
      <c r="D120" s="543" t="s">
        <v>1351</v>
      </c>
      <c r="E120" s="1565" t="s">
        <v>1352</v>
      </c>
      <c r="F120" s="1565"/>
      <c r="G120" s="544" t="s">
        <v>646</v>
      </c>
      <c r="H120" s="545">
        <v>371.54</v>
      </c>
      <c r="I120" s="545">
        <f t="shared" si="3"/>
        <v>371.54</v>
      </c>
      <c r="J120" s="546">
        <f t="shared" si="2"/>
        <v>427.12</v>
      </c>
    </row>
    <row r="121" spans="1:10" ht="39" customHeight="1" x14ac:dyDescent="0.2">
      <c r="A121" s="543" t="s">
        <v>1157</v>
      </c>
      <c r="B121" s="1565" t="s">
        <v>1188</v>
      </c>
      <c r="C121" s="1565"/>
      <c r="D121" s="543" t="s">
        <v>1353</v>
      </c>
      <c r="E121" s="1565" t="s">
        <v>1354</v>
      </c>
      <c r="F121" s="1565"/>
      <c r="G121" s="544" t="s">
        <v>646</v>
      </c>
      <c r="H121" s="545">
        <v>176.56</v>
      </c>
      <c r="I121" s="545">
        <f t="shared" si="3"/>
        <v>176.56</v>
      </c>
      <c r="J121" s="546">
        <f t="shared" si="2"/>
        <v>202.97</v>
      </c>
    </row>
    <row r="122" spans="1:10" ht="39" customHeight="1" x14ac:dyDescent="0.2">
      <c r="A122" s="543" t="s">
        <v>1157</v>
      </c>
      <c r="B122" s="1565" t="s">
        <v>1116</v>
      </c>
      <c r="C122" s="1565"/>
      <c r="D122" s="543" t="s">
        <v>1355</v>
      </c>
      <c r="E122" s="1565" t="s">
        <v>1356</v>
      </c>
      <c r="F122" s="1565"/>
      <c r="G122" s="544" t="s">
        <v>1161</v>
      </c>
      <c r="H122" s="545">
        <v>80.34</v>
      </c>
      <c r="I122" s="545">
        <f t="shared" si="3"/>
        <v>80.34</v>
      </c>
      <c r="J122" s="546">
        <f t="shared" si="2"/>
        <v>92.35</v>
      </c>
    </row>
    <row r="123" spans="1:10" ht="39" customHeight="1" x14ac:dyDescent="0.2">
      <c r="A123" s="543" t="s">
        <v>1157</v>
      </c>
      <c r="B123" s="1565" t="s">
        <v>1116</v>
      </c>
      <c r="C123" s="1565"/>
      <c r="D123" s="543" t="s">
        <v>1357</v>
      </c>
      <c r="E123" s="1565" t="s">
        <v>1358</v>
      </c>
      <c r="F123" s="1565"/>
      <c r="G123" s="544" t="s">
        <v>646</v>
      </c>
      <c r="H123" s="545">
        <v>21.29</v>
      </c>
      <c r="I123" s="545">
        <f t="shared" si="3"/>
        <v>21.29</v>
      </c>
      <c r="J123" s="546">
        <f t="shared" si="2"/>
        <v>24.47</v>
      </c>
    </row>
    <row r="124" spans="1:10" ht="39" customHeight="1" x14ac:dyDescent="0.2">
      <c r="A124" s="543" t="s">
        <v>1157</v>
      </c>
      <c r="B124" s="1565" t="s">
        <v>1188</v>
      </c>
      <c r="C124" s="1565"/>
      <c r="D124" s="543" t="s">
        <v>1359</v>
      </c>
      <c r="E124" s="1565" t="s">
        <v>1360</v>
      </c>
      <c r="F124" s="1565"/>
      <c r="G124" s="544" t="s">
        <v>1191</v>
      </c>
      <c r="H124" s="545">
        <v>97.75</v>
      </c>
      <c r="I124" s="545">
        <f t="shared" si="3"/>
        <v>97.75</v>
      </c>
      <c r="J124" s="546">
        <f t="shared" si="2"/>
        <v>112.37</v>
      </c>
    </row>
    <row r="125" spans="1:10" ht="39" customHeight="1" x14ac:dyDescent="0.2">
      <c r="A125" s="543" t="s">
        <v>1157</v>
      </c>
      <c r="B125" s="1565" t="s">
        <v>1188</v>
      </c>
      <c r="C125" s="1565"/>
      <c r="D125" s="543" t="s">
        <v>1361</v>
      </c>
      <c r="E125" s="1565" t="s">
        <v>1362</v>
      </c>
      <c r="F125" s="1565"/>
      <c r="G125" s="544" t="s">
        <v>1191</v>
      </c>
      <c r="H125" s="545">
        <v>124.56</v>
      </c>
      <c r="I125" s="545">
        <f t="shared" si="3"/>
        <v>124.56</v>
      </c>
      <c r="J125" s="546">
        <f t="shared" si="2"/>
        <v>143.19</v>
      </c>
    </row>
    <row r="126" spans="1:10" ht="39" customHeight="1" x14ac:dyDescent="0.2">
      <c r="A126" s="543" t="s">
        <v>1157</v>
      </c>
      <c r="B126" s="1565" t="s">
        <v>1188</v>
      </c>
      <c r="C126" s="1565"/>
      <c r="D126" s="543" t="s">
        <v>1363</v>
      </c>
      <c r="E126" s="1565" t="s">
        <v>1364</v>
      </c>
      <c r="F126" s="1565"/>
      <c r="G126" s="544" t="s">
        <v>1191</v>
      </c>
      <c r="H126" s="545">
        <v>150.88999999999999</v>
      </c>
      <c r="I126" s="545">
        <f t="shared" si="3"/>
        <v>150.88999999999999</v>
      </c>
      <c r="J126" s="546">
        <f t="shared" si="2"/>
        <v>173.46</v>
      </c>
    </row>
    <row r="127" spans="1:10" ht="39" customHeight="1" x14ac:dyDescent="0.2">
      <c r="A127" s="543" t="s">
        <v>1157</v>
      </c>
      <c r="B127" s="1565" t="s">
        <v>1123</v>
      </c>
      <c r="C127" s="1565"/>
      <c r="D127" s="543" t="s">
        <v>1365</v>
      </c>
      <c r="E127" s="1565" t="s">
        <v>1366</v>
      </c>
      <c r="F127" s="1565"/>
      <c r="G127" s="544" t="s">
        <v>1231</v>
      </c>
      <c r="H127" s="545">
        <v>13.85</v>
      </c>
      <c r="I127" s="545">
        <f t="shared" si="3"/>
        <v>13.85</v>
      </c>
      <c r="J127" s="546">
        <f t="shared" si="2"/>
        <v>15.92</v>
      </c>
    </row>
    <row r="128" spans="1:10" ht="39" customHeight="1" x14ac:dyDescent="0.2">
      <c r="A128" s="543" t="s">
        <v>1157</v>
      </c>
      <c r="B128" s="1565" t="s">
        <v>1188</v>
      </c>
      <c r="C128" s="1565"/>
      <c r="D128" s="543" t="s">
        <v>1367</v>
      </c>
      <c r="E128" s="1565" t="s">
        <v>1368</v>
      </c>
      <c r="F128" s="1565"/>
      <c r="G128" s="544" t="s">
        <v>1191</v>
      </c>
      <c r="H128" s="545">
        <v>200.44</v>
      </c>
      <c r="I128" s="545">
        <f t="shared" si="3"/>
        <v>200.44</v>
      </c>
      <c r="J128" s="546">
        <f t="shared" si="2"/>
        <v>230.42</v>
      </c>
    </row>
    <row r="129" spans="1:10" ht="39" customHeight="1" x14ac:dyDescent="0.2">
      <c r="A129" s="543" t="s">
        <v>1157</v>
      </c>
      <c r="B129" s="1565" t="s">
        <v>1188</v>
      </c>
      <c r="C129" s="1565"/>
      <c r="D129" s="543" t="s">
        <v>1369</v>
      </c>
      <c r="E129" s="1565" t="s">
        <v>1370</v>
      </c>
      <c r="F129" s="1565"/>
      <c r="G129" s="544" t="s">
        <v>1191</v>
      </c>
      <c r="H129" s="545">
        <v>302.52999999999997</v>
      </c>
      <c r="I129" s="545">
        <f t="shared" si="3"/>
        <v>302.52999999999997</v>
      </c>
      <c r="J129" s="546">
        <f t="shared" si="2"/>
        <v>347.78</v>
      </c>
    </row>
    <row r="130" spans="1:10" ht="39" customHeight="1" x14ac:dyDescent="0.2">
      <c r="A130" s="543" t="s">
        <v>1157</v>
      </c>
      <c r="B130" s="1565" t="s">
        <v>1123</v>
      </c>
      <c r="C130" s="1565"/>
      <c r="D130" s="543" t="s">
        <v>1371</v>
      </c>
      <c r="E130" s="1565" t="s">
        <v>1372</v>
      </c>
      <c r="F130" s="1565"/>
      <c r="G130" s="544" t="s">
        <v>1168</v>
      </c>
      <c r="H130" s="545">
        <v>3.53</v>
      </c>
      <c r="I130" s="545">
        <f t="shared" si="3"/>
        <v>3.53</v>
      </c>
      <c r="J130" s="546">
        <f t="shared" si="2"/>
        <v>4.05</v>
      </c>
    </row>
    <row r="131" spans="1:10" ht="39" customHeight="1" x14ac:dyDescent="0.2">
      <c r="A131" s="543" t="s">
        <v>1157</v>
      </c>
      <c r="B131" s="1565" t="s">
        <v>1123</v>
      </c>
      <c r="C131" s="1565"/>
      <c r="D131" s="543" t="s">
        <v>1373</v>
      </c>
      <c r="E131" s="1565" t="s">
        <v>1374</v>
      </c>
      <c r="F131" s="1565"/>
      <c r="G131" s="544" t="s">
        <v>1231</v>
      </c>
      <c r="H131" s="545">
        <v>4.3600000000000003</v>
      </c>
      <c r="I131" s="545">
        <f t="shared" si="3"/>
        <v>4.3600000000000003</v>
      </c>
      <c r="J131" s="546">
        <f t="shared" si="2"/>
        <v>5.01</v>
      </c>
    </row>
    <row r="132" spans="1:10" ht="39" customHeight="1" x14ac:dyDescent="0.2">
      <c r="A132" s="543" t="s">
        <v>1157</v>
      </c>
      <c r="B132" s="1565" t="s">
        <v>1116</v>
      </c>
      <c r="C132" s="1565"/>
      <c r="D132" s="543" t="s">
        <v>1375</v>
      </c>
      <c r="E132" s="1565" t="s">
        <v>1376</v>
      </c>
      <c r="F132" s="1565"/>
      <c r="G132" s="544" t="s">
        <v>646</v>
      </c>
      <c r="H132" s="545">
        <v>0.86</v>
      </c>
      <c r="I132" s="545">
        <f t="shared" si="3"/>
        <v>0.86</v>
      </c>
      <c r="J132" s="546">
        <f t="shared" si="2"/>
        <v>0.98</v>
      </c>
    </row>
    <row r="133" spans="1:10" ht="39" customHeight="1" x14ac:dyDescent="0.2">
      <c r="A133" s="543" t="s">
        <v>1157</v>
      </c>
      <c r="B133" s="1565" t="s">
        <v>1116</v>
      </c>
      <c r="C133" s="1565"/>
      <c r="D133" s="543" t="s">
        <v>1377</v>
      </c>
      <c r="E133" s="1565" t="s">
        <v>1378</v>
      </c>
      <c r="F133" s="1565"/>
      <c r="G133" s="544" t="s">
        <v>646</v>
      </c>
      <c r="H133" s="545">
        <v>0.28000000000000003</v>
      </c>
      <c r="I133" s="545">
        <f t="shared" si="3"/>
        <v>0.28000000000000003</v>
      </c>
      <c r="J133" s="546">
        <f t="shared" si="2"/>
        <v>0.32</v>
      </c>
    </row>
    <row r="134" spans="1:10" ht="39" customHeight="1" x14ac:dyDescent="0.2">
      <c r="A134" s="543" t="s">
        <v>1157</v>
      </c>
      <c r="B134" s="1565" t="s">
        <v>1116</v>
      </c>
      <c r="C134" s="1565"/>
      <c r="D134" s="543" t="s">
        <v>1379</v>
      </c>
      <c r="E134" s="1565" t="s">
        <v>1380</v>
      </c>
      <c r="F134" s="1565"/>
      <c r="G134" s="544" t="s">
        <v>646</v>
      </c>
      <c r="H134" s="545">
        <v>0.84</v>
      </c>
      <c r="I134" s="545">
        <f t="shared" si="3"/>
        <v>0.84</v>
      </c>
      <c r="J134" s="546">
        <f t="shared" si="2"/>
        <v>0.96</v>
      </c>
    </row>
    <row r="135" spans="1:10" ht="39" customHeight="1" x14ac:dyDescent="0.2">
      <c r="A135" s="543" t="s">
        <v>1157</v>
      </c>
      <c r="B135" s="1565" t="s">
        <v>1116</v>
      </c>
      <c r="C135" s="1565"/>
      <c r="D135" s="543" t="s">
        <v>1381</v>
      </c>
      <c r="E135" s="1565" t="s">
        <v>1382</v>
      </c>
      <c r="F135" s="1565"/>
      <c r="G135" s="544" t="s">
        <v>646</v>
      </c>
      <c r="H135" s="545">
        <v>0.57999999999999996</v>
      </c>
      <c r="I135" s="545">
        <f t="shared" si="3"/>
        <v>0.57999999999999996</v>
      </c>
      <c r="J135" s="546">
        <f t="shared" si="2"/>
        <v>0.66</v>
      </c>
    </row>
    <row r="136" spans="1:10" ht="39" customHeight="1" x14ac:dyDescent="0.2">
      <c r="A136" s="543" t="s">
        <v>1157</v>
      </c>
      <c r="B136" s="1565" t="s">
        <v>1123</v>
      </c>
      <c r="C136" s="1565"/>
      <c r="D136" s="543" t="s">
        <v>1383</v>
      </c>
      <c r="E136" s="1565" t="s">
        <v>1384</v>
      </c>
      <c r="F136" s="1565"/>
      <c r="G136" s="544" t="s">
        <v>1168</v>
      </c>
      <c r="H136" s="545">
        <v>209.79</v>
      </c>
      <c r="I136" s="545">
        <f t="shared" si="3"/>
        <v>209.79</v>
      </c>
      <c r="J136" s="546">
        <f t="shared" si="2"/>
        <v>241.17</v>
      </c>
    </row>
    <row r="137" spans="1:10" ht="39" customHeight="1" x14ac:dyDescent="0.2">
      <c r="A137" s="543" t="s">
        <v>1157</v>
      </c>
      <c r="B137" s="1565" t="s">
        <v>1123</v>
      </c>
      <c r="C137" s="1565"/>
      <c r="D137" s="543" t="s">
        <v>1385</v>
      </c>
      <c r="E137" s="1565" t="s">
        <v>1386</v>
      </c>
      <c r="F137" s="1565"/>
      <c r="G137" s="544" t="s">
        <v>1168</v>
      </c>
      <c r="H137" s="545">
        <v>16.1264</v>
      </c>
      <c r="I137" s="545">
        <f t="shared" si="3"/>
        <v>16.1264</v>
      </c>
      <c r="J137" s="546">
        <f t="shared" si="2"/>
        <v>18.53</v>
      </c>
    </row>
    <row r="138" spans="1:10" ht="39" customHeight="1" x14ac:dyDescent="0.2">
      <c r="A138" s="543" t="s">
        <v>1157</v>
      </c>
      <c r="B138" s="1565" t="s">
        <v>1123</v>
      </c>
      <c r="C138" s="1565"/>
      <c r="D138" s="543" t="s">
        <v>1387</v>
      </c>
      <c r="E138" s="1565" t="s">
        <v>1388</v>
      </c>
      <c r="F138" s="1565"/>
      <c r="G138" s="544" t="s">
        <v>1257</v>
      </c>
      <c r="H138" s="545">
        <v>1.58</v>
      </c>
      <c r="I138" s="545">
        <f t="shared" si="3"/>
        <v>1.58</v>
      </c>
      <c r="J138" s="546">
        <f t="shared" si="2"/>
        <v>1.81</v>
      </c>
    </row>
    <row r="139" spans="1:10" ht="39" customHeight="1" x14ac:dyDescent="0.2">
      <c r="A139" s="543" t="s">
        <v>1157</v>
      </c>
      <c r="B139" s="1565" t="s">
        <v>1123</v>
      </c>
      <c r="C139" s="1565"/>
      <c r="D139" s="543" t="s">
        <v>1389</v>
      </c>
      <c r="E139" s="1565" t="s">
        <v>1390</v>
      </c>
      <c r="F139" s="1565"/>
      <c r="G139" s="544" t="s">
        <v>1168</v>
      </c>
      <c r="H139" s="545">
        <v>170</v>
      </c>
      <c r="I139" s="545">
        <f t="shared" si="3"/>
        <v>170</v>
      </c>
      <c r="J139" s="546">
        <f t="shared" si="2"/>
        <v>195.43</v>
      </c>
    </row>
    <row r="140" spans="1:10" ht="39" customHeight="1" x14ac:dyDescent="0.2">
      <c r="A140" s="543" t="s">
        <v>1157</v>
      </c>
      <c r="B140" s="1565" t="s">
        <v>1123</v>
      </c>
      <c r="C140" s="1565"/>
      <c r="D140" s="543" t="s">
        <v>1391</v>
      </c>
      <c r="E140" s="1565" t="s">
        <v>1392</v>
      </c>
      <c r="F140" s="1565"/>
      <c r="G140" s="544" t="s">
        <v>1168</v>
      </c>
      <c r="H140" s="545">
        <v>136.46</v>
      </c>
      <c r="I140" s="545">
        <f t="shared" si="3"/>
        <v>136.46</v>
      </c>
      <c r="J140" s="546">
        <f t="shared" si="2"/>
        <v>156.87</v>
      </c>
    </row>
    <row r="141" spans="1:10" ht="39" customHeight="1" x14ac:dyDescent="0.2">
      <c r="A141" s="543" t="s">
        <v>1157</v>
      </c>
      <c r="B141" s="1565" t="s">
        <v>1123</v>
      </c>
      <c r="C141" s="1565"/>
      <c r="D141" s="543" t="s">
        <v>1393</v>
      </c>
      <c r="E141" s="1565" t="s">
        <v>1394</v>
      </c>
      <c r="F141" s="1565"/>
      <c r="G141" s="544" t="s">
        <v>1168</v>
      </c>
      <c r="H141" s="545">
        <v>160.97</v>
      </c>
      <c r="I141" s="545">
        <f t="shared" si="3"/>
        <v>160.97</v>
      </c>
      <c r="J141" s="546">
        <f t="shared" ref="J141:J204" si="4">TRUNC((H141*($J$11))*(1+$J$8),2)</f>
        <v>185.05</v>
      </c>
    </row>
    <row r="142" spans="1:10" ht="39" customHeight="1" x14ac:dyDescent="0.2">
      <c r="A142" s="543" t="s">
        <v>1157</v>
      </c>
      <c r="B142" s="1565" t="s">
        <v>1116</v>
      </c>
      <c r="C142" s="1565"/>
      <c r="D142" s="543" t="s">
        <v>1395</v>
      </c>
      <c r="E142" s="1565" t="s">
        <v>1396</v>
      </c>
      <c r="F142" s="1565"/>
      <c r="G142" s="544" t="s">
        <v>1191</v>
      </c>
      <c r="H142" s="545">
        <v>10.35</v>
      </c>
      <c r="I142" s="545">
        <f t="shared" ref="I142:I205" si="5">(H142*($J$11))</f>
        <v>10.35</v>
      </c>
      <c r="J142" s="546">
        <f t="shared" si="4"/>
        <v>11.89</v>
      </c>
    </row>
    <row r="143" spans="1:10" ht="39" customHeight="1" x14ac:dyDescent="0.2">
      <c r="A143" s="543" t="s">
        <v>1157</v>
      </c>
      <c r="B143" s="1565" t="s">
        <v>1116</v>
      </c>
      <c r="C143" s="1565"/>
      <c r="D143" s="543" t="s">
        <v>1397</v>
      </c>
      <c r="E143" s="1565" t="s">
        <v>1398</v>
      </c>
      <c r="F143" s="1565"/>
      <c r="G143" s="544" t="s">
        <v>1191</v>
      </c>
      <c r="H143" s="545">
        <v>126.81</v>
      </c>
      <c r="I143" s="545">
        <f t="shared" si="5"/>
        <v>126.81</v>
      </c>
      <c r="J143" s="546">
        <f t="shared" si="4"/>
        <v>145.78</v>
      </c>
    </row>
    <row r="144" spans="1:10" ht="39" customHeight="1" x14ac:dyDescent="0.2">
      <c r="A144" s="543" t="s">
        <v>1157</v>
      </c>
      <c r="B144" s="1565" t="s">
        <v>1116</v>
      </c>
      <c r="C144" s="1565"/>
      <c r="D144" s="543" t="s">
        <v>1399</v>
      </c>
      <c r="E144" s="1565" t="s">
        <v>1400</v>
      </c>
      <c r="F144" s="1565"/>
      <c r="G144" s="544" t="s">
        <v>1191</v>
      </c>
      <c r="H144" s="545">
        <v>153.63</v>
      </c>
      <c r="I144" s="545">
        <f t="shared" si="5"/>
        <v>153.63</v>
      </c>
      <c r="J144" s="546">
        <f t="shared" si="4"/>
        <v>176.61</v>
      </c>
    </row>
    <row r="145" spans="1:10" ht="39" customHeight="1" x14ac:dyDescent="0.2">
      <c r="A145" s="543" t="s">
        <v>1157</v>
      </c>
      <c r="B145" s="1565" t="s">
        <v>1116</v>
      </c>
      <c r="C145" s="1565"/>
      <c r="D145" s="543" t="s">
        <v>1401</v>
      </c>
      <c r="E145" s="1565" t="s">
        <v>1402</v>
      </c>
      <c r="F145" s="1565"/>
      <c r="G145" s="544" t="s">
        <v>1191</v>
      </c>
      <c r="H145" s="545">
        <v>16.48</v>
      </c>
      <c r="I145" s="545">
        <f t="shared" si="5"/>
        <v>16.48</v>
      </c>
      <c r="J145" s="546">
        <f t="shared" si="4"/>
        <v>18.940000000000001</v>
      </c>
    </row>
    <row r="146" spans="1:10" ht="39" customHeight="1" x14ac:dyDescent="0.2">
      <c r="A146" s="543" t="s">
        <v>1157</v>
      </c>
      <c r="B146" s="1565" t="s">
        <v>1116</v>
      </c>
      <c r="C146" s="1565"/>
      <c r="D146" s="543" t="s">
        <v>1403</v>
      </c>
      <c r="E146" s="1565" t="s">
        <v>1404</v>
      </c>
      <c r="F146" s="1565"/>
      <c r="G146" s="544" t="s">
        <v>1191</v>
      </c>
      <c r="H146" s="545">
        <v>188.71</v>
      </c>
      <c r="I146" s="545">
        <f t="shared" si="5"/>
        <v>188.71</v>
      </c>
      <c r="J146" s="546">
        <f t="shared" si="4"/>
        <v>216.94</v>
      </c>
    </row>
    <row r="147" spans="1:10" ht="39" customHeight="1" x14ac:dyDescent="0.2">
      <c r="A147" s="543" t="s">
        <v>1157</v>
      </c>
      <c r="B147" s="1565" t="s">
        <v>1116</v>
      </c>
      <c r="C147" s="1565"/>
      <c r="D147" s="543" t="s">
        <v>1405</v>
      </c>
      <c r="E147" s="1565" t="s">
        <v>1406</v>
      </c>
      <c r="F147" s="1565"/>
      <c r="G147" s="544" t="s">
        <v>1191</v>
      </c>
      <c r="H147" s="545">
        <v>25.55</v>
      </c>
      <c r="I147" s="545">
        <f t="shared" si="5"/>
        <v>25.55</v>
      </c>
      <c r="J147" s="546">
        <f t="shared" si="4"/>
        <v>29.37</v>
      </c>
    </row>
    <row r="148" spans="1:10" ht="39" customHeight="1" x14ac:dyDescent="0.2">
      <c r="A148" s="543" t="s">
        <v>1157</v>
      </c>
      <c r="B148" s="1565" t="s">
        <v>1116</v>
      </c>
      <c r="C148" s="1565"/>
      <c r="D148" s="543" t="s">
        <v>1407</v>
      </c>
      <c r="E148" s="1565" t="s">
        <v>1408</v>
      </c>
      <c r="F148" s="1565"/>
      <c r="G148" s="544" t="s">
        <v>1191</v>
      </c>
      <c r="H148" s="545">
        <v>36.1</v>
      </c>
      <c r="I148" s="545">
        <f t="shared" si="5"/>
        <v>36.1</v>
      </c>
      <c r="J148" s="546">
        <f t="shared" si="4"/>
        <v>41.5</v>
      </c>
    </row>
    <row r="149" spans="1:10" ht="39" customHeight="1" x14ac:dyDescent="0.2">
      <c r="A149" s="543" t="s">
        <v>1157</v>
      </c>
      <c r="B149" s="1565" t="s">
        <v>1116</v>
      </c>
      <c r="C149" s="1565"/>
      <c r="D149" s="543" t="s">
        <v>1409</v>
      </c>
      <c r="E149" s="1565" t="s">
        <v>1410</v>
      </c>
      <c r="F149" s="1565"/>
      <c r="G149" s="544" t="s">
        <v>1191</v>
      </c>
      <c r="H149" s="545">
        <v>53.39</v>
      </c>
      <c r="I149" s="545">
        <f t="shared" si="5"/>
        <v>53.39</v>
      </c>
      <c r="J149" s="546">
        <f t="shared" si="4"/>
        <v>61.37</v>
      </c>
    </row>
    <row r="150" spans="1:10" ht="39" customHeight="1" x14ac:dyDescent="0.2">
      <c r="A150" s="543" t="s">
        <v>1157</v>
      </c>
      <c r="B150" s="1565" t="s">
        <v>1116</v>
      </c>
      <c r="C150" s="1565"/>
      <c r="D150" s="543" t="s">
        <v>1411</v>
      </c>
      <c r="E150" s="1565" t="s">
        <v>1412</v>
      </c>
      <c r="F150" s="1565"/>
      <c r="G150" s="544" t="s">
        <v>1191</v>
      </c>
      <c r="H150" s="545">
        <v>6.31</v>
      </c>
      <c r="I150" s="545">
        <f t="shared" si="5"/>
        <v>6.31</v>
      </c>
      <c r="J150" s="546">
        <f t="shared" si="4"/>
        <v>7.25</v>
      </c>
    </row>
    <row r="151" spans="1:10" ht="39" customHeight="1" x14ac:dyDescent="0.2">
      <c r="A151" s="543" t="s">
        <v>1157</v>
      </c>
      <c r="B151" s="1565" t="s">
        <v>1116</v>
      </c>
      <c r="C151" s="1565"/>
      <c r="D151" s="543" t="s">
        <v>1413</v>
      </c>
      <c r="E151" s="1565" t="s">
        <v>1414</v>
      </c>
      <c r="F151" s="1565"/>
      <c r="G151" s="544" t="s">
        <v>1191</v>
      </c>
      <c r="H151" s="545">
        <v>74.69</v>
      </c>
      <c r="I151" s="545">
        <f t="shared" si="5"/>
        <v>74.69</v>
      </c>
      <c r="J151" s="546">
        <f t="shared" si="4"/>
        <v>85.86</v>
      </c>
    </row>
    <row r="152" spans="1:10" ht="39" customHeight="1" x14ac:dyDescent="0.2">
      <c r="A152" s="543" t="s">
        <v>1157</v>
      </c>
      <c r="B152" s="1565" t="s">
        <v>1116</v>
      </c>
      <c r="C152" s="1565"/>
      <c r="D152" s="543" t="s">
        <v>1415</v>
      </c>
      <c r="E152" s="1565" t="s">
        <v>1416</v>
      </c>
      <c r="F152" s="1565"/>
      <c r="G152" s="544" t="s">
        <v>1191</v>
      </c>
      <c r="H152" s="545">
        <v>96.97</v>
      </c>
      <c r="I152" s="545">
        <f t="shared" si="5"/>
        <v>96.97</v>
      </c>
      <c r="J152" s="546">
        <f t="shared" si="4"/>
        <v>111.47</v>
      </c>
    </row>
    <row r="153" spans="1:10" ht="39" customHeight="1" x14ac:dyDescent="0.2">
      <c r="A153" s="543" t="s">
        <v>1157</v>
      </c>
      <c r="B153" s="1565" t="s">
        <v>1123</v>
      </c>
      <c r="C153" s="1565"/>
      <c r="D153" s="543" t="s">
        <v>1417</v>
      </c>
      <c r="E153" s="1565" t="s">
        <v>1418</v>
      </c>
      <c r="F153" s="1565"/>
      <c r="G153" s="544" t="s">
        <v>1168</v>
      </c>
      <c r="H153" s="545">
        <v>3.24</v>
      </c>
      <c r="I153" s="545">
        <f t="shared" si="5"/>
        <v>3.24</v>
      </c>
      <c r="J153" s="546">
        <f t="shared" si="4"/>
        <v>3.72</v>
      </c>
    </row>
    <row r="154" spans="1:10" ht="39" customHeight="1" x14ac:dyDescent="0.2">
      <c r="A154" s="543" t="s">
        <v>1157</v>
      </c>
      <c r="B154" s="1565" t="s">
        <v>1116</v>
      </c>
      <c r="C154" s="1565"/>
      <c r="D154" s="543" t="s">
        <v>1419</v>
      </c>
      <c r="E154" s="1565" t="s">
        <v>1420</v>
      </c>
      <c r="F154" s="1565"/>
      <c r="G154" s="544" t="s">
        <v>1191</v>
      </c>
      <c r="H154" s="545">
        <v>1.5</v>
      </c>
      <c r="I154" s="545">
        <f t="shared" si="5"/>
        <v>1.5</v>
      </c>
      <c r="J154" s="546">
        <f t="shared" si="4"/>
        <v>1.72</v>
      </c>
    </row>
    <row r="155" spans="1:10" ht="39" customHeight="1" x14ac:dyDescent="0.2">
      <c r="A155" s="543" t="s">
        <v>1157</v>
      </c>
      <c r="B155" s="1565" t="s">
        <v>1116</v>
      </c>
      <c r="C155" s="1565"/>
      <c r="D155" s="543" t="s">
        <v>1421</v>
      </c>
      <c r="E155" s="1565" t="s">
        <v>1422</v>
      </c>
      <c r="F155" s="1565"/>
      <c r="G155" s="544" t="s">
        <v>1191</v>
      </c>
      <c r="H155" s="545">
        <v>10.85</v>
      </c>
      <c r="I155" s="545">
        <f t="shared" si="5"/>
        <v>10.85</v>
      </c>
      <c r="J155" s="546">
        <f t="shared" si="4"/>
        <v>12.47</v>
      </c>
    </row>
    <row r="156" spans="1:10" ht="39" customHeight="1" x14ac:dyDescent="0.2">
      <c r="A156" s="543" t="s">
        <v>1157</v>
      </c>
      <c r="B156" s="1565" t="s">
        <v>1123</v>
      </c>
      <c r="C156" s="1565"/>
      <c r="D156" s="543" t="s">
        <v>1423</v>
      </c>
      <c r="E156" s="1565" t="s">
        <v>1424</v>
      </c>
      <c r="F156" s="1565"/>
      <c r="G156" s="544" t="s">
        <v>1168</v>
      </c>
      <c r="H156" s="545">
        <v>23</v>
      </c>
      <c r="I156" s="545">
        <f t="shared" si="5"/>
        <v>23</v>
      </c>
      <c r="J156" s="546">
        <f t="shared" si="4"/>
        <v>26.44</v>
      </c>
    </row>
    <row r="157" spans="1:10" ht="39" customHeight="1" x14ac:dyDescent="0.2">
      <c r="A157" s="543" t="s">
        <v>1157</v>
      </c>
      <c r="B157" s="1565" t="s">
        <v>1116</v>
      </c>
      <c r="C157" s="1565"/>
      <c r="D157" s="543" t="s">
        <v>1425</v>
      </c>
      <c r="E157" s="1565" t="s">
        <v>1426</v>
      </c>
      <c r="F157" s="1565"/>
      <c r="G157" s="544" t="s">
        <v>1191</v>
      </c>
      <c r="H157" s="545">
        <v>2.38</v>
      </c>
      <c r="I157" s="545">
        <f t="shared" si="5"/>
        <v>2.38</v>
      </c>
      <c r="J157" s="546">
        <f t="shared" si="4"/>
        <v>2.73</v>
      </c>
    </row>
    <row r="158" spans="1:10" ht="39" customHeight="1" x14ac:dyDescent="0.2">
      <c r="A158" s="543" t="s">
        <v>1157</v>
      </c>
      <c r="B158" s="1565" t="s">
        <v>1116</v>
      </c>
      <c r="C158" s="1565"/>
      <c r="D158" s="543" t="s">
        <v>1427</v>
      </c>
      <c r="E158" s="1565" t="s">
        <v>1428</v>
      </c>
      <c r="F158" s="1565"/>
      <c r="G158" s="544" t="s">
        <v>1191</v>
      </c>
      <c r="H158" s="545">
        <v>3.95</v>
      </c>
      <c r="I158" s="545">
        <f t="shared" si="5"/>
        <v>3.95</v>
      </c>
      <c r="J158" s="546">
        <f t="shared" si="4"/>
        <v>4.54</v>
      </c>
    </row>
    <row r="159" spans="1:10" ht="39" customHeight="1" x14ac:dyDescent="0.2">
      <c r="A159" s="543" t="s">
        <v>1157</v>
      </c>
      <c r="B159" s="1565" t="s">
        <v>1123</v>
      </c>
      <c r="C159" s="1565"/>
      <c r="D159" s="543" t="s">
        <v>1429</v>
      </c>
      <c r="E159" s="1565" t="s">
        <v>1430</v>
      </c>
      <c r="F159" s="1565"/>
      <c r="G159" s="544" t="s">
        <v>1168</v>
      </c>
      <c r="H159" s="545">
        <v>16.559999999999999</v>
      </c>
      <c r="I159" s="545">
        <f t="shared" si="5"/>
        <v>16.559999999999999</v>
      </c>
      <c r="J159" s="546">
        <f t="shared" si="4"/>
        <v>19.03</v>
      </c>
    </row>
    <row r="160" spans="1:10" ht="39" customHeight="1" x14ac:dyDescent="0.2">
      <c r="A160" s="543" t="s">
        <v>1157</v>
      </c>
      <c r="B160" s="1565" t="s">
        <v>1116</v>
      </c>
      <c r="C160" s="1565"/>
      <c r="D160" s="543" t="s">
        <v>1431</v>
      </c>
      <c r="E160" s="1565" t="s">
        <v>1432</v>
      </c>
      <c r="F160" s="1565"/>
      <c r="G160" s="544" t="s">
        <v>1191</v>
      </c>
      <c r="H160" s="545">
        <v>5.68</v>
      </c>
      <c r="I160" s="545">
        <f t="shared" si="5"/>
        <v>5.68</v>
      </c>
      <c r="J160" s="546">
        <f t="shared" si="4"/>
        <v>6.52</v>
      </c>
    </row>
    <row r="161" spans="1:10" ht="39" customHeight="1" x14ac:dyDescent="0.2">
      <c r="A161" s="543" t="s">
        <v>1157</v>
      </c>
      <c r="B161" s="1565" t="s">
        <v>1116</v>
      </c>
      <c r="C161" s="1565"/>
      <c r="D161" s="543" t="s">
        <v>1433</v>
      </c>
      <c r="E161" s="1565" t="s">
        <v>1434</v>
      </c>
      <c r="F161" s="1565"/>
      <c r="G161" s="544" t="s">
        <v>1191</v>
      </c>
      <c r="H161" s="545">
        <v>11.22</v>
      </c>
      <c r="I161" s="545">
        <f t="shared" si="5"/>
        <v>11.22</v>
      </c>
      <c r="J161" s="546">
        <f t="shared" si="4"/>
        <v>12.89</v>
      </c>
    </row>
    <row r="162" spans="1:10" ht="39" customHeight="1" x14ac:dyDescent="0.2">
      <c r="A162" s="543" t="s">
        <v>1157</v>
      </c>
      <c r="B162" s="1565" t="s">
        <v>1116</v>
      </c>
      <c r="C162" s="1565"/>
      <c r="D162" s="543" t="s">
        <v>1435</v>
      </c>
      <c r="E162" s="1565" t="s">
        <v>1436</v>
      </c>
      <c r="F162" s="1565"/>
      <c r="G162" s="544" t="s">
        <v>1191</v>
      </c>
      <c r="H162" s="545">
        <v>39.4</v>
      </c>
      <c r="I162" s="545">
        <f t="shared" si="5"/>
        <v>39.4</v>
      </c>
      <c r="J162" s="546">
        <f t="shared" si="4"/>
        <v>45.29</v>
      </c>
    </row>
    <row r="163" spans="1:10" ht="39" customHeight="1" x14ac:dyDescent="0.2">
      <c r="A163" s="543" t="s">
        <v>1157</v>
      </c>
      <c r="B163" s="1565" t="s">
        <v>1116</v>
      </c>
      <c r="C163" s="1565"/>
      <c r="D163" s="543" t="s">
        <v>1437</v>
      </c>
      <c r="E163" s="1565" t="s">
        <v>1438</v>
      </c>
      <c r="F163" s="1565"/>
      <c r="G163" s="544" t="s">
        <v>1191</v>
      </c>
      <c r="H163" s="545">
        <v>56.13</v>
      </c>
      <c r="I163" s="545">
        <f t="shared" si="5"/>
        <v>56.13</v>
      </c>
      <c r="J163" s="546">
        <f t="shared" si="4"/>
        <v>64.52</v>
      </c>
    </row>
    <row r="164" spans="1:10" ht="39" customHeight="1" x14ac:dyDescent="0.2">
      <c r="A164" s="543" t="s">
        <v>1157</v>
      </c>
      <c r="B164" s="1565" t="s">
        <v>1188</v>
      </c>
      <c r="C164" s="1565"/>
      <c r="D164" s="543" t="s">
        <v>1439</v>
      </c>
      <c r="E164" s="1565" t="s">
        <v>1440</v>
      </c>
      <c r="F164" s="1565"/>
      <c r="G164" s="544" t="s">
        <v>646</v>
      </c>
      <c r="H164" s="545">
        <v>114.9</v>
      </c>
      <c r="I164" s="545">
        <f t="shared" si="5"/>
        <v>114.9</v>
      </c>
      <c r="J164" s="546">
        <f t="shared" si="4"/>
        <v>132.08000000000001</v>
      </c>
    </row>
    <row r="165" spans="1:10" ht="39" customHeight="1" x14ac:dyDescent="0.2">
      <c r="A165" s="543" t="s">
        <v>1157</v>
      </c>
      <c r="B165" s="1565" t="s">
        <v>1188</v>
      </c>
      <c r="C165" s="1565"/>
      <c r="D165" s="543" t="s">
        <v>1441</v>
      </c>
      <c r="E165" s="1565" t="s">
        <v>1442</v>
      </c>
      <c r="F165" s="1565"/>
      <c r="G165" s="544" t="s">
        <v>646</v>
      </c>
      <c r="H165" s="545">
        <v>123.32</v>
      </c>
      <c r="I165" s="545">
        <f t="shared" si="5"/>
        <v>123.32</v>
      </c>
      <c r="J165" s="546">
        <f t="shared" si="4"/>
        <v>141.76</v>
      </c>
    </row>
    <row r="166" spans="1:10" ht="39" customHeight="1" x14ac:dyDescent="0.2">
      <c r="A166" s="543" t="s">
        <v>1157</v>
      </c>
      <c r="B166" s="1565" t="s">
        <v>1123</v>
      </c>
      <c r="C166" s="1565"/>
      <c r="D166" s="543" t="s">
        <v>1443</v>
      </c>
      <c r="E166" s="1565" t="s">
        <v>1444</v>
      </c>
      <c r="F166" s="1565"/>
      <c r="G166" s="544" t="s">
        <v>1168</v>
      </c>
      <c r="H166" s="545">
        <v>167.94</v>
      </c>
      <c r="I166" s="545">
        <f t="shared" si="5"/>
        <v>167.94</v>
      </c>
      <c r="J166" s="546">
        <f t="shared" si="4"/>
        <v>193.06</v>
      </c>
    </row>
    <row r="167" spans="1:10" ht="39" customHeight="1" x14ac:dyDescent="0.2">
      <c r="A167" s="543" t="s">
        <v>1157</v>
      </c>
      <c r="B167" s="1565" t="s">
        <v>1116</v>
      </c>
      <c r="C167" s="1565"/>
      <c r="D167" s="543" t="s">
        <v>1445</v>
      </c>
      <c r="E167" s="1565" t="s">
        <v>1446</v>
      </c>
      <c r="F167" s="1565"/>
      <c r="G167" s="544" t="s">
        <v>646</v>
      </c>
      <c r="H167" s="545">
        <v>140.80000000000001</v>
      </c>
      <c r="I167" s="545">
        <f t="shared" si="5"/>
        <v>140.80000000000001</v>
      </c>
      <c r="J167" s="546">
        <f t="shared" si="4"/>
        <v>161.86000000000001</v>
      </c>
    </row>
    <row r="168" spans="1:10" ht="39" customHeight="1" x14ac:dyDescent="0.2">
      <c r="A168" s="543" t="s">
        <v>1157</v>
      </c>
      <c r="B168" s="1565" t="s">
        <v>1158</v>
      </c>
      <c r="C168" s="1565"/>
      <c r="D168" s="543" t="s">
        <v>1447</v>
      </c>
      <c r="E168" s="1565" t="s">
        <v>1448</v>
      </c>
      <c r="F168" s="1565"/>
      <c r="G168" s="544" t="s">
        <v>1168</v>
      </c>
      <c r="H168" s="545">
        <v>139.78</v>
      </c>
      <c r="I168" s="545">
        <f t="shared" si="5"/>
        <v>139.78</v>
      </c>
      <c r="J168" s="546">
        <f t="shared" si="4"/>
        <v>160.69</v>
      </c>
    </row>
    <row r="169" spans="1:10" ht="39" customHeight="1" x14ac:dyDescent="0.2">
      <c r="A169" s="543" t="s">
        <v>1157</v>
      </c>
      <c r="B169" s="1565" t="s">
        <v>1123</v>
      </c>
      <c r="C169" s="1565"/>
      <c r="D169" s="543" t="s">
        <v>1449</v>
      </c>
      <c r="E169" s="1565" t="s">
        <v>1450</v>
      </c>
      <c r="F169" s="1565"/>
      <c r="G169" s="544" t="s">
        <v>1243</v>
      </c>
      <c r="H169" s="545">
        <v>1.5</v>
      </c>
      <c r="I169" s="545">
        <f t="shared" si="5"/>
        <v>1.5</v>
      </c>
      <c r="J169" s="546">
        <f t="shared" si="4"/>
        <v>1.72</v>
      </c>
    </row>
    <row r="170" spans="1:10" ht="39" customHeight="1" x14ac:dyDescent="0.2">
      <c r="A170" s="543" t="s">
        <v>1157</v>
      </c>
      <c r="B170" s="1565" t="s">
        <v>1116</v>
      </c>
      <c r="C170" s="1565"/>
      <c r="D170" s="543" t="s">
        <v>1451</v>
      </c>
      <c r="E170" s="1565" t="s">
        <v>1452</v>
      </c>
      <c r="F170" s="1565"/>
      <c r="G170" s="544" t="s">
        <v>646</v>
      </c>
      <c r="H170" s="545">
        <v>2.89</v>
      </c>
      <c r="I170" s="545">
        <f t="shared" si="5"/>
        <v>2.89</v>
      </c>
      <c r="J170" s="546">
        <f t="shared" si="4"/>
        <v>3.32</v>
      </c>
    </row>
    <row r="171" spans="1:10" ht="39" customHeight="1" x14ac:dyDescent="0.2">
      <c r="A171" s="543" t="s">
        <v>1157</v>
      </c>
      <c r="B171" s="1565" t="s">
        <v>1116</v>
      </c>
      <c r="C171" s="1565"/>
      <c r="D171" s="543" t="s">
        <v>1453</v>
      </c>
      <c r="E171" s="1565" t="s">
        <v>1454</v>
      </c>
      <c r="F171" s="1565"/>
      <c r="G171" s="544" t="s">
        <v>646</v>
      </c>
      <c r="H171" s="545">
        <v>5.75</v>
      </c>
      <c r="I171" s="545">
        <f t="shared" si="5"/>
        <v>5.75</v>
      </c>
      <c r="J171" s="546">
        <f t="shared" si="4"/>
        <v>6.61</v>
      </c>
    </row>
    <row r="172" spans="1:10" ht="39" customHeight="1" x14ac:dyDescent="0.2">
      <c r="A172" s="543" t="s">
        <v>1157</v>
      </c>
      <c r="B172" s="1565" t="s">
        <v>1123</v>
      </c>
      <c r="C172" s="1565"/>
      <c r="D172" s="543" t="s">
        <v>1455</v>
      </c>
      <c r="E172" s="1565" t="s">
        <v>1456</v>
      </c>
      <c r="F172" s="1565"/>
      <c r="G172" s="544" t="s">
        <v>1243</v>
      </c>
      <c r="H172" s="545">
        <v>23.5</v>
      </c>
      <c r="I172" s="545">
        <f t="shared" si="5"/>
        <v>23.5</v>
      </c>
      <c r="J172" s="546">
        <f t="shared" si="4"/>
        <v>27.01</v>
      </c>
    </row>
    <row r="173" spans="1:10" ht="39" customHeight="1" x14ac:dyDescent="0.2">
      <c r="A173" s="543" t="s">
        <v>1157</v>
      </c>
      <c r="B173" s="1565" t="s">
        <v>1188</v>
      </c>
      <c r="C173" s="1565"/>
      <c r="D173" s="543" t="s">
        <v>1457</v>
      </c>
      <c r="E173" s="1565" t="s">
        <v>1458</v>
      </c>
      <c r="F173" s="1565"/>
      <c r="G173" s="544" t="s">
        <v>646</v>
      </c>
      <c r="H173" s="545">
        <v>18</v>
      </c>
      <c r="I173" s="545">
        <f t="shared" si="5"/>
        <v>18</v>
      </c>
      <c r="J173" s="546">
        <f t="shared" si="4"/>
        <v>20.69</v>
      </c>
    </row>
    <row r="174" spans="1:10" ht="39" customHeight="1" x14ac:dyDescent="0.2">
      <c r="A174" s="543" t="s">
        <v>1157</v>
      </c>
      <c r="B174" s="1565" t="s">
        <v>1116</v>
      </c>
      <c r="C174" s="1565"/>
      <c r="D174" s="543" t="s">
        <v>1459</v>
      </c>
      <c r="E174" s="1565" t="s">
        <v>1460</v>
      </c>
      <c r="F174" s="1565"/>
      <c r="G174" s="544" t="s">
        <v>1181</v>
      </c>
      <c r="H174" s="545">
        <v>1.21</v>
      </c>
      <c r="I174" s="545">
        <f t="shared" si="5"/>
        <v>1.21</v>
      </c>
      <c r="J174" s="546">
        <f t="shared" si="4"/>
        <v>1.39</v>
      </c>
    </row>
    <row r="175" spans="1:10" ht="39" customHeight="1" x14ac:dyDescent="0.2">
      <c r="A175" s="543" t="s">
        <v>1157</v>
      </c>
      <c r="B175" s="1565" t="s">
        <v>1116</v>
      </c>
      <c r="C175" s="1565"/>
      <c r="D175" s="543" t="s">
        <v>1461</v>
      </c>
      <c r="E175" s="1565" t="s">
        <v>1462</v>
      </c>
      <c r="F175" s="1565"/>
      <c r="G175" s="544" t="s">
        <v>1191</v>
      </c>
      <c r="H175" s="545">
        <v>8.02</v>
      </c>
      <c r="I175" s="545">
        <f t="shared" si="5"/>
        <v>8.02</v>
      </c>
      <c r="J175" s="546">
        <f t="shared" si="4"/>
        <v>9.2100000000000009</v>
      </c>
    </row>
    <row r="176" spans="1:10" ht="39" customHeight="1" x14ac:dyDescent="0.2">
      <c r="A176" s="543" t="s">
        <v>1157</v>
      </c>
      <c r="B176" s="1565" t="s">
        <v>1116</v>
      </c>
      <c r="C176" s="1565"/>
      <c r="D176" s="543" t="s">
        <v>1463</v>
      </c>
      <c r="E176" s="1565" t="s">
        <v>1464</v>
      </c>
      <c r="F176" s="1565"/>
      <c r="G176" s="544" t="s">
        <v>646</v>
      </c>
      <c r="H176" s="545">
        <v>2.11</v>
      </c>
      <c r="I176" s="545">
        <f t="shared" si="5"/>
        <v>2.11</v>
      </c>
      <c r="J176" s="546">
        <f t="shared" si="4"/>
        <v>2.42</v>
      </c>
    </row>
    <row r="177" spans="1:10" ht="39" customHeight="1" x14ac:dyDescent="0.2">
      <c r="A177" s="543" t="s">
        <v>1157</v>
      </c>
      <c r="B177" s="1565" t="s">
        <v>1116</v>
      </c>
      <c r="C177" s="1565"/>
      <c r="D177" s="543" t="s">
        <v>1465</v>
      </c>
      <c r="E177" s="1565" t="s">
        <v>1466</v>
      </c>
      <c r="F177" s="1565"/>
      <c r="G177" s="544" t="s">
        <v>646</v>
      </c>
      <c r="H177" s="545">
        <v>3.74</v>
      </c>
      <c r="I177" s="545">
        <f t="shared" si="5"/>
        <v>3.74</v>
      </c>
      <c r="J177" s="546">
        <f t="shared" si="4"/>
        <v>4.29</v>
      </c>
    </row>
    <row r="178" spans="1:10" ht="39" customHeight="1" x14ac:dyDescent="0.2">
      <c r="A178" s="543" t="s">
        <v>1157</v>
      </c>
      <c r="B178" s="1565" t="s">
        <v>1116</v>
      </c>
      <c r="C178" s="1565"/>
      <c r="D178" s="543" t="s">
        <v>1467</v>
      </c>
      <c r="E178" s="1565" t="s">
        <v>1468</v>
      </c>
      <c r="F178" s="1565"/>
      <c r="G178" s="544" t="s">
        <v>1191</v>
      </c>
      <c r="H178" s="545">
        <v>34.729999999999997</v>
      </c>
      <c r="I178" s="545">
        <f t="shared" si="5"/>
        <v>34.729999999999997</v>
      </c>
      <c r="J178" s="546">
        <f t="shared" si="4"/>
        <v>39.92</v>
      </c>
    </row>
    <row r="179" spans="1:10" ht="39" customHeight="1" x14ac:dyDescent="0.2">
      <c r="A179" s="543" t="s">
        <v>1157</v>
      </c>
      <c r="B179" s="1565" t="s">
        <v>1116</v>
      </c>
      <c r="C179" s="1565"/>
      <c r="D179" s="543" t="s">
        <v>1469</v>
      </c>
      <c r="E179" s="1565" t="s">
        <v>1470</v>
      </c>
      <c r="F179" s="1565"/>
      <c r="G179" s="544" t="s">
        <v>1191</v>
      </c>
      <c r="H179" s="545">
        <v>92.87</v>
      </c>
      <c r="I179" s="545">
        <f t="shared" si="5"/>
        <v>92.87</v>
      </c>
      <c r="J179" s="546">
        <f t="shared" si="4"/>
        <v>106.76</v>
      </c>
    </row>
    <row r="180" spans="1:10" ht="39" customHeight="1" x14ac:dyDescent="0.2">
      <c r="A180" s="543" t="s">
        <v>1157</v>
      </c>
      <c r="B180" s="1565" t="s">
        <v>1116</v>
      </c>
      <c r="C180" s="1565"/>
      <c r="D180" s="543" t="s">
        <v>1471</v>
      </c>
      <c r="E180" s="1565" t="s">
        <v>1472</v>
      </c>
      <c r="F180" s="1565"/>
      <c r="G180" s="544" t="s">
        <v>1191</v>
      </c>
      <c r="H180" s="545">
        <v>11.82</v>
      </c>
      <c r="I180" s="545">
        <f t="shared" si="5"/>
        <v>11.82</v>
      </c>
      <c r="J180" s="546">
        <f t="shared" si="4"/>
        <v>13.58</v>
      </c>
    </row>
    <row r="181" spans="1:10" ht="39" customHeight="1" x14ac:dyDescent="0.2">
      <c r="A181" s="543" t="s">
        <v>1157</v>
      </c>
      <c r="B181" s="1565" t="s">
        <v>1123</v>
      </c>
      <c r="C181" s="1565"/>
      <c r="D181" s="543" t="s">
        <v>1473</v>
      </c>
      <c r="E181" s="1565" t="s">
        <v>1474</v>
      </c>
      <c r="F181" s="1565"/>
      <c r="G181" s="544" t="s">
        <v>1168</v>
      </c>
      <c r="H181" s="545">
        <v>172.14</v>
      </c>
      <c r="I181" s="545">
        <f t="shared" si="5"/>
        <v>172.14</v>
      </c>
      <c r="J181" s="546">
        <f t="shared" si="4"/>
        <v>197.89</v>
      </c>
    </row>
    <row r="182" spans="1:10" ht="39" customHeight="1" x14ac:dyDescent="0.2">
      <c r="A182" s="543" t="s">
        <v>1157</v>
      </c>
      <c r="B182" s="1565" t="s">
        <v>1123</v>
      </c>
      <c r="C182" s="1565"/>
      <c r="D182" s="543" t="s">
        <v>1475</v>
      </c>
      <c r="E182" s="1565" t="s">
        <v>1476</v>
      </c>
      <c r="F182" s="1565"/>
      <c r="G182" s="544" t="s">
        <v>1168</v>
      </c>
      <c r="H182" s="545">
        <v>205</v>
      </c>
      <c r="I182" s="545">
        <f t="shared" si="5"/>
        <v>205</v>
      </c>
      <c r="J182" s="546">
        <f t="shared" si="4"/>
        <v>235.66</v>
      </c>
    </row>
    <row r="183" spans="1:10" ht="39" customHeight="1" x14ac:dyDescent="0.2">
      <c r="A183" s="543" t="s">
        <v>1157</v>
      </c>
      <c r="B183" s="1565" t="s">
        <v>1123</v>
      </c>
      <c r="C183" s="1565"/>
      <c r="D183" s="543" t="s">
        <v>1477</v>
      </c>
      <c r="E183" s="1565" t="s">
        <v>1478</v>
      </c>
      <c r="F183" s="1565"/>
      <c r="G183" s="544" t="s">
        <v>1168</v>
      </c>
      <c r="H183" s="545">
        <v>177.9</v>
      </c>
      <c r="I183" s="545">
        <f t="shared" si="5"/>
        <v>177.9</v>
      </c>
      <c r="J183" s="546">
        <f t="shared" si="4"/>
        <v>204.51</v>
      </c>
    </row>
    <row r="184" spans="1:10" ht="39" customHeight="1" x14ac:dyDescent="0.2">
      <c r="A184" s="543" t="s">
        <v>1157</v>
      </c>
      <c r="B184" s="1565" t="s">
        <v>1123</v>
      </c>
      <c r="C184" s="1565"/>
      <c r="D184" s="543" t="s">
        <v>1479</v>
      </c>
      <c r="E184" s="1565" t="s">
        <v>1480</v>
      </c>
      <c r="F184" s="1565"/>
      <c r="G184" s="544" t="s">
        <v>1168</v>
      </c>
      <c r="H184" s="545">
        <v>37.4</v>
      </c>
      <c r="I184" s="545">
        <f t="shared" si="5"/>
        <v>37.4</v>
      </c>
      <c r="J184" s="546">
        <f t="shared" si="4"/>
        <v>42.99</v>
      </c>
    </row>
    <row r="185" spans="1:10" ht="39" customHeight="1" x14ac:dyDescent="0.2">
      <c r="A185" s="543" t="s">
        <v>1157</v>
      </c>
      <c r="B185" s="1565" t="s">
        <v>1116</v>
      </c>
      <c r="C185" s="1565"/>
      <c r="D185" s="543" t="s">
        <v>1481</v>
      </c>
      <c r="E185" s="1565" t="s">
        <v>1482</v>
      </c>
      <c r="F185" s="1565"/>
      <c r="G185" s="544" t="s">
        <v>646</v>
      </c>
      <c r="H185" s="545">
        <v>9.5</v>
      </c>
      <c r="I185" s="545">
        <f t="shared" si="5"/>
        <v>9.5</v>
      </c>
      <c r="J185" s="546">
        <f t="shared" si="4"/>
        <v>10.92</v>
      </c>
    </row>
    <row r="186" spans="1:10" ht="39" customHeight="1" x14ac:dyDescent="0.2">
      <c r="A186" s="543" t="s">
        <v>1157</v>
      </c>
      <c r="B186" s="1565" t="s">
        <v>1116</v>
      </c>
      <c r="C186" s="1565"/>
      <c r="D186" s="543" t="s">
        <v>1483</v>
      </c>
      <c r="E186" s="1565" t="s">
        <v>1484</v>
      </c>
      <c r="F186" s="1565"/>
      <c r="G186" s="544" t="s">
        <v>646</v>
      </c>
      <c r="H186" s="545">
        <v>120.93</v>
      </c>
      <c r="I186" s="545">
        <f t="shared" si="5"/>
        <v>120.93</v>
      </c>
      <c r="J186" s="546">
        <f t="shared" si="4"/>
        <v>139.02000000000001</v>
      </c>
    </row>
    <row r="187" spans="1:10" ht="39" customHeight="1" x14ac:dyDescent="0.2">
      <c r="A187" s="543" t="s">
        <v>1157</v>
      </c>
      <c r="B187" s="1565" t="s">
        <v>1116</v>
      </c>
      <c r="C187" s="1565"/>
      <c r="D187" s="543" t="s">
        <v>1485</v>
      </c>
      <c r="E187" s="1565" t="s">
        <v>1486</v>
      </c>
      <c r="F187" s="1565"/>
      <c r="G187" s="544" t="s">
        <v>1161</v>
      </c>
      <c r="H187" s="545">
        <v>72.78</v>
      </c>
      <c r="I187" s="545">
        <f t="shared" si="5"/>
        <v>72.78</v>
      </c>
      <c r="J187" s="546">
        <f t="shared" si="4"/>
        <v>83.66</v>
      </c>
    </row>
    <row r="188" spans="1:10" ht="39" customHeight="1" x14ac:dyDescent="0.2">
      <c r="A188" s="543" t="s">
        <v>1157</v>
      </c>
      <c r="B188" s="1565" t="s">
        <v>1116</v>
      </c>
      <c r="C188" s="1565"/>
      <c r="D188" s="543" t="s">
        <v>1487</v>
      </c>
      <c r="E188" s="1565" t="s">
        <v>1488</v>
      </c>
      <c r="F188" s="1565"/>
      <c r="G188" s="544" t="s">
        <v>1161</v>
      </c>
      <c r="H188" s="545">
        <v>188</v>
      </c>
      <c r="I188" s="545">
        <f t="shared" si="5"/>
        <v>188</v>
      </c>
      <c r="J188" s="546">
        <f t="shared" si="4"/>
        <v>216.12</v>
      </c>
    </row>
    <row r="189" spans="1:10" ht="39" customHeight="1" x14ac:dyDescent="0.2">
      <c r="A189" s="543" t="s">
        <v>1157</v>
      </c>
      <c r="B189" s="1565" t="s">
        <v>1188</v>
      </c>
      <c r="C189" s="1565"/>
      <c r="D189" s="543" t="s">
        <v>1489</v>
      </c>
      <c r="E189" s="1565" t="s">
        <v>1490</v>
      </c>
      <c r="F189" s="1565"/>
      <c r="G189" s="544" t="s">
        <v>646</v>
      </c>
      <c r="H189" s="545">
        <v>24.36</v>
      </c>
      <c r="I189" s="545">
        <f t="shared" si="5"/>
        <v>24.36</v>
      </c>
      <c r="J189" s="546">
        <f t="shared" si="4"/>
        <v>28</v>
      </c>
    </row>
    <row r="190" spans="1:10" ht="39" customHeight="1" x14ac:dyDescent="0.2">
      <c r="A190" s="543" t="s">
        <v>1157</v>
      </c>
      <c r="B190" s="1565" t="s">
        <v>1116</v>
      </c>
      <c r="C190" s="1565"/>
      <c r="D190" s="543" t="s">
        <v>1491</v>
      </c>
      <c r="E190" s="1565" t="s">
        <v>1492</v>
      </c>
      <c r="F190" s="1565"/>
      <c r="G190" s="544" t="s">
        <v>1161</v>
      </c>
      <c r="H190" s="545">
        <v>52.24</v>
      </c>
      <c r="I190" s="545">
        <f t="shared" si="5"/>
        <v>52.24</v>
      </c>
      <c r="J190" s="546">
        <f t="shared" si="4"/>
        <v>60.05</v>
      </c>
    </row>
    <row r="191" spans="1:10" ht="39" customHeight="1" x14ac:dyDescent="0.2">
      <c r="A191" s="543" t="s">
        <v>1157</v>
      </c>
      <c r="B191" s="1565" t="s">
        <v>1116</v>
      </c>
      <c r="C191" s="1565"/>
      <c r="D191" s="543" t="s">
        <v>1493</v>
      </c>
      <c r="E191" s="1565" t="s">
        <v>1494</v>
      </c>
      <c r="F191" s="1565"/>
      <c r="G191" s="544" t="s">
        <v>1161</v>
      </c>
      <c r="H191" s="545">
        <v>39.520000000000003</v>
      </c>
      <c r="I191" s="545">
        <f t="shared" si="5"/>
        <v>39.520000000000003</v>
      </c>
      <c r="J191" s="546">
        <f t="shared" si="4"/>
        <v>45.43</v>
      </c>
    </row>
    <row r="192" spans="1:10" ht="39" customHeight="1" x14ac:dyDescent="0.2">
      <c r="A192" s="543" t="s">
        <v>1157</v>
      </c>
      <c r="B192" s="1565" t="s">
        <v>1188</v>
      </c>
      <c r="C192" s="1565"/>
      <c r="D192" s="543" t="s">
        <v>1495</v>
      </c>
      <c r="E192" s="1565" t="s">
        <v>1496</v>
      </c>
      <c r="F192" s="1565"/>
      <c r="G192" s="544" t="s">
        <v>646</v>
      </c>
      <c r="H192" s="545">
        <v>31.9</v>
      </c>
      <c r="I192" s="545">
        <f t="shared" si="5"/>
        <v>31.9</v>
      </c>
      <c r="J192" s="546">
        <f t="shared" si="4"/>
        <v>36.67</v>
      </c>
    </row>
    <row r="193" spans="1:10" ht="39" customHeight="1" x14ac:dyDescent="0.2">
      <c r="A193" s="543" t="s">
        <v>1157</v>
      </c>
      <c r="B193" s="1565" t="s">
        <v>1116</v>
      </c>
      <c r="C193" s="1565"/>
      <c r="D193" s="543" t="s">
        <v>1497</v>
      </c>
      <c r="E193" s="1565" t="s">
        <v>1498</v>
      </c>
      <c r="F193" s="1565"/>
      <c r="G193" s="544" t="s">
        <v>1161</v>
      </c>
      <c r="H193" s="545">
        <v>41.92</v>
      </c>
      <c r="I193" s="545">
        <f t="shared" si="5"/>
        <v>41.92</v>
      </c>
      <c r="J193" s="546">
        <f t="shared" si="4"/>
        <v>48.19</v>
      </c>
    </row>
    <row r="194" spans="1:10" ht="39" customHeight="1" x14ac:dyDescent="0.2">
      <c r="A194" s="543" t="s">
        <v>1157</v>
      </c>
      <c r="B194" s="1565" t="s">
        <v>1116</v>
      </c>
      <c r="C194" s="1565"/>
      <c r="D194" s="543" t="s">
        <v>1499</v>
      </c>
      <c r="E194" s="1565" t="s">
        <v>1500</v>
      </c>
      <c r="F194" s="1565"/>
      <c r="G194" s="544" t="s">
        <v>1161</v>
      </c>
      <c r="H194" s="545">
        <v>40.369999999999997</v>
      </c>
      <c r="I194" s="545">
        <f t="shared" si="5"/>
        <v>40.369999999999997</v>
      </c>
      <c r="J194" s="546">
        <f t="shared" si="4"/>
        <v>46.4</v>
      </c>
    </row>
    <row r="195" spans="1:10" ht="39" customHeight="1" x14ac:dyDescent="0.2">
      <c r="A195" s="543" t="s">
        <v>1157</v>
      </c>
      <c r="B195" s="1565" t="s">
        <v>1116</v>
      </c>
      <c r="C195" s="1565"/>
      <c r="D195" s="543" t="s">
        <v>1501</v>
      </c>
      <c r="E195" s="1565" t="s">
        <v>1502</v>
      </c>
      <c r="F195" s="1565"/>
      <c r="G195" s="544" t="s">
        <v>1161</v>
      </c>
      <c r="H195" s="545">
        <v>88.3</v>
      </c>
      <c r="I195" s="545">
        <f t="shared" si="5"/>
        <v>88.3</v>
      </c>
      <c r="J195" s="546">
        <f t="shared" si="4"/>
        <v>101.5</v>
      </c>
    </row>
    <row r="196" spans="1:10" ht="39" customHeight="1" x14ac:dyDescent="0.2">
      <c r="A196" s="543" t="s">
        <v>1157</v>
      </c>
      <c r="B196" s="1565" t="s">
        <v>1116</v>
      </c>
      <c r="C196" s="1565"/>
      <c r="D196" s="543" t="s">
        <v>1503</v>
      </c>
      <c r="E196" s="1565" t="s">
        <v>1504</v>
      </c>
      <c r="F196" s="1565"/>
      <c r="G196" s="544" t="s">
        <v>1161</v>
      </c>
      <c r="H196" s="545">
        <v>52.14</v>
      </c>
      <c r="I196" s="545">
        <f t="shared" si="5"/>
        <v>52.14</v>
      </c>
      <c r="J196" s="546">
        <f t="shared" si="4"/>
        <v>59.94</v>
      </c>
    </row>
    <row r="197" spans="1:10" ht="39" customHeight="1" x14ac:dyDescent="0.2">
      <c r="A197" s="543" t="s">
        <v>1157</v>
      </c>
      <c r="B197" s="1565" t="s">
        <v>1188</v>
      </c>
      <c r="C197" s="1565"/>
      <c r="D197" s="543" t="s">
        <v>1505</v>
      </c>
      <c r="E197" s="1565" t="s">
        <v>1506</v>
      </c>
      <c r="F197" s="1565"/>
      <c r="G197" s="544" t="s">
        <v>646</v>
      </c>
      <c r="H197" s="545">
        <v>182.03</v>
      </c>
      <c r="I197" s="545">
        <f t="shared" si="5"/>
        <v>182.03</v>
      </c>
      <c r="J197" s="546">
        <f t="shared" si="4"/>
        <v>209.26</v>
      </c>
    </row>
    <row r="198" spans="1:10" ht="39" customHeight="1" x14ac:dyDescent="0.2">
      <c r="A198" s="543" t="s">
        <v>1157</v>
      </c>
      <c r="B198" s="1565" t="s">
        <v>1188</v>
      </c>
      <c r="C198" s="1565"/>
      <c r="D198" s="543" t="s">
        <v>1507</v>
      </c>
      <c r="E198" s="1565" t="s">
        <v>1508</v>
      </c>
      <c r="F198" s="1565"/>
      <c r="G198" s="544" t="s">
        <v>1181</v>
      </c>
      <c r="H198" s="545">
        <v>17.57</v>
      </c>
      <c r="I198" s="545">
        <f t="shared" si="5"/>
        <v>17.57</v>
      </c>
      <c r="J198" s="546">
        <f t="shared" si="4"/>
        <v>20.190000000000001</v>
      </c>
    </row>
    <row r="199" spans="1:10" ht="39" customHeight="1" x14ac:dyDescent="0.2">
      <c r="A199" s="543" t="s">
        <v>1157</v>
      </c>
      <c r="B199" s="1565" t="s">
        <v>1188</v>
      </c>
      <c r="C199" s="1565"/>
      <c r="D199" s="543" t="s">
        <v>1509</v>
      </c>
      <c r="E199" s="1565" t="s">
        <v>1510</v>
      </c>
      <c r="F199" s="1565"/>
      <c r="G199" s="544" t="s">
        <v>646</v>
      </c>
      <c r="H199" s="545">
        <v>1.9</v>
      </c>
      <c r="I199" s="545">
        <f t="shared" si="5"/>
        <v>1.9</v>
      </c>
      <c r="J199" s="546">
        <f t="shared" si="4"/>
        <v>2.1800000000000002</v>
      </c>
    </row>
    <row r="200" spans="1:10" ht="39" customHeight="1" x14ac:dyDescent="0.2">
      <c r="A200" s="543" t="s">
        <v>1157</v>
      </c>
      <c r="B200" s="1565" t="s">
        <v>1188</v>
      </c>
      <c r="C200" s="1565"/>
      <c r="D200" s="543" t="s">
        <v>1511</v>
      </c>
      <c r="E200" s="1565" t="s">
        <v>1512</v>
      </c>
      <c r="F200" s="1565"/>
      <c r="G200" s="544" t="s">
        <v>646</v>
      </c>
      <c r="H200" s="545">
        <v>419.45</v>
      </c>
      <c r="I200" s="545">
        <f t="shared" si="5"/>
        <v>419.45</v>
      </c>
      <c r="J200" s="546">
        <f t="shared" si="4"/>
        <v>482.19</v>
      </c>
    </row>
    <row r="201" spans="1:10" ht="39" customHeight="1" x14ac:dyDescent="0.2">
      <c r="A201" s="543" t="s">
        <v>1157</v>
      </c>
      <c r="B201" s="1565" t="s">
        <v>1116</v>
      </c>
      <c r="C201" s="1565"/>
      <c r="D201" s="543" t="s">
        <v>1513</v>
      </c>
      <c r="E201" s="1565" t="s">
        <v>1514</v>
      </c>
      <c r="F201" s="1565"/>
      <c r="G201" s="544" t="s">
        <v>646</v>
      </c>
      <c r="H201" s="545">
        <v>89</v>
      </c>
      <c r="I201" s="545">
        <f t="shared" si="5"/>
        <v>89</v>
      </c>
      <c r="J201" s="546">
        <f t="shared" si="4"/>
        <v>102.31</v>
      </c>
    </row>
    <row r="202" spans="1:10" ht="39" customHeight="1" x14ac:dyDescent="0.2">
      <c r="A202" s="543" t="s">
        <v>1157</v>
      </c>
      <c r="B202" s="1565" t="s">
        <v>1116</v>
      </c>
      <c r="C202" s="1565"/>
      <c r="D202" s="543" t="s">
        <v>1515</v>
      </c>
      <c r="E202" s="1565" t="s">
        <v>1516</v>
      </c>
      <c r="F202" s="1565"/>
      <c r="G202" s="544" t="s">
        <v>646</v>
      </c>
      <c r="H202" s="545">
        <v>287.89</v>
      </c>
      <c r="I202" s="545">
        <f t="shared" si="5"/>
        <v>287.89</v>
      </c>
      <c r="J202" s="546">
        <f t="shared" si="4"/>
        <v>330.95</v>
      </c>
    </row>
    <row r="203" spans="1:10" ht="39" customHeight="1" x14ac:dyDescent="0.2">
      <c r="A203" s="543" t="s">
        <v>1157</v>
      </c>
      <c r="B203" s="1565" t="s">
        <v>1116</v>
      </c>
      <c r="C203" s="1565"/>
      <c r="D203" s="543" t="s">
        <v>1517</v>
      </c>
      <c r="E203" s="1565" t="s">
        <v>1518</v>
      </c>
      <c r="F203" s="1565"/>
      <c r="G203" s="544" t="s">
        <v>1181</v>
      </c>
      <c r="H203" s="545">
        <v>5.08</v>
      </c>
      <c r="I203" s="545">
        <f t="shared" si="5"/>
        <v>5.08</v>
      </c>
      <c r="J203" s="546">
        <f t="shared" si="4"/>
        <v>5.83</v>
      </c>
    </row>
    <row r="204" spans="1:10" ht="39" customHeight="1" x14ac:dyDescent="0.2">
      <c r="A204" s="543" t="s">
        <v>1157</v>
      </c>
      <c r="B204" s="1565" t="s">
        <v>1116</v>
      </c>
      <c r="C204" s="1565"/>
      <c r="D204" s="543" t="s">
        <v>1519</v>
      </c>
      <c r="E204" s="1565" t="s">
        <v>1520</v>
      </c>
      <c r="F204" s="1565"/>
      <c r="G204" s="544" t="s">
        <v>1181</v>
      </c>
      <c r="H204" s="545">
        <v>0.76</v>
      </c>
      <c r="I204" s="545">
        <f t="shared" si="5"/>
        <v>0.76</v>
      </c>
      <c r="J204" s="546">
        <f t="shared" si="4"/>
        <v>0.87</v>
      </c>
    </row>
    <row r="205" spans="1:10" ht="39" customHeight="1" x14ac:dyDescent="0.2">
      <c r="A205" s="543" t="s">
        <v>1157</v>
      </c>
      <c r="B205" s="1565" t="s">
        <v>1116</v>
      </c>
      <c r="C205" s="1565"/>
      <c r="D205" s="543" t="s">
        <v>1521</v>
      </c>
      <c r="E205" s="1565" t="s">
        <v>1522</v>
      </c>
      <c r="F205" s="1565"/>
      <c r="G205" s="544" t="s">
        <v>1181</v>
      </c>
      <c r="H205" s="545">
        <v>53.51</v>
      </c>
      <c r="I205" s="545">
        <f t="shared" si="5"/>
        <v>53.51</v>
      </c>
      <c r="J205" s="546">
        <f t="shared" ref="J205:J268" si="6">TRUNC((H205*($J$11))*(1+$J$8),2)</f>
        <v>61.51</v>
      </c>
    </row>
    <row r="206" spans="1:10" ht="39" customHeight="1" x14ac:dyDescent="0.2">
      <c r="A206" s="543" t="s">
        <v>1157</v>
      </c>
      <c r="B206" s="1565" t="s">
        <v>1116</v>
      </c>
      <c r="C206" s="1565"/>
      <c r="D206" s="543" t="s">
        <v>1523</v>
      </c>
      <c r="E206" s="1565" t="s">
        <v>1524</v>
      </c>
      <c r="F206" s="1565"/>
      <c r="G206" s="544" t="s">
        <v>1181</v>
      </c>
      <c r="H206" s="545">
        <v>36.35</v>
      </c>
      <c r="I206" s="545">
        <f t="shared" ref="I206:I269" si="7">(H206*($J$11))</f>
        <v>36.35</v>
      </c>
      <c r="J206" s="546">
        <f t="shared" si="6"/>
        <v>41.78</v>
      </c>
    </row>
    <row r="207" spans="1:10" ht="39" customHeight="1" x14ac:dyDescent="0.2">
      <c r="A207" s="543" t="s">
        <v>1157</v>
      </c>
      <c r="B207" s="1565" t="s">
        <v>1116</v>
      </c>
      <c r="C207" s="1565"/>
      <c r="D207" s="543" t="s">
        <v>1525</v>
      </c>
      <c r="E207" s="1565" t="s">
        <v>1526</v>
      </c>
      <c r="F207" s="1565"/>
      <c r="G207" s="544" t="s">
        <v>1181</v>
      </c>
      <c r="H207" s="545">
        <v>36.97</v>
      </c>
      <c r="I207" s="545">
        <f t="shared" si="7"/>
        <v>36.97</v>
      </c>
      <c r="J207" s="546">
        <f t="shared" si="6"/>
        <v>42.5</v>
      </c>
    </row>
    <row r="208" spans="1:10" ht="39" customHeight="1" x14ac:dyDescent="0.2">
      <c r="A208" s="543" t="s">
        <v>1157</v>
      </c>
      <c r="B208" s="1565" t="s">
        <v>1123</v>
      </c>
      <c r="C208" s="1565"/>
      <c r="D208" s="543" t="s">
        <v>1527</v>
      </c>
      <c r="E208" s="1565" t="s">
        <v>1528</v>
      </c>
      <c r="F208" s="1565"/>
      <c r="G208" s="544" t="s">
        <v>1168</v>
      </c>
      <c r="H208" s="545">
        <v>36.415399999999998</v>
      </c>
      <c r="I208" s="545">
        <f t="shared" si="7"/>
        <v>36.415399999999998</v>
      </c>
      <c r="J208" s="546">
        <f t="shared" si="6"/>
        <v>41.86</v>
      </c>
    </row>
    <row r="209" spans="1:10" ht="39" customHeight="1" x14ac:dyDescent="0.2">
      <c r="A209" s="543" t="s">
        <v>1157</v>
      </c>
      <c r="B209" s="1565" t="s">
        <v>1123</v>
      </c>
      <c r="C209" s="1565"/>
      <c r="D209" s="543" t="s">
        <v>1529</v>
      </c>
      <c r="E209" s="1565" t="s">
        <v>1530</v>
      </c>
      <c r="F209" s="1565"/>
      <c r="G209" s="544" t="s">
        <v>1168</v>
      </c>
      <c r="H209" s="545">
        <v>449.41250000000002</v>
      </c>
      <c r="I209" s="545">
        <f t="shared" si="7"/>
        <v>449.41250000000002</v>
      </c>
      <c r="J209" s="546">
        <f t="shared" si="6"/>
        <v>516.64</v>
      </c>
    </row>
    <row r="210" spans="1:10" ht="39" customHeight="1" x14ac:dyDescent="0.2">
      <c r="A210" s="543" t="s">
        <v>1157</v>
      </c>
      <c r="B210" s="1565" t="s">
        <v>1123</v>
      </c>
      <c r="C210" s="1565"/>
      <c r="D210" s="543" t="s">
        <v>1531</v>
      </c>
      <c r="E210" s="1565" t="s">
        <v>1532</v>
      </c>
      <c r="F210" s="1565"/>
      <c r="G210" s="544" t="s">
        <v>1168</v>
      </c>
      <c r="H210" s="545">
        <v>347.96730000000002</v>
      </c>
      <c r="I210" s="545">
        <f t="shared" si="7"/>
        <v>347.96730000000002</v>
      </c>
      <c r="J210" s="546">
        <f t="shared" si="6"/>
        <v>400.02</v>
      </c>
    </row>
    <row r="211" spans="1:10" ht="39" customHeight="1" x14ac:dyDescent="0.2">
      <c r="A211" s="543" t="s">
        <v>1157</v>
      </c>
      <c r="B211" s="1565" t="s">
        <v>1188</v>
      </c>
      <c r="C211" s="1565"/>
      <c r="D211" s="543" t="s">
        <v>1533</v>
      </c>
      <c r="E211" s="1565" t="s">
        <v>1534</v>
      </c>
      <c r="F211" s="1565"/>
      <c r="G211" s="544" t="s">
        <v>1161</v>
      </c>
      <c r="H211" s="545">
        <v>299.56</v>
      </c>
      <c r="I211" s="545">
        <f t="shared" si="7"/>
        <v>299.56</v>
      </c>
      <c r="J211" s="546">
        <f t="shared" si="6"/>
        <v>344.37</v>
      </c>
    </row>
    <row r="212" spans="1:10" ht="39" customHeight="1" x14ac:dyDescent="0.2">
      <c r="A212" s="543" t="s">
        <v>1157</v>
      </c>
      <c r="B212" s="1565" t="s">
        <v>1123</v>
      </c>
      <c r="C212" s="1565"/>
      <c r="D212" s="543" t="s">
        <v>1535</v>
      </c>
      <c r="E212" s="1565" t="s">
        <v>1536</v>
      </c>
      <c r="F212" s="1565"/>
      <c r="G212" s="544" t="s">
        <v>1168</v>
      </c>
      <c r="H212" s="545">
        <v>1739.49</v>
      </c>
      <c r="I212" s="545">
        <f t="shared" si="7"/>
        <v>1739.49</v>
      </c>
      <c r="J212" s="546">
        <f t="shared" si="6"/>
        <v>1999.71</v>
      </c>
    </row>
    <row r="213" spans="1:10" ht="39" customHeight="1" x14ac:dyDescent="0.2">
      <c r="A213" s="543" t="s">
        <v>1157</v>
      </c>
      <c r="B213" s="1565" t="s">
        <v>1116</v>
      </c>
      <c r="C213" s="1565"/>
      <c r="D213" s="543" t="s">
        <v>1537</v>
      </c>
      <c r="E213" s="1565" t="s">
        <v>1538</v>
      </c>
      <c r="F213" s="1565"/>
      <c r="G213" s="544" t="s">
        <v>1332</v>
      </c>
      <c r="H213" s="545">
        <v>561.39</v>
      </c>
      <c r="I213" s="545">
        <f t="shared" si="7"/>
        <v>561.39</v>
      </c>
      <c r="J213" s="546">
        <f t="shared" si="6"/>
        <v>645.37</v>
      </c>
    </row>
    <row r="214" spans="1:10" ht="39" customHeight="1" x14ac:dyDescent="0.2">
      <c r="A214" s="543" t="s">
        <v>1157</v>
      </c>
      <c r="B214" s="1565" t="s">
        <v>1123</v>
      </c>
      <c r="C214" s="1565"/>
      <c r="D214" s="543" t="s">
        <v>1539</v>
      </c>
      <c r="E214" s="1565" t="s">
        <v>1540</v>
      </c>
      <c r="F214" s="1565"/>
      <c r="G214" s="544" t="s">
        <v>1541</v>
      </c>
      <c r="H214" s="545">
        <v>2.12</v>
      </c>
      <c r="I214" s="545">
        <f t="shared" si="7"/>
        <v>2.12</v>
      </c>
      <c r="J214" s="546">
        <f t="shared" si="6"/>
        <v>2.4300000000000002</v>
      </c>
    </row>
    <row r="215" spans="1:10" ht="39" customHeight="1" x14ac:dyDescent="0.2">
      <c r="A215" s="543" t="s">
        <v>1157</v>
      </c>
      <c r="B215" s="1565" t="s">
        <v>1123</v>
      </c>
      <c r="C215" s="1565"/>
      <c r="D215" s="543" t="s">
        <v>1542</v>
      </c>
      <c r="E215" s="1565" t="s">
        <v>1543</v>
      </c>
      <c r="F215" s="1565"/>
      <c r="G215" s="544" t="s">
        <v>1541</v>
      </c>
      <c r="H215" s="545">
        <v>0.86</v>
      </c>
      <c r="I215" s="545">
        <f t="shared" si="7"/>
        <v>0.86</v>
      </c>
      <c r="J215" s="546">
        <f t="shared" si="6"/>
        <v>0.98</v>
      </c>
    </row>
    <row r="216" spans="1:10" ht="39" customHeight="1" x14ac:dyDescent="0.2">
      <c r="A216" s="543" t="s">
        <v>1157</v>
      </c>
      <c r="B216" s="1565" t="s">
        <v>1123</v>
      </c>
      <c r="C216" s="1565"/>
      <c r="D216" s="543" t="s">
        <v>1544</v>
      </c>
      <c r="E216" s="1565" t="s">
        <v>1545</v>
      </c>
      <c r="F216" s="1565"/>
      <c r="G216" s="544" t="s">
        <v>1541</v>
      </c>
      <c r="H216" s="545">
        <v>0.08</v>
      </c>
      <c r="I216" s="545">
        <f t="shared" si="7"/>
        <v>0.08</v>
      </c>
      <c r="J216" s="546">
        <f t="shared" si="6"/>
        <v>0.09</v>
      </c>
    </row>
    <row r="217" spans="1:10" ht="39" customHeight="1" x14ac:dyDescent="0.2">
      <c r="A217" s="543" t="s">
        <v>1157</v>
      </c>
      <c r="B217" s="1565" t="s">
        <v>1123</v>
      </c>
      <c r="C217" s="1565"/>
      <c r="D217" s="543" t="s">
        <v>1546</v>
      </c>
      <c r="E217" s="1565" t="s">
        <v>1547</v>
      </c>
      <c r="F217" s="1565"/>
      <c r="G217" s="544" t="s">
        <v>1541</v>
      </c>
      <c r="H217" s="545">
        <v>1.43</v>
      </c>
      <c r="I217" s="545">
        <f t="shared" si="7"/>
        <v>1.43</v>
      </c>
      <c r="J217" s="546">
        <f t="shared" si="6"/>
        <v>1.64</v>
      </c>
    </row>
    <row r="218" spans="1:10" ht="39" customHeight="1" x14ac:dyDescent="0.2">
      <c r="A218" s="543" t="s">
        <v>1157</v>
      </c>
      <c r="B218" s="1565" t="s">
        <v>1123</v>
      </c>
      <c r="C218" s="1565"/>
      <c r="D218" s="543" t="s">
        <v>1548</v>
      </c>
      <c r="E218" s="1565" t="s">
        <v>1549</v>
      </c>
      <c r="F218" s="1565"/>
      <c r="G218" s="544" t="s">
        <v>1168</v>
      </c>
      <c r="H218" s="545">
        <v>0.11</v>
      </c>
      <c r="I218" s="545">
        <f t="shared" si="7"/>
        <v>0.11</v>
      </c>
      <c r="J218" s="546">
        <f t="shared" si="6"/>
        <v>0.12</v>
      </c>
    </row>
    <row r="219" spans="1:10" ht="39" customHeight="1" x14ac:dyDescent="0.2">
      <c r="A219" s="543" t="s">
        <v>1157</v>
      </c>
      <c r="B219" s="1565" t="s">
        <v>1116</v>
      </c>
      <c r="C219" s="1565"/>
      <c r="D219" s="543" t="s">
        <v>1550</v>
      </c>
      <c r="E219" s="1565" t="s">
        <v>1551</v>
      </c>
      <c r="F219" s="1565"/>
      <c r="G219" s="544" t="s">
        <v>646</v>
      </c>
      <c r="H219" s="545">
        <v>24.13</v>
      </c>
      <c r="I219" s="545">
        <f t="shared" si="7"/>
        <v>24.13</v>
      </c>
      <c r="J219" s="546">
        <f t="shared" si="6"/>
        <v>27.73</v>
      </c>
    </row>
    <row r="220" spans="1:10" ht="39" customHeight="1" x14ac:dyDescent="0.2">
      <c r="A220" s="543" t="s">
        <v>1157</v>
      </c>
      <c r="B220" s="1565" t="s">
        <v>1116</v>
      </c>
      <c r="C220" s="1565"/>
      <c r="D220" s="543" t="s">
        <v>1552</v>
      </c>
      <c r="E220" s="1565" t="s">
        <v>1553</v>
      </c>
      <c r="F220" s="1565"/>
      <c r="G220" s="544" t="s">
        <v>646</v>
      </c>
      <c r="H220" s="545">
        <v>19.3</v>
      </c>
      <c r="I220" s="545">
        <f t="shared" si="7"/>
        <v>19.3</v>
      </c>
      <c r="J220" s="546">
        <f t="shared" si="6"/>
        <v>22.18</v>
      </c>
    </row>
    <row r="221" spans="1:10" ht="39" customHeight="1" x14ac:dyDescent="0.2">
      <c r="A221" s="543" t="s">
        <v>1157</v>
      </c>
      <c r="B221" s="1565" t="s">
        <v>1123</v>
      </c>
      <c r="C221" s="1565"/>
      <c r="D221" s="543" t="s">
        <v>1554</v>
      </c>
      <c r="E221" s="1565" t="s">
        <v>1555</v>
      </c>
      <c r="F221" s="1565"/>
      <c r="G221" s="544" t="s">
        <v>1541</v>
      </c>
      <c r="H221" s="545">
        <v>0.44</v>
      </c>
      <c r="I221" s="545">
        <f t="shared" si="7"/>
        <v>0.44</v>
      </c>
      <c r="J221" s="546">
        <f t="shared" si="6"/>
        <v>0.5</v>
      </c>
    </row>
    <row r="222" spans="1:10" ht="39" customHeight="1" x14ac:dyDescent="0.2">
      <c r="A222" s="543" t="s">
        <v>1157</v>
      </c>
      <c r="B222" s="1565" t="s">
        <v>1123</v>
      </c>
      <c r="C222" s="1565"/>
      <c r="D222" s="543" t="s">
        <v>1556</v>
      </c>
      <c r="E222" s="1565" t="s">
        <v>1557</v>
      </c>
      <c r="F222" s="1565"/>
      <c r="G222" s="544" t="s">
        <v>1541</v>
      </c>
      <c r="H222" s="545">
        <v>0.86</v>
      </c>
      <c r="I222" s="545">
        <f t="shared" si="7"/>
        <v>0.86</v>
      </c>
      <c r="J222" s="546">
        <f t="shared" si="6"/>
        <v>0.98</v>
      </c>
    </row>
    <row r="223" spans="1:10" ht="39" customHeight="1" x14ac:dyDescent="0.2">
      <c r="A223" s="543" t="s">
        <v>1157</v>
      </c>
      <c r="B223" s="1565" t="s">
        <v>1123</v>
      </c>
      <c r="C223" s="1565"/>
      <c r="D223" s="543" t="s">
        <v>1558</v>
      </c>
      <c r="E223" s="1565" t="s">
        <v>1559</v>
      </c>
      <c r="F223" s="1565"/>
      <c r="G223" s="544" t="s">
        <v>1541</v>
      </c>
      <c r="H223" s="545">
        <v>0.31</v>
      </c>
      <c r="I223" s="545">
        <f t="shared" si="7"/>
        <v>0.31</v>
      </c>
      <c r="J223" s="546">
        <f t="shared" si="6"/>
        <v>0.35</v>
      </c>
    </row>
    <row r="224" spans="1:10" ht="39" customHeight="1" x14ac:dyDescent="0.2">
      <c r="A224" s="543" t="s">
        <v>1157</v>
      </c>
      <c r="B224" s="1565" t="s">
        <v>1123</v>
      </c>
      <c r="C224" s="1565"/>
      <c r="D224" s="543" t="s">
        <v>1560</v>
      </c>
      <c r="E224" s="1565" t="s">
        <v>1561</v>
      </c>
      <c r="F224" s="1565"/>
      <c r="G224" s="544" t="s">
        <v>1541</v>
      </c>
      <c r="H224" s="545">
        <v>0.01</v>
      </c>
      <c r="I224" s="545">
        <f t="shared" si="7"/>
        <v>0.01</v>
      </c>
      <c r="J224" s="546">
        <f t="shared" si="6"/>
        <v>0.01</v>
      </c>
    </row>
    <row r="225" spans="1:10" ht="39" customHeight="1" x14ac:dyDescent="0.2">
      <c r="A225" s="543" t="s">
        <v>1157</v>
      </c>
      <c r="B225" s="1565" t="s">
        <v>1123</v>
      </c>
      <c r="C225" s="1565"/>
      <c r="D225" s="543" t="s">
        <v>1562</v>
      </c>
      <c r="E225" s="1565" t="s">
        <v>1563</v>
      </c>
      <c r="F225" s="1565"/>
      <c r="G225" s="544" t="s">
        <v>1541</v>
      </c>
      <c r="H225" s="545">
        <v>0.78</v>
      </c>
      <c r="I225" s="545">
        <f t="shared" si="7"/>
        <v>0.78</v>
      </c>
      <c r="J225" s="546">
        <f t="shared" si="6"/>
        <v>0.89</v>
      </c>
    </row>
    <row r="226" spans="1:10" ht="39" customHeight="1" x14ac:dyDescent="0.2">
      <c r="A226" s="543" t="s">
        <v>1157</v>
      </c>
      <c r="B226" s="1565" t="s">
        <v>1123</v>
      </c>
      <c r="C226" s="1565"/>
      <c r="D226" s="543" t="s">
        <v>1564</v>
      </c>
      <c r="E226" s="1565" t="s">
        <v>1565</v>
      </c>
      <c r="F226" s="1565"/>
      <c r="G226" s="544" t="s">
        <v>1541</v>
      </c>
      <c r="H226" s="545">
        <v>2.0499999999999998</v>
      </c>
      <c r="I226" s="545">
        <f t="shared" si="7"/>
        <v>2.0499999999999998</v>
      </c>
      <c r="J226" s="546">
        <f t="shared" si="6"/>
        <v>2.35</v>
      </c>
    </row>
    <row r="227" spans="1:10" ht="39" customHeight="1" x14ac:dyDescent="0.2">
      <c r="A227" s="543" t="s">
        <v>1157</v>
      </c>
      <c r="B227" s="1565" t="s">
        <v>1116</v>
      </c>
      <c r="C227" s="1565"/>
      <c r="D227" s="543" t="s">
        <v>1566</v>
      </c>
      <c r="E227" s="1565" t="s">
        <v>1567</v>
      </c>
      <c r="F227" s="1565"/>
      <c r="G227" s="544" t="s">
        <v>646</v>
      </c>
      <c r="H227" s="545">
        <v>28.71</v>
      </c>
      <c r="I227" s="545">
        <f t="shared" si="7"/>
        <v>28.71</v>
      </c>
      <c r="J227" s="546">
        <f t="shared" si="6"/>
        <v>33</v>
      </c>
    </row>
    <row r="228" spans="1:10" ht="39" customHeight="1" x14ac:dyDescent="0.2">
      <c r="A228" s="543" t="s">
        <v>1157</v>
      </c>
      <c r="B228" s="1565" t="s">
        <v>1123</v>
      </c>
      <c r="C228" s="1565"/>
      <c r="D228" s="543" t="s">
        <v>1568</v>
      </c>
      <c r="E228" s="1565" t="s">
        <v>1569</v>
      </c>
      <c r="F228" s="1565"/>
      <c r="G228" s="544" t="s">
        <v>1541</v>
      </c>
      <c r="H228" s="545">
        <v>0.61</v>
      </c>
      <c r="I228" s="545">
        <f t="shared" si="7"/>
        <v>0.61</v>
      </c>
      <c r="J228" s="546">
        <f t="shared" si="6"/>
        <v>0.7</v>
      </c>
    </row>
    <row r="229" spans="1:10" ht="39" customHeight="1" x14ac:dyDescent="0.2">
      <c r="A229" s="543" t="s">
        <v>1157</v>
      </c>
      <c r="B229" s="1565" t="s">
        <v>1123</v>
      </c>
      <c r="C229" s="1565"/>
      <c r="D229" s="543" t="s">
        <v>1570</v>
      </c>
      <c r="E229" s="1565" t="s">
        <v>1571</v>
      </c>
      <c r="F229" s="1565"/>
      <c r="G229" s="544" t="s">
        <v>1541</v>
      </c>
      <c r="H229" s="545">
        <v>1.43</v>
      </c>
      <c r="I229" s="545">
        <f t="shared" si="7"/>
        <v>1.43</v>
      </c>
      <c r="J229" s="546">
        <f t="shared" si="6"/>
        <v>1.64</v>
      </c>
    </row>
    <row r="230" spans="1:10" ht="39" customHeight="1" x14ac:dyDescent="0.2">
      <c r="A230" s="543" t="s">
        <v>1157</v>
      </c>
      <c r="B230" s="1565" t="s">
        <v>1116</v>
      </c>
      <c r="C230" s="1565"/>
      <c r="D230" s="543" t="s">
        <v>1572</v>
      </c>
      <c r="E230" s="1565" t="s">
        <v>1573</v>
      </c>
      <c r="F230" s="1565"/>
      <c r="G230" s="544" t="s">
        <v>646</v>
      </c>
      <c r="H230" s="545">
        <v>24.59</v>
      </c>
      <c r="I230" s="545">
        <f t="shared" si="7"/>
        <v>24.59</v>
      </c>
      <c r="J230" s="546">
        <f t="shared" si="6"/>
        <v>28.26</v>
      </c>
    </row>
    <row r="231" spans="1:10" ht="39" customHeight="1" x14ac:dyDescent="0.2">
      <c r="A231" s="543" t="s">
        <v>1157</v>
      </c>
      <c r="B231" s="1565" t="s">
        <v>1123</v>
      </c>
      <c r="C231" s="1565"/>
      <c r="D231" s="543" t="s">
        <v>1574</v>
      </c>
      <c r="E231" s="1565" t="s">
        <v>1575</v>
      </c>
      <c r="F231" s="1565"/>
      <c r="G231" s="544" t="s">
        <v>1541</v>
      </c>
      <c r="H231" s="545">
        <v>1.26</v>
      </c>
      <c r="I231" s="545">
        <f t="shared" si="7"/>
        <v>1.26</v>
      </c>
      <c r="J231" s="546">
        <f t="shared" si="6"/>
        <v>1.44</v>
      </c>
    </row>
    <row r="232" spans="1:10" ht="39" customHeight="1" x14ac:dyDescent="0.2">
      <c r="A232" s="543" t="s">
        <v>1157</v>
      </c>
      <c r="B232" s="1565" t="s">
        <v>1123</v>
      </c>
      <c r="C232" s="1565"/>
      <c r="D232" s="543" t="s">
        <v>1576</v>
      </c>
      <c r="E232" s="1565" t="s">
        <v>1577</v>
      </c>
      <c r="F232" s="1565"/>
      <c r="G232" s="544" t="s">
        <v>1541</v>
      </c>
      <c r="H232" s="545">
        <v>1.1299999999999999</v>
      </c>
      <c r="I232" s="545">
        <f t="shared" si="7"/>
        <v>1.1299999999999999</v>
      </c>
      <c r="J232" s="546">
        <f t="shared" si="6"/>
        <v>1.29</v>
      </c>
    </row>
    <row r="233" spans="1:10" ht="39" customHeight="1" x14ac:dyDescent="0.2">
      <c r="A233" s="543" t="s">
        <v>1157</v>
      </c>
      <c r="B233" s="1565" t="s">
        <v>1123</v>
      </c>
      <c r="C233" s="1565"/>
      <c r="D233" s="543" t="s">
        <v>1578</v>
      </c>
      <c r="E233" s="1565" t="s">
        <v>1579</v>
      </c>
      <c r="F233" s="1565"/>
      <c r="G233" s="544" t="s">
        <v>1541</v>
      </c>
      <c r="H233" s="545">
        <v>0.89</v>
      </c>
      <c r="I233" s="545">
        <f t="shared" si="7"/>
        <v>0.89</v>
      </c>
      <c r="J233" s="546">
        <f t="shared" si="6"/>
        <v>1.02</v>
      </c>
    </row>
    <row r="234" spans="1:10" ht="39" customHeight="1" x14ac:dyDescent="0.2">
      <c r="A234" s="543" t="s">
        <v>1157</v>
      </c>
      <c r="B234" s="1565" t="s">
        <v>1123</v>
      </c>
      <c r="C234" s="1565"/>
      <c r="D234" s="543" t="s">
        <v>1580</v>
      </c>
      <c r="E234" s="1565" t="s">
        <v>1581</v>
      </c>
      <c r="F234" s="1565"/>
      <c r="G234" s="544" t="s">
        <v>1541</v>
      </c>
      <c r="H234" s="545">
        <v>1.31</v>
      </c>
      <c r="I234" s="545">
        <f t="shared" si="7"/>
        <v>1.31</v>
      </c>
      <c r="J234" s="546">
        <f t="shared" si="6"/>
        <v>1.5</v>
      </c>
    </row>
    <row r="235" spans="1:10" ht="39" customHeight="1" x14ac:dyDescent="0.2">
      <c r="A235" s="543" t="s">
        <v>1157</v>
      </c>
      <c r="B235" s="1565" t="s">
        <v>1123</v>
      </c>
      <c r="C235" s="1565"/>
      <c r="D235" s="543" t="s">
        <v>1582</v>
      </c>
      <c r="E235" s="1565" t="s">
        <v>1583</v>
      </c>
      <c r="F235" s="1565"/>
      <c r="G235" s="544" t="s">
        <v>1541</v>
      </c>
      <c r="H235" s="545">
        <v>1.85</v>
      </c>
      <c r="I235" s="545">
        <f t="shared" si="7"/>
        <v>1.85</v>
      </c>
      <c r="J235" s="546">
        <f t="shared" si="6"/>
        <v>2.12</v>
      </c>
    </row>
    <row r="236" spans="1:10" ht="39" customHeight="1" x14ac:dyDescent="0.2">
      <c r="A236" s="543" t="s">
        <v>1157</v>
      </c>
      <c r="B236" s="1565" t="s">
        <v>1123</v>
      </c>
      <c r="C236" s="1565"/>
      <c r="D236" s="543" t="s">
        <v>1584</v>
      </c>
      <c r="E236" s="1565" t="s">
        <v>1585</v>
      </c>
      <c r="F236" s="1565"/>
      <c r="G236" s="544" t="s">
        <v>1541</v>
      </c>
      <c r="H236" s="545">
        <v>1.39</v>
      </c>
      <c r="I236" s="545">
        <f t="shared" si="7"/>
        <v>1.39</v>
      </c>
      <c r="J236" s="546">
        <f t="shared" si="6"/>
        <v>1.59</v>
      </c>
    </row>
    <row r="237" spans="1:10" ht="39" customHeight="1" x14ac:dyDescent="0.2">
      <c r="A237" s="543" t="s">
        <v>1157</v>
      </c>
      <c r="B237" s="1565" t="s">
        <v>1123</v>
      </c>
      <c r="C237" s="1565"/>
      <c r="D237" s="543" t="s">
        <v>1586</v>
      </c>
      <c r="E237" s="1565" t="s">
        <v>1587</v>
      </c>
      <c r="F237" s="1565"/>
      <c r="G237" s="544" t="s">
        <v>1243</v>
      </c>
      <c r="H237" s="545">
        <v>40</v>
      </c>
      <c r="I237" s="545">
        <f t="shared" si="7"/>
        <v>40</v>
      </c>
      <c r="J237" s="546">
        <f t="shared" si="6"/>
        <v>45.98</v>
      </c>
    </row>
    <row r="238" spans="1:10" ht="39" customHeight="1" x14ac:dyDescent="0.2">
      <c r="A238" s="543" t="s">
        <v>1157</v>
      </c>
      <c r="B238" s="1565" t="s">
        <v>1116</v>
      </c>
      <c r="C238" s="1565"/>
      <c r="D238" s="543" t="s">
        <v>681</v>
      </c>
      <c r="E238" s="1565" t="s">
        <v>1588</v>
      </c>
      <c r="F238" s="1565"/>
      <c r="G238" s="544" t="s">
        <v>646</v>
      </c>
      <c r="H238" s="545">
        <v>41.3</v>
      </c>
      <c r="I238" s="545">
        <f t="shared" si="7"/>
        <v>41.3</v>
      </c>
      <c r="J238" s="546">
        <f t="shared" si="6"/>
        <v>47.47</v>
      </c>
    </row>
    <row r="239" spans="1:10" ht="39" customHeight="1" x14ac:dyDescent="0.2">
      <c r="A239" s="543" t="s">
        <v>1157</v>
      </c>
      <c r="B239" s="1565" t="s">
        <v>1116</v>
      </c>
      <c r="C239" s="1565"/>
      <c r="D239" s="543" t="s">
        <v>1589</v>
      </c>
      <c r="E239" s="1565" t="s">
        <v>1590</v>
      </c>
      <c r="F239" s="1565"/>
      <c r="G239" s="544" t="s">
        <v>646</v>
      </c>
      <c r="H239" s="545">
        <v>22.85</v>
      </c>
      <c r="I239" s="545">
        <f t="shared" si="7"/>
        <v>22.85</v>
      </c>
      <c r="J239" s="546">
        <f t="shared" si="6"/>
        <v>26.26</v>
      </c>
    </row>
    <row r="240" spans="1:10" ht="39" customHeight="1" x14ac:dyDescent="0.2">
      <c r="A240" s="543" t="s">
        <v>1157</v>
      </c>
      <c r="B240" s="1565" t="s">
        <v>1123</v>
      </c>
      <c r="C240" s="1565"/>
      <c r="D240" s="543" t="s">
        <v>1591</v>
      </c>
      <c r="E240" s="1565" t="s">
        <v>1592</v>
      </c>
      <c r="F240" s="1565"/>
      <c r="G240" s="544" t="s">
        <v>1168</v>
      </c>
      <c r="H240" s="545">
        <v>42.302700000000002</v>
      </c>
      <c r="I240" s="545">
        <f t="shared" si="7"/>
        <v>42.302700000000002</v>
      </c>
      <c r="J240" s="546">
        <f t="shared" si="6"/>
        <v>48.63</v>
      </c>
    </row>
    <row r="241" spans="1:10" ht="39" customHeight="1" x14ac:dyDescent="0.2">
      <c r="A241" s="543" t="s">
        <v>1157</v>
      </c>
      <c r="B241" s="1565" t="s">
        <v>1123</v>
      </c>
      <c r="C241" s="1565"/>
      <c r="D241" s="543" t="s">
        <v>1593</v>
      </c>
      <c r="E241" s="1565" t="s">
        <v>1594</v>
      </c>
      <c r="F241" s="1565"/>
      <c r="G241" s="544" t="s">
        <v>1168</v>
      </c>
      <c r="H241" s="545">
        <v>161.36000000000001</v>
      </c>
      <c r="I241" s="545">
        <f t="shared" si="7"/>
        <v>161.36000000000001</v>
      </c>
      <c r="J241" s="546">
        <f t="shared" si="6"/>
        <v>185.49</v>
      </c>
    </row>
    <row r="242" spans="1:10" ht="39" customHeight="1" x14ac:dyDescent="0.2">
      <c r="A242" s="543" t="s">
        <v>1157</v>
      </c>
      <c r="B242" s="1565" t="s">
        <v>1116</v>
      </c>
      <c r="C242" s="1565"/>
      <c r="D242" s="543" t="s">
        <v>1595</v>
      </c>
      <c r="E242" s="1565" t="s">
        <v>1596</v>
      </c>
      <c r="F242" s="1565"/>
      <c r="G242" s="544" t="s">
        <v>646</v>
      </c>
      <c r="H242" s="545">
        <v>9.4600000000000009</v>
      </c>
      <c r="I242" s="545">
        <f t="shared" si="7"/>
        <v>9.4600000000000009</v>
      </c>
      <c r="J242" s="546">
        <f t="shared" si="6"/>
        <v>10.87</v>
      </c>
    </row>
    <row r="243" spans="1:10" ht="39" customHeight="1" x14ac:dyDescent="0.2">
      <c r="A243" s="543" t="s">
        <v>1157</v>
      </c>
      <c r="B243" s="1565" t="s">
        <v>1123</v>
      </c>
      <c r="C243" s="1565"/>
      <c r="D243" s="543" t="s">
        <v>1597</v>
      </c>
      <c r="E243" s="1565" t="s">
        <v>1598</v>
      </c>
      <c r="F243" s="1565"/>
      <c r="G243" s="544" t="s">
        <v>1231</v>
      </c>
      <c r="H243" s="545">
        <v>13.18</v>
      </c>
      <c r="I243" s="545">
        <f t="shared" si="7"/>
        <v>13.18</v>
      </c>
      <c r="J243" s="546">
        <f t="shared" si="6"/>
        <v>15.15</v>
      </c>
    </row>
    <row r="244" spans="1:10" ht="39" customHeight="1" x14ac:dyDescent="0.2">
      <c r="A244" s="543" t="s">
        <v>1157</v>
      </c>
      <c r="B244" s="1565" t="s">
        <v>1123</v>
      </c>
      <c r="C244" s="1565"/>
      <c r="D244" s="543" t="s">
        <v>1599</v>
      </c>
      <c r="E244" s="1565" t="s">
        <v>1600</v>
      </c>
      <c r="F244" s="1565"/>
      <c r="G244" s="544" t="s">
        <v>1231</v>
      </c>
      <c r="H244" s="545">
        <v>12.3</v>
      </c>
      <c r="I244" s="545">
        <f t="shared" si="7"/>
        <v>12.3</v>
      </c>
      <c r="J244" s="546">
        <f t="shared" si="6"/>
        <v>14.14</v>
      </c>
    </row>
    <row r="245" spans="1:10" ht="39" customHeight="1" x14ac:dyDescent="0.2">
      <c r="A245" s="543" t="s">
        <v>1157</v>
      </c>
      <c r="B245" s="1565" t="s">
        <v>1116</v>
      </c>
      <c r="C245" s="1565"/>
      <c r="D245" s="543" t="s">
        <v>1601</v>
      </c>
      <c r="E245" s="1565" t="s">
        <v>1602</v>
      </c>
      <c r="F245" s="1565"/>
      <c r="G245" s="544" t="s">
        <v>646</v>
      </c>
      <c r="H245" s="545">
        <v>259.93</v>
      </c>
      <c r="I245" s="545">
        <f t="shared" si="7"/>
        <v>259.93</v>
      </c>
      <c r="J245" s="546">
        <f t="shared" si="6"/>
        <v>298.81</v>
      </c>
    </row>
    <row r="246" spans="1:10" ht="39" customHeight="1" x14ac:dyDescent="0.2">
      <c r="A246" s="543" t="s">
        <v>1157</v>
      </c>
      <c r="B246" s="1565" t="s">
        <v>1116</v>
      </c>
      <c r="C246" s="1565"/>
      <c r="D246" s="543" t="s">
        <v>1603</v>
      </c>
      <c r="E246" s="1565" t="s">
        <v>1604</v>
      </c>
      <c r="F246" s="1565"/>
      <c r="G246" s="544" t="s">
        <v>646</v>
      </c>
      <c r="H246" s="545">
        <v>488.09</v>
      </c>
      <c r="I246" s="545">
        <f t="shared" si="7"/>
        <v>488.09</v>
      </c>
      <c r="J246" s="546">
        <f t="shared" si="6"/>
        <v>561.1</v>
      </c>
    </row>
    <row r="247" spans="1:10" ht="39" customHeight="1" x14ac:dyDescent="0.2">
      <c r="A247" s="543" t="s">
        <v>1157</v>
      </c>
      <c r="B247" s="1565" t="s">
        <v>1123</v>
      </c>
      <c r="C247" s="1565"/>
      <c r="D247" s="543" t="s">
        <v>1605</v>
      </c>
      <c r="E247" s="1565" t="s">
        <v>1606</v>
      </c>
      <c r="F247" s="1565"/>
      <c r="G247" s="544" t="s">
        <v>1231</v>
      </c>
      <c r="H247" s="545">
        <v>45.14</v>
      </c>
      <c r="I247" s="545">
        <f t="shared" si="7"/>
        <v>45.14</v>
      </c>
      <c r="J247" s="546">
        <f t="shared" si="6"/>
        <v>51.89</v>
      </c>
    </row>
    <row r="248" spans="1:10" ht="39" customHeight="1" x14ac:dyDescent="0.2">
      <c r="A248" s="543" t="s">
        <v>1157</v>
      </c>
      <c r="B248" s="1565" t="s">
        <v>1123</v>
      </c>
      <c r="C248" s="1565"/>
      <c r="D248" s="543" t="s">
        <v>1607</v>
      </c>
      <c r="E248" s="1565" t="s">
        <v>1608</v>
      </c>
      <c r="F248" s="1565"/>
      <c r="G248" s="544" t="s">
        <v>1231</v>
      </c>
      <c r="H248" s="545">
        <v>36.380000000000003</v>
      </c>
      <c r="I248" s="545">
        <f t="shared" si="7"/>
        <v>36.380000000000003</v>
      </c>
      <c r="J248" s="546">
        <f t="shared" si="6"/>
        <v>41.82</v>
      </c>
    </row>
    <row r="249" spans="1:10" ht="39" customHeight="1" x14ac:dyDescent="0.2">
      <c r="A249" s="543" t="s">
        <v>1157</v>
      </c>
      <c r="B249" s="1565" t="s">
        <v>1123</v>
      </c>
      <c r="C249" s="1565"/>
      <c r="D249" s="543" t="s">
        <v>1609</v>
      </c>
      <c r="E249" s="1565" t="s">
        <v>1610</v>
      </c>
      <c r="F249" s="1565"/>
      <c r="G249" s="544" t="s">
        <v>1231</v>
      </c>
      <c r="H249" s="545">
        <v>44.72</v>
      </c>
      <c r="I249" s="545">
        <f t="shared" si="7"/>
        <v>44.72</v>
      </c>
      <c r="J249" s="546">
        <f t="shared" si="6"/>
        <v>51.41</v>
      </c>
    </row>
    <row r="250" spans="1:10" ht="39" customHeight="1" x14ac:dyDescent="0.2">
      <c r="A250" s="543" t="s">
        <v>1157</v>
      </c>
      <c r="B250" s="1565" t="s">
        <v>1123</v>
      </c>
      <c r="C250" s="1565"/>
      <c r="D250" s="543" t="s">
        <v>1611</v>
      </c>
      <c r="E250" s="1565" t="s">
        <v>1612</v>
      </c>
      <c r="F250" s="1565"/>
      <c r="G250" s="544" t="s">
        <v>1231</v>
      </c>
      <c r="H250" s="545">
        <v>57.92</v>
      </c>
      <c r="I250" s="545">
        <f t="shared" si="7"/>
        <v>57.92</v>
      </c>
      <c r="J250" s="546">
        <f t="shared" si="6"/>
        <v>66.58</v>
      </c>
    </row>
    <row r="251" spans="1:10" ht="39" customHeight="1" x14ac:dyDescent="0.2">
      <c r="A251" s="543" t="s">
        <v>1157</v>
      </c>
      <c r="B251" s="1565" t="s">
        <v>1123</v>
      </c>
      <c r="C251" s="1565"/>
      <c r="D251" s="543" t="s">
        <v>1613</v>
      </c>
      <c r="E251" s="1565" t="s">
        <v>1614</v>
      </c>
      <c r="F251" s="1565"/>
      <c r="G251" s="544" t="s">
        <v>1231</v>
      </c>
      <c r="H251" s="545">
        <v>10.3</v>
      </c>
      <c r="I251" s="545">
        <f t="shared" si="7"/>
        <v>10.3</v>
      </c>
      <c r="J251" s="546">
        <f t="shared" si="6"/>
        <v>11.84</v>
      </c>
    </row>
    <row r="252" spans="1:10" ht="39" customHeight="1" x14ac:dyDescent="0.2">
      <c r="A252" s="543" t="s">
        <v>1157</v>
      </c>
      <c r="B252" s="1565" t="s">
        <v>1123</v>
      </c>
      <c r="C252" s="1565"/>
      <c r="D252" s="543" t="s">
        <v>1615</v>
      </c>
      <c r="E252" s="1565" t="s">
        <v>1616</v>
      </c>
      <c r="F252" s="1565"/>
      <c r="G252" s="544" t="s">
        <v>1231</v>
      </c>
      <c r="H252" s="545">
        <v>12.03</v>
      </c>
      <c r="I252" s="545">
        <f t="shared" si="7"/>
        <v>12.03</v>
      </c>
      <c r="J252" s="546">
        <f t="shared" si="6"/>
        <v>13.82</v>
      </c>
    </row>
    <row r="253" spans="1:10" ht="39" customHeight="1" x14ac:dyDescent="0.2">
      <c r="A253" s="543" t="s">
        <v>1157</v>
      </c>
      <c r="B253" s="1565" t="s">
        <v>1123</v>
      </c>
      <c r="C253" s="1565"/>
      <c r="D253" s="543" t="s">
        <v>1617</v>
      </c>
      <c r="E253" s="1565" t="s">
        <v>1618</v>
      </c>
      <c r="F253" s="1565"/>
      <c r="G253" s="544" t="s">
        <v>1231</v>
      </c>
      <c r="H253" s="545">
        <v>17.14</v>
      </c>
      <c r="I253" s="545">
        <f t="shared" si="7"/>
        <v>17.14</v>
      </c>
      <c r="J253" s="546">
        <f t="shared" si="6"/>
        <v>19.7</v>
      </c>
    </row>
    <row r="254" spans="1:10" ht="39" customHeight="1" x14ac:dyDescent="0.2">
      <c r="A254" s="543" t="s">
        <v>1157</v>
      </c>
      <c r="B254" s="1565" t="s">
        <v>1123</v>
      </c>
      <c r="C254" s="1565"/>
      <c r="D254" s="543" t="s">
        <v>1619</v>
      </c>
      <c r="E254" s="1565" t="s">
        <v>1620</v>
      </c>
      <c r="F254" s="1565"/>
      <c r="G254" s="544" t="s">
        <v>1231</v>
      </c>
      <c r="H254" s="545">
        <v>24.98</v>
      </c>
      <c r="I254" s="545">
        <f t="shared" si="7"/>
        <v>24.98</v>
      </c>
      <c r="J254" s="546">
        <f t="shared" si="6"/>
        <v>28.71</v>
      </c>
    </row>
    <row r="255" spans="1:10" ht="39" customHeight="1" x14ac:dyDescent="0.2">
      <c r="A255" s="543" t="s">
        <v>1157</v>
      </c>
      <c r="B255" s="1565" t="s">
        <v>1123</v>
      </c>
      <c r="C255" s="1565"/>
      <c r="D255" s="543" t="s">
        <v>1621</v>
      </c>
      <c r="E255" s="1565" t="s">
        <v>1622</v>
      </c>
      <c r="F255" s="1565"/>
      <c r="G255" s="544" t="s">
        <v>1168</v>
      </c>
      <c r="H255" s="545">
        <v>1.96</v>
      </c>
      <c r="I255" s="545">
        <f t="shared" si="7"/>
        <v>1.96</v>
      </c>
      <c r="J255" s="546">
        <f t="shared" si="6"/>
        <v>2.25</v>
      </c>
    </row>
    <row r="256" spans="1:10" ht="39" customHeight="1" x14ac:dyDescent="0.2">
      <c r="A256" s="543" t="s">
        <v>1157</v>
      </c>
      <c r="B256" s="1565" t="s">
        <v>1123</v>
      </c>
      <c r="C256" s="1565"/>
      <c r="D256" s="543" t="s">
        <v>1623</v>
      </c>
      <c r="E256" s="1565" t="s">
        <v>1624</v>
      </c>
      <c r="F256" s="1565"/>
      <c r="G256" s="544" t="s">
        <v>1168</v>
      </c>
      <c r="H256" s="545">
        <v>0.17</v>
      </c>
      <c r="I256" s="545">
        <f t="shared" si="7"/>
        <v>0.17</v>
      </c>
      <c r="J256" s="546">
        <f t="shared" si="6"/>
        <v>0.19</v>
      </c>
    </row>
    <row r="257" spans="1:10" ht="39" customHeight="1" x14ac:dyDescent="0.2">
      <c r="A257" s="543" t="s">
        <v>1157</v>
      </c>
      <c r="B257" s="1565" t="s">
        <v>1123</v>
      </c>
      <c r="C257" s="1565"/>
      <c r="D257" s="543" t="s">
        <v>1625</v>
      </c>
      <c r="E257" s="1565" t="s">
        <v>1626</v>
      </c>
      <c r="F257" s="1565"/>
      <c r="G257" s="544" t="s">
        <v>1168</v>
      </c>
      <c r="H257" s="545">
        <v>0.1</v>
      </c>
      <c r="I257" s="545">
        <f t="shared" si="7"/>
        <v>0.1</v>
      </c>
      <c r="J257" s="546">
        <f t="shared" si="6"/>
        <v>0.11</v>
      </c>
    </row>
    <row r="258" spans="1:10" ht="39" customHeight="1" x14ac:dyDescent="0.2">
      <c r="A258" s="543" t="s">
        <v>1157</v>
      </c>
      <c r="B258" s="1565" t="s">
        <v>1123</v>
      </c>
      <c r="C258" s="1565"/>
      <c r="D258" s="543" t="s">
        <v>1627</v>
      </c>
      <c r="E258" s="1565" t="s">
        <v>1628</v>
      </c>
      <c r="F258" s="1565"/>
      <c r="G258" s="544" t="s">
        <v>1168</v>
      </c>
      <c r="H258" s="545">
        <v>160.57</v>
      </c>
      <c r="I258" s="545">
        <f t="shared" si="7"/>
        <v>160.57</v>
      </c>
      <c r="J258" s="546">
        <f t="shared" si="6"/>
        <v>184.59</v>
      </c>
    </row>
    <row r="259" spans="1:10" ht="39" customHeight="1" x14ac:dyDescent="0.2">
      <c r="A259" s="543" t="s">
        <v>1157</v>
      </c>
      <c r="B259" s="1565" t="s">
        <v>1116</v>
      </c>
      <c r="C259" s="1565"/>
      <c r="D259" s="543" t="s">
        <v>1629</v>
      </c>
      <c r="E259" s="1565" t="s">
        <v>1630</v>
      </c>
      <c r="F259" s="1565"/>
      <c r="G259" s="544" t="s">
        <v>646</v>
      </c>
      <c r="H259" s="545">
        <v>201.3</v>
      </c>
      <c r="I259" s="545">
        <f t="shared" si="7"/>
        <v>201.3</v>
      </c>
      <c r="J259" s="546">
        <f t="shared" si="6"/>
        <v>231.41</v>
      </c>
    </row>
    <row r="260" spans="1:10" ht="39" customHeight="1" x14ac:dyDescent="0.2">
      <c r="A260" s="543" t="s">
        <v>1157</v>
      </c>
      <c r="B260" s="1565" t="s">
        <v>1123</v>
      </c>
      <c r="C260" s="1565"/>
      <c r="D260" s="543" t="s">
        <v>1631</v>
      </c>
      <c r="E260" s="1565" t="s">
        <v>1632</v>
      </c>
      <c r="F260" s="1565"/>
      <c r="G260" s="544" t="s">
        <v>1168</v>
      </c>
      <c r="H260" s="545">
        <v>0.27</v>
      </c>
      <c r="I260" s="545">
        <f t="shared" si="7"/>
        <v>0.27</v>
      </c>
      <c r="J260" s="546">
        <f t="shared" si="6"/>
        <v>0.31</v>
      </c>
    </row>
    <row r="261" spans="1:10" ht="39" customHeight="1" x14ac:dyDescent="0.2">
      <c r="A261" s="543" t="s">
        <v>1157</v>
      </c>
      <c r="B261" s="1565" t="s">
        <v>1123</v>
      </c>
      <c r="C261" s="1565"/>
      <c r="D261" s="543" t="s">
        <v>1633</v>
      </c>
      <c r="E261" s="1565" t="s">
        <v>1634</v>
      </c>
      <c r="F261" s="1565"/>
      <c r="G261" s="544" t="s">
        <v>1168</v>
      </c>
      <c r="H261" s="545">
        <v>1.24</v>
      </c>
      <c r="I261" s="545">
        <f t="shared" si="7"/>
        <v>1.24</v>
      </c>
      <c r="J261" s="546">
        <f t="shared" si="6"/>
        <v>1.42</v>
      </c>
    </row>
    <row r="262" spans="1:10" ht="39" customHeight="1" x14ac:dyDescent="0.2">
      <c r="A262" s="543" t="s">
        <v>1157</v>
      </c>
      <c r="B262" s="1565" t="s">
        <v>1123</v>
      </c>
      <c r="C262" s="1565"/>
      <c r="D262" s="543" t="s">
        <v>1635</v>
      </c>
      <c r="E262" s="1565" t="s">
        <v>1636</v>
      </c>
      <c r="F262" s="1565"/>
      <c r="G262" s="544" t="s">
        <v>1168</v>
      </c>
      <c r="H262" s="545">
        <v>1.32</v>
      </c>
      <c r="I262" s="545">
        <f t="shared" si="7"/>
        <v>1.32</v>
      </c>
      <c r="J262" s="546">
        <f t="shared" si="6"/>
        <v>1.51</v>
      </c>
    </row>
    <row r="263" spans="1:10" ht="39" customHeight="1" x14ac:dyDescent="0.2">
      <c r="A263" s="543" t="s">
        <v>1157</v>
      </c>
      <c r="B263" s="1565" t="s">
        <v>1123</v>
      </c>
      <c r="C263" s="1565"/>
      <c r="D263" s="543" t="s">
        <v>1637</v>
      </c>
      <c r="E263" s="1565" t="s">
        <v>1638</v>
      </c>
      <c r="F263" s="1565"/>
      <c r="G263" s="544" t="s">
        <v>1168</v>
      </c>
      <c r="H263" s="545">
        <v>121.38</v>
      </c>
      <c r="I263" s="545">
        <f t="shared" si="7"/>
        <v>121.38</v>
      </c>
      <c r="J263" s="546">
        <f t="shared" si="6"/>
        <v>139.53</v>
      </c>
    </row>
    <row r="264" spans="1:10" ht="39" customHeight="1" x14ac:dyDescent="0.2">
      <c r="A264" s="543" t="s">
        <v>1157</v>
      </c>
      <c r="B264" s="1565" t="s">
        <v>1123</v>
      </c>
      <c r="C264" s="1565"/>
      <c r="D264" s="543" t="s">
        <v>1639</v>
      </c>
      <c r="E264" s="1565" t="s">
        <v>1640</v>
      </c>
      <c r="F264" s="1565"/>
      <c r="G264" s="544" t="s">
        <v>1168</v>
      </c>
      <c r="H264" s="545">
        <v>294.56</v>
      </c>
      <c r="I264" s="545">
        <f t="shared" si="7"/>
        <v>294.56</v>
      </c>
      <c r="J264" s="546">
        <f t="shared" si="6"/>
        <v>338.62</v>
      </c>
    </row>
    <row r="265" spans="1:10" ht="39" customHeight="1" x14ac:dyDescent="0.2">
      <c r="A265" s="543" t="s">
        <v>1157</v>
      </c>
      <c r="B265" s="1565" t="s">
        <v>1123</v>
      </c>
      <c r="C265" s="1565"/>
      <c r="D265" s="543" t="s">
        <v>1641</v>
      </c>
      <c r="E265" s="1565" t="s">
        <v>1642</v>
      </c>
      <c r="F265" s="1565"/>
      <c r="G265" s="544" t="s">
        <v>1257</v>
      </c>
      <c r="H265" s="545">
        <v>249.5</v>
      </c>
      <c r="I265" s="545">
        <f t="shared" si="7"/>
        <v>249.5</v>
      </c>
      <c r="J265" s="546">
        <f t="shared" si="6"/>
        <v>286.82</v>
      </c>
    </row>
    <row r="266" spans="1:10" ht="39" customHeight="1" x14ac:dyDescent="0.2">
      <c r="A266" s="543" t="s">
        <v>1157</v>
      </c>
      <c r="B266" s="1565" t="s">
        <v>1123</v>
      </c>
      <c r="C266" s="1565"/>
      <c r="D266" s="543" t="s">
        <v>1643</v>
      </c>
      <c r="E266" s="1565" t="s">
        <v>1644</v>
      </c>
      <c r="F266" s="1565"/>
      <c r="G266" s="544" t="s">
        <v>1168</v>
      </c>
      <c r="H266" s="545">
        <v>22</v>
      </c>
      <c r="I266" s="545">
        <f t="shared" si="7"/>
        <v>22</v>
      </c>
      <c r="J266" s="546">
        <f t="shared" si="6"/>
        <v>25.29</v>
      </c>
    </row>
    <row r="267" spans="1:10" ht="39" customHeight="1" x14ac:dyDescent="0.2">
      <c r="A267" s="543" t="s">
        <v>1157</v>
      </c>
      <c r="B267" s="1565" t="s">
        <v>1123</v>
      </c>
      <c r="C267" s="1565"/>
      <c r="D267" s="543" t="s">
        <v>1645</v>
      </c>
      <c r="E267" s="1565" t="s">
        <v>1646</v>
      </c>
      <c r="F267" s="1565"/>
      <c r="G267" s="544" t="s">
        <v>1168</v>
      </c>
      <c r="H267" s="545">
        <v>389</v>
      </c>
      <c r="I267" s="545">
        <f t="shared" si="7"/>
        <v>389</v>
      </c>
      <c r="J267" s="546">
        <f t="shared" si="6"/>
        <v>447.19</v>
      </c>
    </row>
    <row r="268" spans="1:10" ht="39" customHeight="1" x14ac:dyDescent="0.2">
      <c r="A268" s="543" t="s">
        <v>1157</v>
      </c>
      <c r="B268" s="1565" t="s">
        <v>1123</v>
      </c>
      <c r="C268" s="1565"/>
      <c r="D268" s="543" t="s">
        <v>1647</v>
      </c>
      <c r="E268" s="1565" t="s">
        <v>1648</v>
      </c>
      <c r="F268" s="1565"/>
      <c r="G268" s="544" t="s">
        <v>1168</v>
      </c>
      <c r="H268" s="545">
        <v>128.18</v>
      </c>
      <c r="I268" s="545">
        <f t="shared" si="7"/>
        <v>128.18</v>
      </c>
      <c r="J268" s="546">
        <f t="shared" si="6"/>
        <v>147.35</v>
      </c>
    </row>
    <row r="269" spans="1:10" ht="39" customHeight="1" x14ac:dyDescent="0.2">
      <c r="A269" s="543" t="s">
        <v>1157</v>
      </c>
      <c r="B269" s="1565" t="s">
        <v>1123</v>
      </c>
      <c r="C269" s="1565"/>
      <c r="D269" s="543" t="s">
        <v>1649</v>
      </c>
      <c r="E269" s="1565" t="s">
        <v>1650</v>
      </c>
      <c r="F269" s="1565"/>
      <c r="G269" s="544" t="s">
        <v>1243</v>
      </c>
      <c r="H269" s="545">
        <v>12.15</v>
      </c>
      <c r="I269" s="545">
        <f t="shared" si="7"/>
        <v>12.15</v>
      </c>
      <c r="J269" s="546">
        <f t="shared" ref="J269:J332" si="8">TRUNC((H269*($J$11))*(1+$J$8),2)</f>
        <v>13.96</v>
      </c>
    </row>
    <row r="270" spans="1:10" ht="39" customHeight="1" x14ac:dyDescent="0.2">
      <c r="A270" s="543" t="s">
        <v>1157</v>
      </c>
      <c r="B270" s="1565" t="s">
        <v>1123</v>
      </c>
      <c r="C270" s="1565"/>
      <c r="D270" s="543" t="s">
        <v>1651</v>
      </c>
      <c r="E270" s="1565" t="s">
        <v>1652</v>
      </c>
      <c r="F270" s="1565"/>
      <c r="G270" s="544" t="s">
        <v>1168</v>
      </c>
      <c r="H270" s="545">
        <v>4.99</v>
      </c>
      <c r="I270" s="545">
        <f t="shared" ref="I270:I333" si="9">(H270*($J$11))</f>
        <v>4.99</v>
      </c>
      <c r="J270" s="546">
        <f t="shared" si="8"/>
        <v>5.73</v>
      </c>
    </row>
    <row r="271" spans="1:10" ht="39" customHeight="1" x14ac:dyDescent="0.2">
      <c r="A271" s="543" t="s">
        <v>1157</v>
      </c>
      <c r="B271" s="1565" t="s">
        <v>1123</v>
      </c>
      <c r="C271" s="1565"/>
      <c r="D271" s="543" t="s">
        <v>1653</v>
      </c>
      <c r="E271" s="1565" t="s">
        <v>1654</v>
      </c>
      <c r="F271" s="1565"/>
      <c r="G271" s="544" t="s">
        <v>1168</v>
      </c>
      <c r="H271" s="545">
        <v>32.69</v>
      </c>
      <c r="I271" s="545">
        <f t="shared" si="9"/>
        <v>32.69</v>
      </c>
      <c r="J271" s="546">
        <f t="shared" si="8"/>
        <v>37.58</v>
      </c>
    </row>
    <row r="272" spans="1:10" ht="39" customHeight="1" x14ac:dyDescent="0.2">
      <c r="A272" s="543" t="s">
        <v>1157</v>
      </c>
      <c r="B272" s="1565" t="s">
        <v>1123</v>
      </c>
      <c r="C272" s="1565"/>
      <c r="D272" s="543" t="s">
        <v>1655</v>
      </c>
      <c r="E272" s="1565" t="s">
        <v>1656</v>
      </c>
      <c r="F272" s="1565"/>
      <c r="G272" s="544" t="s">
        <v>1168</v>
      </c>
      <c r="H272" s="545">
        <v>28.9</v>
      </c>
      <c r="I272" s="545">
        <f t="shared" si="9"/>
        <v>28.9</v>
      </c>
      <c r="J272" s="546">
        <f t="shared" si="8"/>
        <v>33.22</v>
      </c>
    </row>
    <row r="273" spans="1:10" ht="39" customHeight="1" x14ac:dyDescent="0.2">
      <c r="A273" s="543" t="s">
        <v>1157</v>
      </c>
      <c r="B273" s="1565" t="s">
        <v>1123</v>
      </c>
      <c r="C273" s="1565"/>
      <c r="D273" s="543" t="s">
        <v>1657</v>
      </c>
      <c r="E273" s="1565" t="s">
        <v>1658</v>
      </c>
      <c r="F273" s="1565"/>
      <c r="G273" s="544" t="s">
        <v>1257</v>
      </c>
      <c r="H273" s="545">
        <v>12.58</v>
      </c>
      <c r="I273" s="545">
        <f t="shared" si="9"/>
        <v>12.58</v>
      </c>
      <c r="J273" s="546">
        <f t="shared" si="8"/>
        <v>14.46</v>
      </c>
    </row>
    <row r="274" spans="1:10" ht="39" customHeight="1" x14ac:dyDescent="0.2">
      <c r="A274" s="543" t="s">
        <v>1157</v>
      </c>
      <c r="B274" s="1565" t="s">
        <v>1123</v>
      </c>
      <c r="C274" s="1565"/>
      <c r="D274" s="543" t="s">
        <v>1659</v>
      </c>
      <c r="E274" s="1565" t="s">
        <v>1660</v>
      </c>
      <c r="F274" s="1565"/>
      <c r="G274" s="544" t="s">
        <v>1257</v>
      </c>
      <c r="H274" s="545">
        <v>202.7</v>
      </c>
      <c r="I274" s="545">
        <f t="shared" si="9"/>
        <v>202.7</v>
      </c>
      <c r="J274" s="546">
        <f t="shared" si="8"/>
        <v>233.02</v>
      </c>
    </row>
    <row r="275" spans="1:10" ht="39" customHeight="1" x14ac:dyDescent="0.2">
      <c r="A275" s="543" t="s">
        <v>1157</v>
      </c>
      <c r="B275" s="1565" t="s">
        <v>1123</v>
      </c>
      <c r="C275" s="1565"/>
      <c r="D275" s="543" t="s">
        <v>1661</v>
      </c>
      <c r="E275" s="1565" t="s">
        <v>1662</v>
      </c>
      <c r="F275" s="1565"/>
      <c r="G275" s="544" t="s">
        <v>1257</v>
      </c>
      <c r="H275" s="545">
        <v>178.89</v>
      </c>
      <c r="I275" s="545">
        <f t="shared" si="9"/>
        <v>178.89</v>
      </c>
      <c r="J275" s="546">
        <f t="shared" si="8"/>
        <v>205.65</v>
      </c>
    </row>
    <row r="276" spans="1:10" ht="39" customHeight="1" x14ac:dyDescent="0.2">
      <c r="A276" s="543" t="s">
        <v>1157</v>
      </c>
      <c r="B276" s="1565" t="s">
        <v>1123</v>
      </c>
      <c r="C276" s="1565"/>
      <c r="D276" s="543" t="s">
        <v>1663</v>
      </c>
      <c r="E276" s="1565" t="s">
        <v>1664</v>
      </c>
      <c r="F276" s="1565"/>
      <c r="G276" s="544" t="s">
        <v>1257</v>
      </c>
      <c r="H276" s="545">
        <v>231.97790000000001</v>
      </c>
      <c r="I276" s="545">
        <f t="shared" si="9"/>
        <v>231.97790000000001</v>
      </c>
      <c r="J276" s="546">
        <f t="shared" si="8"/>
        <v>266.68</v>
      </c>
    </row>
    <row r="277" spans="1:10" ht="39" customHeight="1" x14ac:dyDescent="0.2">
      <c r="A277" s="543" t="s">
        <v>1157</v>
      </c>
      <c r="B277" s="1565" t="s">
        <v>1123</v>
      </c>
      <c r="C277" s="1565"/>
      <c r="D277" s="543" t="s">
        <v>1665</v>
      </c>
      <c r="E277" s="1565" t="s">
        <v>1666</v>
      </c>
      <c r="F277" s="1565"/>
      <c r="G277" s="544" t="s">
        <v>1257</v>
      </c>
      <c r="H277" s="545">
        <v>92.72</v>
      </c>
      <c r="I277" s="545">
        <f t="shared" si="9"/>
        <v>92.72</v>
      </c>
      <c r="J277" s="546">
        <f t="shared" si="8"/>
        <v>106.59</v>
      </c>
    </row>
    <row r="278" spans="1:10" ht="39" customHeight="1" x14ac:dyDescent="0.2">
      <c r="A278" s="543" t="s">
        <v>1157</v>
      </c>
      <c r="B278" s="1565" t="s">
        <v>1123</v>
      </c>
      <c r="C278" s="1565"/>
      <c r="D278" s="543" t="s">
        <v>1667</v>
      </c>
      <c r="E278" s="1565" t="s">
        <v>1668</v>
      </c>
      <c r="F278" s="1565"/>
      <c r="G278" s="544" t="s">
        <v>1231</v>
      </c>
      <c r="H278" s="545">
        <v>2.4500000000000002</v>
      </c>
      <c r="I278" s="545">
        <f t="shared" si="9"/>
        <v>2.4500000000000002</v>
      </c>
      <c r="J278" s="546">
        <f t="shared" si="8"/>
        <v>2.81</v>
      </c>
    </row>
    <row r="279" spans="1:10" ht="39" customHeight="1" x14ac:dyDescent="0.2">
      <c r="A279" s="543" t="s">
        <v>1157</v>
      </c>
      <c r="B279" s="1565" t="s">
        <v>1123</v>
      </c>
      <c r="C279" s="1565"/>
      <c r="D279" s="543" t="s">
        <v>1669</v>
      </c>
      <c r="E279" s="1565" t="s">
        <v>1670</v>
      </c>
      <c r="F279" s="1565"/>
      <c r="G279" s="544" t="s">
        <v>1168</v>
      </c>
      <c r="H279" s="545">
        <v>349.9</v>
      </c>
      <c r="I279" s="545">
        <f t="shared" si="9"/>
        <v>349.9</v>
      </c>
      <c r="J279" s="546">
        <f t="shared" si="8"/>
        <v>402.24</v>
      </c>
    </row>
    <row r="280" spans="1:10" ht="39" customHeight="1" x14ac:dyDescent="0.2">
      <c r="A280" s="543" t="s">
        <v>1157</v>
      </c>
      <c r="B280" s="1565" t="s">
        <v>1123</v>
      </c>
      <c r="C280" s="1565"/>
      <c r="D280" s="543" t="s">
        <v>1671</v>
      </c>
      <c r="E280" s="1565" t="s">
        <v>1672</v>
      </c>
      <c r="F280" s="1565"/>
      <c r="G280" s="544" t="s">
        <v>1257</v>
      </c>
      <c r="H280" s="545">
        <v>383.77</v>
      </c>
      <c r="I280" s="545">
        <f t="shared" si="9"/>
        <v>383.77</v>
      </c>
      <c r="J280" s="546">
        <f t="shared" si="8"/>
        <v>441.18</v>
      </c>
    </row>
    <row r="281" spans="1:10" ht="39" customHeight="1" x14ac:dyDescent="0.2">
      <c r="A281" s="543" t="s">
        <v>1157</v>
      </c>
      <c r="B281" s="1565" t="s">
        <v>1123</v>
      </c>
      <c r="C281" s="1565"/>
      <c r="D281" s="543" t="s">
        <v>1673</v>
      </c>
      <c r="E281" s="1565" t="s">
        <v>1674</v>
      </c>
      <c r="F281" s="1565"/>
      <c r="G281" s="544" t="s">
        <v>1168</v>
      </c>
      <c r="H281" s="545">
        <v>0.14000000000000001</v>
      </c>
      <c r="I281" s="545">
        <f t="shared" si="9"/>
        <v>0.14000000000000001</v>
      </c>
      <c r="J281" s="546">
        <f t="shared" si="8"/>
        <v>0.16</v>
      </c>
    </row>
    <row r="282" spans="1:10" ht="39" customHeight="1" x14ac:dyDescent="0.2">
      <c r="A282" s="543" t="s">
        <v>1157</v>
      </c>
      <c r="B282" s="1565" t="s">
        <v>1123</v>
      </c>
      <c r="C282" s="1565"/>
      <c r="D282" s="543" t="s">
        <v>1675</v>
      </c>
      <c r="E282" s="1565" t="s">
        <v>1676</v>
      </c>
      <c r="F282" s="1565"/>
      <c r="G282" s="544" t="s">
        <v>1168</v>
      </c>
      <c r="H282" s="545">
        <v>0.25</v>
      </c>
      <c r="I282" s="545">
        <f t="shared" si="9"/>
        <v>0.25</v>
      </c>
      <c r="J282" s="546">
        <f t="shared" si="8"/>
        <v>0.28000000000000003</v>
      </c>
    </row>
    <row r="283" spans="1:10" ht="39" customHeight="1" x14ac:dyDescent="0.2">
      <c r="A283" s="543" t="s">
        <v>1157</v>
      </c>
      <c r="B283" s="1565" t="s">
        <v>1123</v>
      </c>
      <c r="C283" s="1565"/>
      <c r="D283" s="543" t="s">
        <v>1677</v>
      </c>
      <c r="E283" s="1565" t="s">
        <v>1678</v>
      </c>
      <c r="F283" s="1565"/>
      <c r="G283" s="544" t="s">
        <v>1168</v>
      </c>
      <c r="H283" s="545">
        <v>1.04</v>
      </c>
      <c r="I283" s="545">
        <f t="shared" si="9"/>
        <v>1.04</v>
      </c>
      <c r="J283" s="546">
        <f t="shared" si="8"/>
        <v>1.19</v>
      </c>
    </row>
    <row r="284" spans="1:10" ht="39" customHeight="1" x14ac:dyDescent="0.2">
      <c r="A284" s="543" t="s">
        <v>1157</v>
      </c>
      <c r="B284" s="1565" t="s">
        <v>1123</v>
      </c>
      <c r="C284" s="1565"/>
      <c r="D284" s="543" t="s">
        <v>1679</v>
      </c>
      <c r="E284" s="1565" t="s">
        <v>1680</v>
      </c>
      <c r="F284" s="1565"/>
      <c r="G284" s="544" t="s">
        <v>1260</v>
      </c>
      <c r="H284" s="545">
        <v>123.58</v>
      </c>
      <c r="I284" s="545">
        <f t="shared" si="9"/>
        <v>123.58</v>
      </c>
      <c r="J284" s="546">
        <f t="shared" si="8"/>
        <v>142.06</v>
      </c>
    </row>
    <row r="285" spans="1:10" ht="39" customHeight="1" x14ac:dyDescent="0.2">
      <c r="A285" s="543" t="s">
        <v>1157</v>
      </c>
      <c r="B285" s="1565" t="s">
        <v>1123</v>
      </c>
      <c r="C285" s="1565"/>
      <c r="D285" s="543" t="s">
        <v>1681</v>
      </c>
      <c r="E285" s="1565" t="s">
        <v>1682</v>
      </c>
      <c r="F285" s="1565"/>
      <c r="G285" s="544" t="s">
        <v>1168</v>
      </c>
      <c r="H285" s="545">
        <v>0.23</v>
      </c>
      <c r="I285" s="545">
        <f t="shared" si="9"/>
        <v>0.23</v>
      </c>
      <c r="J285" s="546">
        <f t="shared" si="8"/>
        <v>0.26</v>
      </c>
    </row>
    <row r="286" spans="1:10" ht="39" customHeight="1" x14ac:dyDescent="0.2">
      <c r="A286" s="543" t="s">
        <v>1157</v>
      </c>
      <c r="B286" s="1565" t="s">
        <v>1123</v>
      </c>
      <c r="C286" s="1565"/>
      <c r="D286" s="543" t="s">
        <v>1683</v>
      </c>
      <c r="E286" s="1565" t="s">
        <v>1684</v>
      </c>
      <c r="F286" s="1565"/>
      <c r="G286" s="544" t="s">
        <v>1168</v>
      </c>
      <c r="H286" s="545">
        <v>0.41</v>
      </c>
      <c r="I286" s="545">
        <f t="shared" si="9"/>
        <v>0.41</v>
      </c>
      <c r="J286" s="546">
        <f t="shared" si="8"/>
        <v>0.47</v>
      </c>
    </row>
    <row r="287" spans="1:10" ht="39" customHeight="1" x14ac:dyDescent="0.2">
      <c r="A287" s="543" t="s">
        <v>1157</v>
      </c>
      <c r="B287" s="1565" t="s">
        <v>1123</v>
      </c>
      <c r="C287" s="1565"/>
      <c r="D287" s="543" t="s">
        <v>1685</v>
      </c>
      <c r="E287" s="1565" t="s">
        <v>1686</v>
      </c>
      <c r="F287" s="1565"/>
      <c r="G287" s="544" t="s">
        <v>1243</v>
      </c>
      <c r="H287" s="545">
        <v>28.53</v>
      </c>
      <c r="I287" s="545">
        <f t="shared" si="9"/>
        <v>28.53</v>
      </c>
      <c r="J287" s="546">
        <f t="shared" si="8"/>
        <v>32.79</v>
      </c>
    </row>
    <row r="288" spans="1:10" ht="39" customHeight="1" x14ac:dyDescent="0.2">
      <c r="A288" s="543" t="s">
        <v>1157</v>
      </c>
      <c r="B288" s="1565" t="s">
        <v>1123</v>
      </c>
      <c r="C288" s="1565"/>
      <c r="D288" s="543" t="s">
        <v>1687</v>
      </c>
      <c r="E288" s="1565" t="s">
        <v>1688</v>
      </c>
      <c r="F288" s="1565"/>
      <c r="G288" s="544" t="s">
        <v>1257</v>
      </c>
      <c r="H288" s="545">
        <v>122.62</v>
      </c>
      <c r="I288" s="545">
        <f t="shared" si="9"/>
        <v>122.62</v>
      </c>
      <c r="J288" s="546">
        <f t="shared" si="8"/>
        <v>140.96</v>
      </c>
    </row>
    <row r="289" spans="1:10" ht="39" customHeight="1" x14ac:dyDescent="0.2">
      <c r="A289" s="543" t="s">
        <v>1157</v>
      </c>
      <c r="B289" s="1565" t="s">
        <v>1123</v>
      </c>
      <c r="C289" s="1565"/>
      <c r="D289" s="543" t="s">
        <v>1689</v>
      </c>
      <c r="E289" s="1565" t="s">
        <v>1690</v>
      </c>
      <c r="F289" s="1565"/>
      <c r="G289" s="544" t="s">
        <v>1243</v>
      </c>
      <c r="H289" s="545">
        <v>8.1750000000000007</v>
      </c>
      <c r="I289" s="545">
        <f t="shared" si="9"/>
        <v>8.1750000000000007</v>
      </c>
      <c r="J289" s="546">
        <f t="shared" si="8"/>
        <v>9.39</v>
      </c>
    </row>
    <row r="290" spans="1:10" ht="39" customHeight="1" x14ac:dyDescent="0.2">
      <c r="A290" s="543" t="s">
        <v>1157</v>
      </c>
      <c r="B290" s="1565" t="s">
        <v>1123</v>
      </c>
      <c r="C290" s="1565"/>
      <c r="D290" s="543" t="s">
        <v>1691</v>
      </c>
      <c r="E290" s="1565" t="s">
        <v>1692</v>
      </c>
      <c r="F290" s="1565"/>
      <c r="G290" s="544" t="s">
        <v>1243</v>
      </c>
      <c r="H290" s="545">
        <v>8.3450000000000006</v>
      </c>
      <c r="I290" s="545">
        <f t="shared" si="9"/>
        <v>8.3450000000000006</v>
      </c>
      <c r="J290" s="546">
        <f t="shared" si="8"/>
        <v>9.59</v>
      </c>
    </row>
    <row r="291" spans="1:10" ht="39" customHeight="1" x14ac:dyDescent="0.2">
      <c r="A291" s="543" t="s">
        <v>1157</v>
      </c>
      <c r="B291" s="1565" t="s">
        <v>1123</v>
      </c>
      <c r="C291" s="1565"/>
      <c r="D291" s="543" t="s">
        <v>1693</v>
      </c>
      <c r="E291" s="1565" t="s">
        <v>1694</v>
      </c>
      <c r="F291" s="1565"/>
      <c r="G291" s="544" t="s">
        <v>1243</v>
      </c>
      <c r="H291" s="545">
        <v>8.2515000000000001</v>
      </c>
      <c r="I291" s="545">
        <f t="shared" si="9"/>
        <v>8.2515000000000001</v>
      </c>
      <c r="J291" s="546">
        <f t="shared" si="8"/>
        <v>9.48</v>
      </c>
    </row>
    <row r="292" spans="1:10" ht="39" customHeight="1" x14ac:dyDescent="0.2">
      <c r="A292" s="543" t="s">
        <v>1157</v>
      </c>
      <c r="B292" s="1565" t="s">
        <v>1123</v>
      </c>
      <c r="C292" s="1565"/>
      <c r="D292" s="543" t="s">
        <v>1695</v>
      </c>
      <c r="E292" s="1565" t="s">
        <v>1696</v>
      </c>
      <c r="F292" s="1565"/>
      <c r="G292" s="544" t="s">
        <v>1243</v>
      </c>
      <c r="H292" s="545">
        <v>8.9184999999999999</v>
      </c>
      <c r="I292" s="545">
        <f t="shared" si="9"/>
        <v>8.9184999999999999</v>
      </c>
      <c r="J292" s="546">
        <f t="shared" si="8"/>
        <v>10.25</v>
      </c>
    </row>
    <row r="293" spans="1:10" ht="39" customHeight="1" x14ac:dyDescent="0.2">
      <c r="A293" s="543" t="s">
        <v>1157</v>
      </c>
      <c r="B293" s="1565" t="s">
        <v>1123</v>
      </c>
      <c r="C293" s="1565"/>
      <c r="D293" s="543" t="s">
        <v>1697</v>
      </c>
      <c r="E293" s="1565" t="s">
        <v>1698</v>
      </c>
      <c r="F293" s="1565"/>
      <c r="G293" s="544" t="s">
        <v>1168</v>
      </c>
      <c r="H293" s="545">
        <v>0.99</v>
      </c>
      <c r="I293" s="545">
        <f t="shared" si="9"/>
        <v>0.99</v>
      </c>
      <c r="J293" s="546">
        <f t="shared" si="8"/>
        <v>1.1299999999999999</v>
      </c>
    </row>
    <row r="294" spans="1:10" ht="39" customHeight="1" x14ac:dyDescent="0.2">
      <c r="A294" s="543" t="s">
        <v>1157</v>
      </c>
      <c r="B294" s="1565" t="s">
        <v>1123</v>
      </c>
      <c r="C294" s="1565"/>
      <c r="D294" s="543" t="s">
        <v>1699</v>
      </c>
      <c r="E294" s="1565" t="s">
        <v>1700</v>
      </c>
      <c r="F294" s="1565"/>
      <c r="G294" s="544" t="s">
        <v>1168</v>
      </c>
      <c r="H294" s="545">
        <v>0.34</v>
      </c>
      <c r="I294" s="545">
        <f t="shared" si="9"/>
        <v>0.34</v>
      </c>
      <c r="J294" s="546">
        <f t="shared" si="8"/>
        <v>0.39</v>
      </c>
    </row>
    <row r="295" spans="1:10" ht="39" customHeight="1" x14ac:dyDescent="0.2">
      <c r="A295" s="543" t="s">
        <v>1157</v>
      </c>
      <c r="B295" s="1565" t="s">
        <v>1123</v>
      </c>
      <c r="C295" s="1565"/>
      <c r="D295" s="543" t="s">
        <v>1701</v>
      </c>
      <c r="E295" s="1565" t="s">
        <v>1702</v>
      </c>
      <c r="F295" s="1565"/>
      <c r="G295" s="544" t="s">
        <v>1168</v>
      </c>
      <c r="H295" s="545">
        <v>0.28999999999999998</v>
      </c>
      <c r="I295" s="545">
        <f t="shared" si="9"/>
        <v>0.28999999999999998</v>
      </c>
      <c r="J295" s="546">
        <f t="shared" si="8"/>
        <v>0.33</v>
      </c>
    </row>
    <row r="296" spans="1:10" ht="39" customHeight="1" x14ac:dyDescent="0.2">
      <c r="A296" s="543" t="s">
        <v>1157</v>
      </c>
      <c r="B296" s="1565" t="s">
        <v>1123</v>
      </c>
      <c r="C296" s="1565"/>
      <c r="D296" s="543" t="s">
        <v>1703</v>
      </c>
      <c r="E296" s="1565" t="s">
        <v>1704</v>
      </c>
      <c r="F296" s="1565"/>
      <c r="G296" s="544" t="s">
        <v>1168</v>
      </c>
      <c r="H296" s="545">
        <v>1.59</v>
      </c>
      <c r="I296" s="545">
        <f t="shared" si="9"/>
        <v>1.59</v>
      </c>
      <c r="J296" s="546">
        <f t="shared" si="8"/>
        <v>1.82</v>
      </c>
    </row>
    <row r="297" spans="1:10" ht="39" customHeight="1" x14ac:dyDescent="0.2">
      <c r="A297" s="543" t="s">
        <v>1157</v>
      </c>
      <c r="B297" s="1565" t="s">
        <v>1123</v>
      </c>
      <c r="C297" s="1565"/>
      <c r="D297" s="543" t="s">
        <v>1705</v>
      </c>
      <c r="E297" s="1565" t="s">
        <v>1706</v>
      </c>
      <c r="F297" s="1565"/>
      <c r="G297" s="544" t="s">
        <v>1231</v>
      </c>
      <c r="H297" s="545">
        <v>0.15</v>
      </c>
      <c r="I297" s="545">
        <f t="shared" si="9"/>
        <v>0.15</v>
      </c>
      <c r="J297" s="546">
        <f t="shared" si="8"/>
        <v>0.17</v>
      </c>
    </row>
    <row r="298" spans="1:10" ht="39" customHeight="1" x14ac:dyDescent="0.2">
      <c r="A298" s="543" t="s">
        <v>1157</v>
      </c>
      <c r="B298" s="1565" t="s">
        <v>1123</v>
      </c>
      <c r="C298" s="1565"/>
      <c r="D298" s="543" t="s">
        <v>1707</v>
      </c>
      <c r="E298" s="1565" t="s">
        <v>1708</v>
      </c>
      <c r="F298" s="1565"/>
      <c r="G298" s="544" t="s">
        <v>1168</v>
      </c>
      <c r="H298" s="545">
        <v>13.9</v>
      </c>
      <c r="I298" s="545">
        <f t="shared" si="9"/>
        <v>13.9</v>
      </c>
      <c r="J298" s="546">
        <f t="shared" si="8"/>
        <v>15.97</v>
      </c>
    </row>
    <row r="299" spans="1:10" ht="39" customHeight="1" x14ac:dyDescent="0.2">
      <c r="A299" s="543" t="s">
        <v>1157</v>
      </c>
      <c r="B299" s="1565" t="s">
        <v>1123</v>
      </c>
      <c r="C299" s="1565"/>
      <c r="D299" s="543" t="s">
        <v>1709</v>
      </c>
      <c r="E299" s="1565" t="s">
        <v>1710</v>
      </c>
      <c r="F299" s="1565"/>
      <c r="G299" s="544" t="s">
        <v>1168</v>
      </c>
      <c r="H299" s="545">
        <v>12.98</v>
      </c>
      <c r="I299" s="545">
        <f t="shared" si="9"/>
        <v>12.98</v>
      </c>
      <c r="J299" s="546">
        <f t="shared" si="8"/>
        <v>14.92</v>
      </c>
    </row>
    <row r="300" spans="1:10" ht="39" customHeight="1" x14ac:dyDescent="0.2">
      <c r="A300" s="543" t="s">
        <v>1157</v>
      </c>
      <c r="B300" s="1565" t="s">
        <v>1123</v>
      </c>
      <c r="C300" s="1565"/>
      <c r="D300" s="543" t="s">
        <v>1711</v>
      </c>
      <c r="E300" s="1565" t="s">
        <v>1712</v>
      </c>
      <c r="F300" s="1565"/>
      <c r="G300" s="544" t="s">
        <v>1168</v>
      </c>
      <c r="H300" s="545">
        <v>15.99</v>
      </c>
      <c r="I300" s="545">
        <f t="shared" si="9"/>
        <v>15.99</v>
      </c>
      <c r="J300" s="546">
        <f t="shared" si="8"/>
        <v>18.38</v>
      </c>
    </row>
    <row r="301" spans="1:10" ht="39" customHeight="1" x14ac:dyDescent="0.2">
      <c r="A301" s="543" t="s">
        <v>1157</v>
      </c>
      <c r="B301" s="1565" t="s">
        <v>1188</v>
      </c>
      <c r="C301" s="1565"/>
      <c r="D301" s="543" t="s">
        <v>1713</v>
      </c>
      <c r="E301" s="1565" t="s">
        <v>1714</v>
      </c>
      <c r="F301" s="1565"/>
      <c r="G301" s="544" t="s">
        <v>1019</v>
      </c>
      <c r="H301" s="545">
        <v>49.9</v>
      </c>
      <c r="I301" s="545">
        <f t="shared" si="9"/>
        <v>49.9</v>
      </c>
      <c r="J301" s="546">
        <f t="shared" si="8"/>
        <v>57.36</v>
      </c>
    </row>
    <row r="302" spans="1:10" ht="39" customHeight="1" x14ac:dyDescent="0.2">
      <c r="A302" s="543" t="s">
        <v>1157</v>
      </c>
      <c r="B302" s="1565" t="s">
        <v>1116</v>
      </c>
      <c r="C302" s="1565"/>
      <c r="D302" s="543" t="s">
        <v>1715</v>
      </c>
      <c r="E302" s="1565" t="s">
        <v>1716</v>
      </c>
      <c r="F302" s="1565"/>
      <c r="G302" s="544" t="s">
        <v>646</v>
      </c>
      <c r="H302" s="545">
        <v>22.95</v>
      </c>
      <c r="I302" s="545">
        <f t="shared" si="9"/>
        <v>22.95</v>
      </c>
      <c r="J302" s="546">
        <f t="shared" si="8"/>
        <v>26.38</v>
      </c>
    </row>
    <row r="303" spans="1:10" ht="39" customHeight="1" x14ac:dyDescent="0.2">
      <c r="A303" s="543" t="s">
        <v>1157</v>
      </c>
      <c r="B303" s="1565" t="s">
        <v>1116</v>
      </c>
      <c r="C303" s="1565"/>
      <c r="D303" s="543" t="s">
        <v>1717</v>
      </c>
      <c r="E303" s="1565" t="s">
        <v>1718</v>
      </c>
      <c r="F303" s="1565"/>
      <c r="G303" s="544" t="s">
        <v>1248</v>
      </c>
      <c r="H303" s="545">
        <v>6.17</v>
      </c>
      <c r="I303" s="545">
        <f t="shared" si="9"/>
        <v>6.17</v>
      </c>
      <c r="J303" s="546">
        <f t="shared" si="8"/>
        <v>7.09</v>
      </c>
    </row>
    <row r="304" spans="1:10" ht="39" customHeight="1" x14ac:dyDescent="0.2">
      <c r="A304" s="543" t="s">
        <v>1157</v>
      </c>
      <c r="B304" s="1565" t="s">
        <v>1116</v>
      </c>
      <c r="C304" s="1565"/>
      <c r="D304" s="543" t="s">
        <v>1719</v>
      </c>
      <c r="E304" s="1565" t="s">
        <v>1720</v>
      </c>
      <c r="F304" s="1565"/>
      <c r="G304" s="544" t="s">
        <v>1248</v>
      </c>
      <c r="H304" s="545">
        <v>63</v>
      </c>
      <c r="I304" s="545">
        <f t="shared" si="9"/>
        <v>63</v>
      </c>
      <c r="J304" s="546">
        <f t="shared" si="8"/>
        <v>72.42</v>
      </c>
    </row>
    <row r="305" spans="1:10" ht="39" customHeight="1" x14ac:dyDescent="0.2">
      <c r="A305" s="543" t="s">
        <v>1157</v>
      </c>
      <c r="B305" s="1565" t="s">
        <v>1188</v>
      </c>
      <c r="C305" s="1565"/>
      <c r="D305" s="543" t="s">
        <v>1721</v>
      </c>
      <c r="E305" s="1565" t="s">
        <v>1722</v>
      </c>
      <c r="F305" s="1565"/>
      <c r="G305" s="544" t="s">
        <v>1161</v>
      </c>
      <c r="H305" s="545">
        <v>65.27</v>
      </c>
      <c r="I305" s="545">
        <f t="shared" si="9"/>
        <v>65.27</v>
      </c>
      <c r="J305" s="546">
        <f t="shared" si="8"/>
        <v>75.03</v>
      </c>
    </row>
    <row r="306" spans="1:10" ht="39" customHeight="1" x14ac:dyDescent="0.2">
      <c r="A306" s="543" t="s">
        <v>1157</v>
      </c>
      <c r="B306" s="1565" t="s">
        <v>1188</v>
      </c>
      <c r="C306" s="1565"/>
      <c r="D306" s="543" t="s">
        <v>1723</v>
      </c>
      <c r="E306" s="1565" t="s">
        <v>1724</v>
      </c>
      <c r="F306" s="1565"/>
      <c r="G306" s="544" t="s">
        <v>646</v>
      </c>
      <c r="H306" s="545">
        <v>0.1</v>
      </c>
      <c r="I306" s="545">
        <f t="shared" si="9"/>
        <v>0.1</v>
      </c>
      <c r="J306" s="546">
        <f t="shared" si="8"/>
        <v>0.11</v>
      </c>
    </row>
    <row r="307" spans="1:10" ht="39" customHeight="1" x14ac:dyDescent="0.2">
      <c r="A307" s="543" t="s">
        <v>1157</v>
      </c>
      <c r="B307" s="1565" t="s">
        <v>1188</v>
      </c>
      <c r="C307" s="1565"/>
      <c r="D307" s="543" t="s">
        <v>1725</v>
      </c>
      <c r="E307" s="1565" t="s">
        <v>1726</v>
      </c>
      <c r="F307" s="1565"/>
      <c r="G307" s="544" t="s">
        <v>646</v>
      </c>
      <c r="H307" s="545">
        <v>1.19</v>
      </c>
      <c r="I307" s="545">
        <f t="shared" si="9"/>
        <v>1.19</v>
      </c>
      <c r="J307" s="546">
        <f t="shared" si="8"/>
        <v>1.36</v>
      </c>
    </row>
    <row r="308" spans="1:10" ht="39" customHeight="1" x14ac:dyDescent="0.2">
      <c r="A308" s="543" t="s">
        <v>1157</v>
      </c>
      <c r="B308" s="1565" t="s">
        <v>1116</v>
      </c>
      <c r="C308" s="1565"/>
      <c r="D308" s="543" t="s">
        <v>1727</v>
      </c>
      <c r="E308" s="1565" t="s">
        <v>1728</v>
      </c>
      <c r="F308" s="1565"/>
      <c r="G308" s="544" t="s">
        <v>646</v>
      </c>
      <c r="H308" s="545">
        <v>97.4</v>
      </c>
      <c r="I308" s="545">
        <f t="shared" si="9"/>
        <v>97.4</v>
      </c>
      <c r="J308" s="546">
        <f t="shared" si="8"/>
        <v>111.97</v>
      </c>
    </row>
    <row r="309" spans="1:10" ht="39" customHeight="1" x14ac:dyDescent="0.2">
      <c r="A309" s="543" t="s">
        <v>1157</v>
      </c>
      <c r="B309" s="1565" t="s">
        <v>1188</v>
      </c>
      <c r="C309" s="1565"/>
      <c r="D309" s="543" t="s">
        <v>1729</v>
      </c>
      <c r="E309" s="1565" t="s">
        <v>1730</v>
      </c>
      <c r="F309" s="1565"/>
      <c r="G309" s="544" t="s">
        <v>646</v>
      </c>
      <c r="H309" s="545">
        <v>41.31</v>
      </c>
      <c r="I309" s="545">
        <f t="shared" si="9"/>
        <v>41.31</v>
      </c>
      <c r="J309" s="546">
        <f t="shared" si="8"/>
        <v>47.48</v>
      </c>
    </row>
    <row r="310" spans="1:10" ht="39" customHeight="1" x14ac:dyDescent="0.2">
      <c r="A310" s="543" t="s">
        <v>1157</v>
      </c>
      <c r="B310" s="1565" t="s">
        <v>1116</v>
      </c>
      <c r="C310" s="1565"/>
      <c r="D310" s="543" t="s">
        <v>1731</v>
      </c>
      <c r="E310" s="1565" t="s">
        <v>1732</v>
      </c>
      <c r="F310" s="1565"/>
      <c r="G310" s="544" t="s">
        <v>646</v>
      </c>
      <c r="H310" s="545">
        <v>22.55</v>
      </c>
      <c r="I310" s="545">
        <f t="shared" si="9"/>
        <v>22.55</v>
      </c>
      <c r="J310" s="546">
        <f t="shared" si="8"/>
        <v>25.92</v>
      </c>
    </row>
    <row r="311" spans="1:10" ht="39" customHeight="1" x14ac:dyDescent="0.2">
      <c r="A311" s="543" t="s">
        <v>1157</v>
      </c>
      <c r="B311" s="1565" t="s">
        <v>1188</v>
      </c>
      <c r="C311" s="1565"/>
      <c r="D311" s="543" t="s">
        <v>1733</v>
      </c>
      <c r="E311" s="1565" t="s">
        <v>1734</v>
      </c>
      <c r="F311" s="1565"/>
      <c r="G311" s="544" t="s">
        <v>1191</v>
      </c>
      <c r="H311" s="545">
        <v>0.56000000000000005</v>
      </c>
      <c r="I311" s="545">
        <f t="shared" si="9"/>
        <v>0.56000000000000005</v>
      </c>
      <c r="J311" s="546">
        <f t="shared" si="8"/>
        <v>0.64</v>
      </c>
    </row>
    <row r="312" spans="1:10" ht="39" customHeight="1" x14ac:dyDescent="0.2">
      <c r="A312" s="543" t="s">
        <v>1157</v>
      </c>
      <c r="B312" s="1565" t="s">
        <v>1188</v>
      </c>
      <c r="C312" s="1565"/>
      <c r="D312" s="543" t="s">
        <v>1735</v>
      </c>
      <c r="E312" s="1565" t="s">
        <v>1736</v>
      </c>
      <c r="F312" s="1565"/>
      <c r="G312" s="544" t="s">
        <v>1248</v>
      </c>
      <c r="H312" s="545">
        <v>39.51</v>
      </c>
      <c r="I312" s="545">
        <f t="shared" si="9"/>
        <v>39.51</v>
      </c>
      <c r="J312" s="546">
        <f t="shared" si="8"/>
        <v>45.42</v>
      </c>
    </row>
    <row r="313" spans="1:10" ht="39" customHeight="1" x14ac:dyDescent="0.2">
      <c r="A313" s="543" t="s">
        <v>1157</v>
      </c>
      <c r="B313" s="1565" t="s">
        <v>1116</v>
      </c>
      <c r="C313" s="1565"/>
      <c r="D313" s="543" t="s">
        <v>1737</v>
      </c>
      <c r="E313" s="1565" t="s">
        <v>1738</v>
      </c>
      <c r="F313" s="1565"/>
      <c r="G313" s="544" t="s">
        <v>1181</v>
      </c>
      <c r="H313" s="545">
        <v>65.84</v>
      </c>
      <c r="I313" s="545">
        <f t="shared" si="9"/>
        <v>65.84</v>
      </c>
      <c r="J313" s="546">
        <f t="shared" si="8"/>
        <v>75.680000000000007</v>
      </c>
    </row>
    <row r="314" spans="1:10" ht="39" customHeight="1" x14ac:dyDescent="0.2">
      <c r="A314" s="543" t="s">
        <v>1157</v>
      </c>
      <c r="B314" s="1565" t="s">
        <v>1116</v>
      </c>
      <c r="C314" s="1565"/>
      <c r="D314" s="543" t="s">
        <v>1739</v>
      </c>
      <c r="E314" s="1565" t="s">
        <v>1740</v>
      </c>
      <c r="F314" s="1565"/>
      <c r="G314" s="544" t="s">
        <v>1181</v>
      </c>
      <c r="H314" s="545">
        <v>60.32</v>
      </c>
      <c r="I314" s="545">
        <f t="shared" si="9"/>
        <v>60.32</v>
      </c>
      <c r="J314" s="546">
        <f t="shared" si="8"/>
        <v>69.34</v>
      </c>
    </row>
    <row r="315" spans="1:10" ht="39" customHeight="1" x14ac:dyDescent="0.2">
      <c r="A315" s="543" t="s">
        <v>1157</v>
      </c>
      <c r="B315" s="1565" t="s">
        <v>1116</v>
      </c>
      <c r="C315" s="1565"/>
      <c r="D315" s="543" t="s">
        <v>1741</v>
      </c>
      <c r="E315" s="1565" t="s">
        <v>1742</v>
      </c>
      <c r="F315" s="1565"/>
      <c r="G315" s="544" t="s">
        <v>1191</v>
      </c>
      <c r="H315" s="545">
        <v>12.66</v>
      </c>
      <c r="I315" s="545">
        <f t="shared" si="9"/>
        <v>12.66</v>
      </c>
      <c r="J315" s="546">
        <f t="shared" si="8"/>
        <v>14.55</v>
      </c>
    </row>
    <row r="316" spans="1:10" ht="39" customHeight="1" x14ac:dyDescent="0.2">
      <c r="A316" s="543" t="s">
        <v>1157</v>
      </c>
      <c r="B316" s="1565" t="s">
        <v>1116</v>
      </c>
      <c r="C316" s="1565"/>
      <c r="D316" s="543" t="s">
        <v>1743</v>
      </c>
      <c r="E316" s="1565" t="s">
        <v>1744</v>
      </c>
      <c r="F316" s="1565"/>
      <c r="G316" s="544" t="s">
        <v>1191</v>
      </c>
      <c r="H316" s="545">
        <v>14.05</v>
      </c>
      <c r="I316" s="545">
        <f t="shared" si="9"/>
        <v>14.05</v>
      </c>
      <c r="J316" s="546">
        <f t="shared" si="8"/>
        <v>16.149999999999999</v>
      </c>
    </row>
    <row r="317" spans="1:10" ht="39" customHeight="1" x14ac:dyDescent="0.2">
      <c r="A317" s="543" t="s">
        <v>1157</v>
      </c>
      <c r="B317" s="1565" t="s">
        <v>1116</v>
      </c>
      <c r="C317" s="1565"/>
      <c r="D317" s="543" t="s">
        <v>1745</v>
      </c>
      <c r="E317" s="1565" t="s">
        <v>1746</v>
      </c>
      <c r="F317" s="1565"/>
      <c r="G317" s="544" t="s">
        <v>1191</v>
      </c>
      <c r="H317" s="545">
        <v>18.420000000000002</v>
      </c>
      <c r="I317" s="545">
        <f t="shared" si="9"/>
        <v>18.420000000000002</v>
      </c>
      <c r="J317" s="546">
        <f t="shared" si="8"/>
        <v>21.17</v>
      </c>
    </row>
    <row r="318" spans="1:10" ht="39" customHeight="1" x14ac:dyDescent="0.2">
      <c r="A318" s="543" t="s">
        <v>1157</v>
      </c>
      <c r="B318" s="1565" t="s">
        <v>1116</v>
      </c>
      <c r="C318" s="1565"/>
      <c r="D318" s="543" t="s">
        <v>1747</v>
      </c>
      <c r="E318" s="1565" t="s">
        <v>1748</v>
      </c>
      <c r="F318" s="1565"/>
      <c r="G318" s="544" t="s">
        <v>1191</v>
      </c>
      <c r="H318" s="545">
        <v>27.8</v>
      </c>
      <c r="I318" s="545">
        <f t="shared" si="9"/>
        <v>27.8</v>
      </c>
      <c r="J318" s="546">
        <f t="shared" si="8"/>
        <v>31.95</v>
      </c>
    </row>
    <row r="319" spans="1:10" ht="39" customHeight="1" x14ac:dyDescent="0.2">
      <c r="A319" s="543" t="s">
        <v>1157</v>
      </c>
      <c r="B319" s="1565" t="s">
        <v>1116</v>
      </c>
      <c r="C319" s="1565"/>
      <c r="D319" s="543" t="s">
        <v>1749</v>
      </c>
      <c r="E319" s="1565" t="s">
        <v>1750</v>
      </c>
      <c r="F319" s="1565"/>
      <c r="G319" s="544" t="s">
        <v>1191</v>
      </c>
      <c r="H319" s="545">
        <v>35.770000000000003</v>
      </c>
      <c r="I319" s="545">
        <f t="shared" si="9"/>
        <v>35.770000000000003</v>
      </c>
      <c r="J319" s="546">
        <f t="shared" si="8"/>
        <v>41.12</v>
      </c>
    </row>
    <row r="320" spans="1:10" ht="39" customHeight="1" x14ac:dyDescent="0.2">
      <c r="A320" s="543" t="s">
        <v>1157</v>
      </c>
      <c r="B320" s="1565" t="s">
        <v>1116</v>
      </c>
      <c r="C320" s="1565"/>
      <c r="D320" s="543" t="s">
        <v>1751</v>
      </c>
      <c r="E320" s="1565" t="s">
        <v>1752</v>
      </c>
      <c r="F320" s="1565"/>
      <c r="G320" s="544" t="s">
        <v>1191</v>
      </c>
      <c r="H320" s="545">
        <v>47.65</v>
      </c>
      <c r="I320" s="545">
        <f t="shared" si="9"/>
        <v>47.65</v>
      </c>
      <c r="J320" s="546">
        <f t="shared" si="8"/>
        <v>54.77</v>
      </c>
    </row>
    <row r="321" spans="1:10" ht="39" customHeight="1" x14ac:dyDescent="0.2">
      <c r="A321" s="543" t="s">
        <v>1157</v>
      </c>
      <c r="B321" s="1565" t="s">
        <v>1116</v>
      </c>
      <c r="C321" s="1565"/>
      <c r="D321" s="543" t="s">
        <v>1753</v>
      </c>
      <c r="E321" s="1565" t="s">
        <v>1754</v>
      </c>
      <c r="F321" s="1565"/>
      <c r="G321" s="544" t="s">
        <v>1191</v>
      </c>
      <c r="H321" s="545">
        <v>74.260000000000005</v>
      </c>
      <c r="I321" s="545">
        <f t="shared" si="9"/>
        <v>74.260000000000005</v>
      </c>
      <c r="J321" s="546">
        <f t="shared" si="8"/>
        <v>85.36</v>
      </c>
    </row>
    <row r="322" spans="1:10" ht="39" customHeight="1" x14ac:dyDescent="0.2">
      <c r="A322" s="543" t="s">
        <v>1157</v>
      </c>
      <c r="B322" s="1565" t="s">
        <v>1116</v>
      </c>
      <c r="C322" s="1565"/>
      <c r="D322" s="543" t="s">
        <v>1755</v>
      </c>
      <c r="E322" s="1565" t="s">
        <v>1756</v>
      </c>
      <c r="F322" s="1565"/>
      <c r="G322" s="544" t="s">
        <v>1191</v>
      </c>
      <c r="H322" s="545">
        <v>5.7</v>
      </c>
      <c r="I322" s="545">
        <f t="shared" si="9"/>
        <v>5.7</v>
      </c>
      <c r="J322" s="546">
        <f t="shared" si="8"/>
        <v>6.55</v>
      </c>
    </row>
    <row r="323" spans="1:10" ht="39" customHeight="1" x14ac:dyDescent="0.2">
      <c r="A323" s="543" t="s">
        <v>1157</v>
      </c>
      <c r="B323" s="1565" t="s">
        <v>1116</v>
      </c>
      <c r="C323" s="1565"/>
      <c r="D323" s="543" t="s">
        <v>1757</v>
      </c>
      <c r="E323" s="1565" t="s">
        <v>1758</v>
      </c>
      <c r="F323" s="1565"/>
      <c r="G323" s="544" t="s">
        <v>1191</v>
      </c>
      <c r="H323" s="545">
        <v>8.91</v>
      </c>
      <c r="I323" s="545">
        <f t="shared" si="9"/>
        <v>8.91</v>
      </c>
      <c r="J323" s="546">
        <f t="shared" si="8"/>
        <v>10.24</v>
      </c>
    </row>
    <row r="324" spans="1:10" ht="39" customHeight="1" x14ac:dyDescent="0.2">
      <c r="A324" s="543" t="s">
        <v>1157</v>
      </c>
      <c r="B324" s="1565" t="s">
        <v>1116</v>
      </c>
      <c r="C324" s="1565"/>
      <c r="D324" s="543" t="s">
        <v>1759</v>
      </c>
      <c r="E324" s="1565" t="s">
        <v>1760</v>
      </c>
      <c r="F324" s="1565"/>
      <c r="G324" s="544" t="s">
        <v>1191</v>
      </c>
      <c r="H324" s="545">
        <v>11.86</v>
      </c>
      <c r="I324" s="545">
        <f t="shared" si="9"/>
        <v>11.86</v>
      </c>
      <c r="J324" s="546">
        <f t="shared" si="8"/>
        <v>13.63</v>
      </c>
    </row>
    <row r="325" spans="1:10" ht="39" customHeight="1" x14ac:dyDescent="0.2">
      <c r="A325" s="543" t="s">
        <v>1157</v>
      </c>
      <c r="B325" s="1565" t="s">
        <v>1116</v>
      </c>
      <c r="C325" s="1565"/>
      <c r="D325" s="543" t="s">
        <v>1761</v>
      </c>
      <c r="E325" s="1565" t="s">
        <v>1762</v>
      </c>
      <c r="F325" s="1565"/>
      <c r="G325" s="544" t="s">
        <v>1191</v>
      </c>
      <c r="H325" s="545">
        <v>13.04</v>
      </c>
      <c r="I325" s="545">
        <f t="shared" si="9"/>
        <v>13.04</v>
      </c>
      <c r="J325" s="546">
        <f t="shared" si="8"/>
        <v>14.99</v>
      </c>
    </row>
    <row r="326" spans="1:10" ht="39" customHeight="1" x14ac:dyDescent="0.2">
      <c r="A326" s="543" t="s">
        <v>1157</v>
      </c>
      <c r="B326" s="1565" t="s">
        <v>1116</v>
      </c>
      <c r="C326" s="1565"/>
      <c r="D326" s="543" t="s">
        <v>1763</v>
      </c>
      <c r="E326" s="1565" t="s">
        <v>1764</v>
      </c>
      <c r="F326" s="1565"/>
      <c r="G326" s="544" t="s">
        <v>1191</v>
      </c>
      <c r="H326" s="545">
        <v>31.09</v>
      </c>
      <c r="I326" s="545">
        <f t="shared" si="9"/>
        <v>31.09</v>
      </c>
      <c r="J326" s="546">
        <f t="shared" si="8"/>
        <v>35.74</v>
      </c>
    </row>
    <row r="327" spans="1:10" ht="39" customHeight="1" x14ac:dyDescent="0.2">
      <c r="A327" s="543" t="s">
        <v>1157</v>
      </c>
      <c r="B327" s="1565" t="s">
        <v>1116</v>
      </c>
      <c r="C327" s="1565"/>
      <c r="D327" s="543" t="s">
        <v>1765</v>
      </c>
      <c r="E327" s="1565" t="s">
        <v>1766</v>
      </c>
      <c r="F327" s="1565"/>
      <c r="G327" s="544" t="s">
        <v>1191</v>
      </c>
      <c r="H327" s="545">
        <v>38.99</v>
      </c>
      <c r="I327" s="545">
        <f t="shared" si="9"/>
        <v>38.99</v>
      </c>
      <c r="J327" s="546">
        <f t="shared" si="8"/>
        <v>44.82</v>
      </c>
    </row>
    <row r="328" spans="1:10" ht="39" customHeight="1" x14ac:dyDescent="0.2">
      <c r="A328" s="543" t="s">
        <v>1157</v>
      </c>
      <c r="B328" s="1565" t="s">
        <v>1116</v>
      </c>
      <c r="C328" s="1565"/>
      <c r="D328" s="543" t="s">
        <v>1767</v>
      </c>
      <c r="E328" s="1565" t="s">
        <v>1768</v>
      </c>
      <c r="F328" s="1565"/>
      <c r="G328" s="544" t="s">
        <v>646</v>
      </c>
      <c r="H328" s="545">
        <v>55.92</v>
      </c>
      <c r="I328" s="545">
        <f t="shared" si="9"/>
        <v>55.92</v>
      </c>
      <c r="J328" s="546">
        <f t="shared" si="8"/>
        <v>64.28</v>
      </c>
    </row>
    <row r="329" spans="1:10" ht="39" customHeight="1" x14ac:dyDescent="0.2">
      <c r="A329" s="543" t="s">
        <v>1157</v>
      </c>
      <c r="B329" s="1565" t="s">
        <v>1116</v>
      </c>
      <c r="C329" s="1565"/>
      <c r="D329" s="543" t="s">
        <v>1769</v>
      </c>
      <c r="E329" s="1565" t="s">
        <v>1770</v>
      </c>
      <c r="F329" s="1565"/>
      <c r="G329" s="544" t="s">
        <v>646</v>
      </c>
      <c r="H329" s="545">
        <v>61.21</v>
      </c>
      <c r="I329" s="545">
        <f t="shared" si="9"/>
        <v>61.21</v>
      </c>
      <c r="J329" s="546">
        <f t="shared" si="8"/>
        <v>70.36</v>
      </c>
    </row>
    <row r="330" spans="1:10" ht="39" customHeight="1" x14ac:dyDescent="0.2">
      <c r="A330" s="543" t="s">
        <v>1157</v>
      </c>
      <c r="B330" s="1565" t="s">
        <v>1116</v>
      </c>
      <c r="C330" s="1565"/>
      <c r="D330" s="543" t="s">
        <v>1771</v>
      </c>
      <c r="E330" s="1565" t="s">
        <v>1534</v>
      </c>
      <c r="F330" s="1565"/>
      <c r="G330" s="544" t="s">
        <v>1161</v>
      </c>
      <c r="H330" s="545">
        <v>308.16000000000003</v>
      </c>
      <c r="I330" s="545">
        <f t="shared" si="9"/>
        <v>308.16000000000003</v>
      </c>
      <c r="J330" s="546">
        <f t="shared" si="8"/>
        <v>354.26</v>
      </c>
    </row>
    <row r="331" spans="1:10" ht="39" customHeight="1" x14ac:dyDescent="0.2">
      <c r="A331" s="543" t="s">
        <v>1157</v>
      </c>
      <c r="B331" s="1565" t="s">
        <v>1116</v>
      </c>
      <c r="C331" s="1565"/>
      <c r="D331" s="543" t="s">
        <v>1772</v>
      </c>
      <c r="E331" s="1565" t="s">
        <v>1773</v>
      </c>
      <c r="F331" s="1565"/>
      <c r="G331" s="544" t="s">
        <v>1774</v>
      </c>
      <c r="H331" s="545">
        <v>125.49</v>
      </c>
      <c r="I331" s="545">
        <f t="shared" si="9"/>
        <v>125.49</v>
      </c>
      <c r="J331" s="546">
        <f t="shared" si="8"/>
        <v>144.26</v>
      </c>
    </row>
    <row r="332" spans="1:10" ht="39" customHeight="1" x14ac:dyDescent="0.2">
      <c r="A332" s="543" t="s">
        <v>1157</v>
      </c>
      <c r="B332" s="1565" t="s">
        <v>1116</v>
      </c>
      <c r="C332" s="1565"/>
      <c r="D332" s="543" t="s">
        <v>724</v>
      </c>
      <c r="E332" s="1565" t="s">
        <v>1775</v>
      </c>
      <c r="F332" s="1565"/>
      <c r="G332" s="544" t="s">
        <v>646</v>
      </c>
      <c r="H332" s="545">
        <v>15.74</v>
      </c>
      <c r="I332" s="545">
        <f t="shared" si="9"/>
        <v>15.74</v>
      </c>
      <c r="J332" s="546">
        <f t="shared" si="8"/>
        <v>18.09</v>
      </c>
    </row>
    <row r="333" spans="1:10" ht="39" customHeight="1" x14ac:dyDescent="0.2">
      <c r="A333" s="543" t="s">
        <v>1157</v>
      </c>
      <c r="B333" s="1565" t="s">
        <v>1116</v>
      </c>
      <c r="C333" s="1565"/>
      <c r="D333" s="543" t="s">
        <v>1776</v>
      </c>
      <c r="E333" s="1565" t="s">
        <v>1777</v>
      </c>
      <c r="F333" s="1565"/>
      <c r="G333" s="544" t="s">
        <v>646</v>
      </c>
      <c r="H333" s="545">
        <v>121.87</v>
      </c>
      <c r="I333" s="545">
        <f t="shared" si="9"/>
        <v>121.87</v>
      </c>
      <c r="J333" s="546">
        <f t="shared" ref="J333:J396" si="10">TRUNC((H333*($J$11))*(1+$J$8),2)</f>
        <v>140.1</v>
      </c>
    </row>
    <row r="334" spans="1:10" ht="39" customHeight="1" x14ac:dyDescent="0.2">
      <c r="A334" s="543" t="s">
        <v>1157</v>
      </c>
      <c r="B334" s="1565" t="s">
        <v>1116</v>
      </c>
      <c r="C334" s="1565"/>
      <c r="D334" s="543" t="s">
        <v>1778</v>
      </c>
      <c r="E334" s="1565" t="s">
        <v>1779</v>
      </c>
      <c r="F334" s="1565"/>
      <c r="G334" s="544" t="s">
        <v>646</v>
      </c>
      <c r="H334" s="545">
        <v>3.99</v>
      </c>
      <c r="I334" s="545">
        <f t="shared" ref="I334:I397" si="11">(H334*($J$11))</f>
        <v>3.99</v>
      </c>
      <c r="J334" s="546">
        <f t="shared" si="10"/>
        <v>4.58</v>
      </c>
    </row>
    <row r="335" spans="1:10" ht="39" customHeight="1" x14ac:dyDescent="0.2">
      <c r="A335" s="543" t="s">
        <v>1157</v>
      </c>
      <c r="B335" s="1565" t="s">
        <v>1116</v>
      </c>
      <c r="C335" s="1565"/>
      <c r="D335" s="543" t="s">
        <v>1780</v>
      </c>
      <c r="E335" s="1565" t="s">
        <v>1781</v>
      </c>
      <c r="F335" s="1565"/>
      <c r="G335" s="544" t="s">
        <v>646</v>
      </c>
      <c r="H335" s="545">
        <v>14.71</v>
      </c>
      <c r="I335" s="545">
        <f t="shared" si="11"/>
        <v>14.71</v>
      </c>
      <c r="J335" s="546">
        <f t="shared" si="10"/>
        <v>16.91</v>
      </c>
    </row>
    <row r="336" spans="1:10" ht="39" customHeight="1" x14ac:dyDescent="0.2">
      <c r="A336" s="543" t="s">
        <v>1157</v>
      </c>
      <c r="B336" s="1565" t="s">
        <v>1116</v>
      </c>
      <c r="C336" s="1565"/>
      <c r="D336" s="543" t="s">
        <v>1782</v>
      </c>
      <c r="E336" s="1565" t="s">
        <v>1783</v>
      </c>
      <c r="F336" s="1565"/>
      <c r="G336" s="544" t="s">
        <v>1248</v>
      </c>
      <c r="H336" s="545">
        <v>52.44</v>
      </c>
      <c r="I336" s="545">
        <f t="shared" si="11"/>
        <v>52.44</v>
      </c>
      <c r="J336" s="546">
        <f t="shared" si="10"/>
        <v>60.28</v>
      </c>
    </row>
    <row r="337" spans="1:10" ht="39" customHeight="1" x14ac:dyDescent="0.2">
      <c r="A337" s="543" t="s">
        <v>1157</v>
      </c>
      <c r="B337" s="1565" t="s">
        <v>1116</v>
      </c>
      <c r="C337" s="1565"/>
      <c r="D337" s="543" t="s">
        <v>1784</v>
      </c>
      <c r="E337" s="1565" t="s">
        <v>1785</v>
      </c>
      <c r="F337" s="1565"/>
      <c r="G337" s="544" t="s">
        <v>646</v>
      </c>
      <c r="H337" s="545">
        <v>4.49</v>
      </c>
      <c r="I337" s="545">
        <f t="shared" si="11"/>
        <v>4.49</v>
      </c>
      <c r="J337" s="546">
        <f t="shared" si="10"/>
        <v>5.16</v>
      </c>
    </row>
    <row r="338" spans="1:10" ht="39" customHeight="1" x14ac:dyDescent="0.2">
      <c r="A338" s="543" t="s">
        <v>1157</v>
      </c>
      <c r="B338" s="1565" t="s">
        <v>1116</v>
      </c>
      <c r="C338" s="1565"/>
      <c r="D338" s="543" t="s">
        <v>1786</v>
      </c>
      <c r="E338" s="1565" t="s">
        <v>1787</v>
      </c>
      <c r="F338" s="1565"/>
      <c r="G338" s="544" t="s">
        <v>646</v>
      </c>
      <c r="H338" s="545">
        <v>6.96</v>
      </c>
      <c r="I338" s="545">
        <f t="shared" si="11"/>
        <v>6.96</v>
      </c>
      <c r="J338" s="546">
        <f t="shared" si="10"/>
        <v>8</v>
      </c>
    </row>
    <row r="339" spans="1:10" ht="39" customHeight="1" x14ac:dyDescent="0.2">
      <c r="A339" s="543" t="s">
        <v>1157</v>
      </c>
      <c r="B339" s="1565" t="s">
        <v>1116</v>
      </c>
      <c r="C339" s="1565"/>
      <c r="D339" s="543" t="s">
        <v>1788</v>
      </c>
      <c r="E339" s="1565" t="s">
        <v>1789</v>
      </c>
      <c r="F339" s="1565"/>
      <c r="G339" s="544" t="s">
        <v>646</v>
      </c>
      <c r="H339" s="545">
        <v>25.44</v>
      </c>
      <c r="I339" s="545">
        <f t="shared" si="11"/>
        <v>25.44</v>
      </c>
      <c r="J339" s="546">
        <f t="shared" si="10"/>
        <v>29.24</v>
      </c>
    </row>
    <row r="340" spans="1:10" ht="39" customHeight="1" x14ac:dyDescent="0.2">
      <c r="A340" s="543" t="s">
        <v>1157</v>
      </c>
      <c r="B340" s="1565" t="s">
        <v>1116</v>
      </c>
      <c r="C340" s="1565"/>
      <c r="D340" s="543" t="s">
        <v>1790</v>
      </c>
      <c r="E340" s="1565" t="s">
        <v>1791</v>
      </c>
      <c r="F340" s="1565"/>
      <c r="G340" s="544" t="s">
        <v>646</v>
      </c>
      <c r="H340" s="545">
        <v>27.15</v>
      </c>
      <c r="I340" s="545">
        <f t="shared" si="11"/>
        <v>27.15</v>
      </c>
      <c r="J340" s="546">
        <f t="shared" si="10"/>
        <v>31.21</v>
      </c>
    </row>
    <row r="341" spans="1:10" ht="39" customHeight="1" x14ac:dyDescent="0.2">
      <c r="A341" s="543" t="s">
        <v>1157</v>
      </c>
      <c r="B341" s="1565" t="s">
        <v>1116</v>
      </c>
      <c r="C341" s="1565"/>
      <c r="D341" s="543" t="s">
        <v>1792</v>
      </c>
      <c r="E341" s="1565" t="s">
        <v>1793</v>
      </c>
      <c r="F341" s="1565"/>
      <c r="G341" s="544" t="s">
        <v>646</v>
      </c>
      <c r="H341" s="545">
        <v>27.57</v>
      </c>
      <c r="I341" s="545">
        <f t="shared" si="11"/>
        <v>27.57</v>
      </c>
      <c r="J341" s="546">
        <f t="shared" si="10"/>
        <v>31.69</v>
      </c>
    </row>
    <row r="342" spans="1:10" ht="39" customHeight="1" x14ac:dyDescent="0.2">
      <c r="A342" s="543" t="s">
        <v>1157</v>
      </c>
      <c r="B342" s="1565" t="s">
        <v>1116</v>
      </c>
      <c r="C342" s="1565"/>
      <c r="D342" s="543" t="s">
        <v>1794</v>
      </c>
      <c r="E342" s="1565" t="s">
        <v>1795</v>
      </c>
      <c r="F342" s="1565"/>
      <c r="G342" s="544" t="s">
        <v>1181</v>
      </c>
      <c r="H342" s="545">
        <v>8.1</v>
      </c>
      <c r="I342" s="545">
        <f t="shared" si="11"/>
        <v>8.1</v>
      </c>
      <c r="J342" s="546">
        <f t="shared" si="10"/>
        <v>9.31</v>
      </c>
    </row>
    <row r="343" spans="1:10" ht="39" customHeight="1" x14ac:dyDescent="0.2">
      <c r="A343" s="543" t="s">
        <v>1157</v>
      </c>
      <c r="B343" s="1565" t="s">
        <v>1116</v>
      </c>
      <c r="C343" s="1565"/>
      <c r="D343" s="543" t="s">
        <v>1796</v>
      </c>
      <c r="E343" s="1565" t="s">
        <v>1797</v>
      </c>
      <c r="F343" s="1565"/>
      <c r="G343" s="544" t="s">
        <v>1248</v>
      </c>
      <c r="H343" s="545">
        <v>6.17</v>
      </c>
      <c r="I343" s="545">
        <f t="shared" si="11"/>
        <v>6.17</v>
      </c>
      <c r="J343" s="546">
        <f t="shared" si="10"/>
        <v>7.09</v>
      </c>
    </row>
    <row r="344" spans="1:10" ht="39" customHeight="1" x14ac:dyDescent="0.2">
      <c r="A344" s="543" t="s">
        <v>1157</v>
      </c>
      <c r="B344" s="1565" t="s">
        <v>1116</v>
      </c>
      <c r="C344" s="1565"/>
      <c r="D344" s="543" t="s">
        <v>1798</v>
      </c>
      <c r="E344" s="1565" t="s">
        <v>1799</v>
      </c>
      <c r="F344" s="1565"/>
      <c r="G344" s="544" t="s">
        <v>1181</v>
      </c>
      <c r="H344" s="545">
        <v>0.83</v>
      </c>
      <c r="I344" s="545">
        <f t="shared" si="11"/>
        <v>0.83</v>
      </c>
      <c r="J344" s="546">
        <f t="shared" si="10"/>
        <v>0.95</v>
      </c>
    </row>
    <row r="345" spans="1:10" ht="39" customHeight="1" x14ac:dyDescent="0.2">
      <c r="A345" s="543" t="s">
        <v>1157</v>
      </c>
      <c r="B345" s="1565" t="s">
        <v>1116</v>
      </c>
      <c r="C345" s="1565"/>
      <c r="D345" s="543" t="s">
        <v>1800</v>
      </c>
      <c r="E345" s="1565" t="s">
        <v>1801</v>
      </c>
      <c r="F345" s="1565"/>
      <c r="G345" s="544" t="s">
        <v>1161</v>
      </c>
      <c r="H345" s="545">
        <v>470.64</v>
      </c>
      <c r="I345" s="545">
        <f t="shared" si="11"/>
        <v>470.64</v>
      </c>
      <c r="J345" s="546">
        <f t="shared" si="10"/>
        <v>541.04</v>
      </c>
    </row>
    <row r="346" spans="1:10" ht="39" customHeight="1" x14ac:dyDescent="0.2">
      <c r="A346" s="543" t="s">
        <v>1157</v>
      </c>
      <c r="B346" s="1565" t="s">
        <v>1116</v>
      </c>
      <c r="C346" s="1565"/>
      <c r="D346" s="543" t="s">
        <v>1802</v>
      </c>
      <c r="E346" s="1565" t="s">
        <v>1803</v>
      </c>
      <c r="F346" s="1565"/>
      <c r="G346" s="544" t="s">
        <v>1161</v>
      </c>
      <c r="H346" s="545">
        <v>235.32</v>
      </c>
      <c r="I346" s="545">
        <f t="shared" si="11"/>
        <v>235.32</v>
      </c>
      <c r="J346" s="546">
        <f t="shared" si="10"/>
        <v>270.52</v>
      </c>
    </row>
    <row r="347" spans="1:10" ht="39" customHeight="1" x14ac:dyDescent="0.2">
      <c r="A347" s="543" t="s">
        <v>1157</v>
      </c>
      <c r="B347" s="1565" t="s">
        <v>1116</v>
      </c>
      <c r="C347" s="1565"/>
      <c r="D347" s="543" t="s">
        <v>1804</v>
      </c>
      <c r="E347" s="1565" t="s">
        <v>1805</v>
      </c>
      <c r="F347" s="1565"/>
      <c r="G347" s="544" t="s">
        <v>1161</v>
      </c>
      <c r="H347" s="545">
        <v>339.9</v>
      </c>
      <c r="I347" s="545">
        <f t="shared" si="11"/>
        <v>339.9</v>
      </c>
      <c r="J347" s="546">
        <f t="shared" si="10"/>
        <v>390.74</v>
      </c>
    </row>
    <row r="348" spans="1:10" ht="39" customHeight="1" x14ac:dyDescent="0.2">
      <c r="A348" s="543" t="s">
        <v>1157</v>
      </c>
      <c r="B348" s="1565" t="s">
        <v>1116</v>
      </c>
      <c r="C348" s="1565"/>
      <c r="D348" s="543" t="s">
        <v>1806</v>
      </c>
      <c r="E348" s="1565" t="s">
        <v>1807</v>
      </c>
      <c r="F348" s="1565"/>
      <c r="G348" s="544" t="s">
        <v>1248</v>
      </c>
      <c r="H348" s="545">
        <v>24.91</v>
      </c>
      <c r="I348" s="545">
        <f t="shared" si="11"/>
        <v>24.91</v>
      </c>
      <c r="J348" s="546">
        <f t="shared" si="10"/>
        <v>28.63</v>
      </c>
    </row>
    <row r="349" spans="1:10" ht="39" customHeight="1" x14ac:dyDescent="0.2">
      <c r="A349" s="543" t="s">
        <v>1157</v>
      </c>
      <c r="B349" s="1565" t="s">
        <v>1116</v>
      </c>
      <c r="C349" s="1565"/>
      <c r="D349" s="543" t="s">
        <v>1808</v>
      </c>
      <c r="E349" s="1565" t="s">
        <v>1809</v>
      </c>
      <c r="F349" s="1565"/>
      <c r="G349" s="544" t="s">
        <v>646</v>
      </c>
      <c r="H349" s="545">
        <v>124.65</v>
      </c>
      <c r="I349" s="545">
        <f t="shared" si="11"/>
        <v>124.65</v>
      </c>
      <c r="J349" s="546">
        <f t="shared" si="10"/>
        <v>143.29</v>
      </c>
    </row>
    <row r="350" spans="1:10" ht="39" customHeight="1" x14ac:dyDescent="0.2">
      <c r="A350" s="543" t="s">
        <v>1157</v>
      </c>
      <c r="B350" s="1565" t="s">
        <v>1116</v>
      </c>
      <c r="C350" s="1565"/>
      <c r="D350" s="543" t="s">
        <v>1810</v>
      </c>
      <c r="E350" s="1565" t="s">
        <v>1811</v>
      </c>
      <c r="F350" s="1565"/>
      <c r="G350" s="544" t="s">
        <v>646</v>
      </c>
      <c r="H350" s="545">
        <v>20.11</v>
      </c>
      <c r="I350" s="545">
        <f t="shared" si="11"/>
        <v>20.11</v>
      </c>
      <c r="J350" s="546">
        <f t="shared" si="10"/>
        <v>23.11</v>
      </c>
    </row>
    <row r="351" spans="1:10" ht="39" customHeight="1" x14ac:dyDescent="0.2">
      <c r="A351" s="543" t="s">
        <v>1157</v>
      </c>
      <c r="B351" s="1565" t="s">
        <v>1116</v>
      </c>
      <c r="C351" s="1565"/>
      <c r="D351" s="543" t="s">
        <v>1812</v>
      </c>
      <c r="E351" s="1565" t="s">
        <v>1813</v>
      </c>
      <c r="F351" s="1565"/>
      <c r="G351" s="544" t="s">
        <v>646</v>
      </c>
      <c r="H351" s="545">
        <v>72.77</v>
      </c>
      <c r="I351" s="545">
        <f t="shared" si="11"/>
        <v>72.77</v>
      </c>
      <c r="J351" s="546">
        <f t="shared" si="10"/>
        <v>83.65</v>
      </c>
    </row>
    <row r="352" spans="1:10" ht="39" customHeight="1" x14ac:dyDescent="0.2">
      <c r="A352" s="543" t="s">
        <v>1157</v>
      </c>
      <c r="B352" s="1565" t="s">
        <v>1116</v>
      </c>
      <c r="C352" s="1565"/>
      <c r="D352" s="543" t="s">
        <v>1814</v>
      </c>
      <c r="E352" s="1565" t="s">
        <v>1815</v>
      </c>
      <c r="F352" s="1565"/>
      <c r="G352" s="544" t="s">
        <v>646</v>
      </c>
      <c r="H352" s="545">
        <v>17.02</v>
      </c>
      <c r="I352" s="545">
        <f t="shared" si="11"/>
        <v>17.02</v>
      </c>
      <c r="J352" s="546">
        <f t="shared" si="10"/>
        <v>19.559999999999999</v>
      </c>
    </row>
    <row r="353" spans="1:10" ht="39" customHeight="1" x14ac:dyDescent="0.2">
      <c r="A353" s="543" t="s">
        <v>1157</v>
      </c>
      <c r="B353" s="1565" t="s">
        <v>1116</v>
      </c>
      <c r="C353" s="1565"/>
      <c r="D353" s="543" t="s">
        <v>1816</v>
      </c>
      <c r="E353" s="1565" t="s">
        <v>1817</v>
      </c>
      <c r="F353" s="1565"/>
      <c r="G353" s="544" t="s">
        <v>646</v>
      </c>
      <c r="H353" s="545">
        <v>19.100000000000001</v>
      </c>
      <c r="I353" s="545">
        <f t="shared" si="11"/>
        <v>19.100000000000001</v>
      </c>
      <c r="J353" s="546">
        <f t="shared" si="10"/>
        <v>21.95</v>
      </c>
    </row>
    <row r="354" spans="1:10" ht="39" customHeight="1" x14ac:dyDescent="0.2">
      <c r="A354" s="543" t="s">
        <v>1157</v>
      </c>
      <c r="B354" s="1565" t="s">
        <v>1116</v>
      </c>
      <c r="C354" s="1565"/>
      <c r="D354" s="543" t="s">
        <v>1818</v>
      </c>
      <c r="E354" s="1565" t="s">
        <v>1819</v>
      </c>
      <c r="F354" s="1565"/>
      <c r="G354" s="544" t="s">
        <v>646</v>
      </c>
      <c r="H354" s="545">
        <v>75.86</v>
      </c>
      <c r="I354" s="545">
        <f t="shared" si="11"/>
        <v>75.86</v>
      </c>
      <c r="J354" s="546">
        <f t="shared" si="10"/>
        <v>87.2</v>
      </c>
    </row>
    <row r="355" spans="1:10" ht="39" customHeight="1" x14ac:dyDescent="0.2">
      <c r="A355" s="543" t="s">
        <v>1157</v>
      </c>
      <c r="B355" s="1565" t="s">
        <v>1116</v>
      </c>
      <c r="C355" s="1565"/>
      <c r="D355" s="543" t="s">
        <v>1820</v>
      </c>
      <c r="E355" s="1565" t="s">
        <v>1821</v>
      </c>
      <c r="F355" s="1565"/>
      <c r="G355" s="544" t="s">
        <v>646</v>
      </c>
      <c r="H355" s="545">
        <v>3.87</v>
      </c>
      <c r="I355" s="545">
        <f t="shared" si="11"/>
        <v>3.87</v>
      </c>
      <c r="J355" s="546">
        <f t="shared" si="10"/>
        <v>4.4400000000000004</v>
      </c>
    </row>
    <row r="356" spans="1:10" ht="39" customHeight="1" x14ac:dyDescent="0.2">
      <c r="A356" s="543" t="s">
        <v>1157</v>
      </c>
      <c r="B356" s="1565" t="s">
        <v>1116</v>
      </c>
      <c r="C356" s="1565"/>
      <c r="D356" s="543" t="s">
        <v>1822</v>
      </c>
      <c r="E356" s="1565" t="s">
        <v>1823</v>
      </c>
      <c r="F356" s="1565"/>
      <c r="G356" s="544" t="s">
        <v>646</v>
      </c>
      <c r="H356" s="545">
        <v>5.89</v>
      </c>
      <c r="I356" s="545">
        <f t="shared" si="11"/>
        <v>5.89</v>
      </c>
      <c r="J356" s="546">
        <f t="shared" si="10"/>
        <v>6.77</v>
      </c>
    </row>
    <row r="357" spans="1:10" ht="39" customHeight="1" x14ac:dyDescent="0.2">
      <c r="A357" s="543" t="s">
        <v>1157</v>
      </c>
      <c r="B357" s="1565" t="s">
        <v>1116</v>
      </c>
      <c r="C357" s="1565"/>
      <c r="D357" s="543" t="s">
        <v>1824</v>
      </c>
      <c r="E357" s="1565" t="s">
        <v>1825</v>
      </c>
      <c r="F357" s="1565"/>
      <c r="G357" s="544" t="s">
        <v>646</v>
      </c>
      <c r="H357" s="545">
        <v>16.57</v>
      </c>
      <c r="I357" s="545">
        <f t="shared" si="11"/>
        <v>16.57</v>
      </c>
      <c r="J357" s="546">
        <f t="shared" si="10"/>
        <v>19.04</v>
      </c>
    </row>
    <row r="358" spans="1:10" ht="39" customHeight="1" x14ac:dyDescent="0.2">
      <c r="A358" s="543" t="s">
        <v>1157</v>
      </c>
      <c r="B358" s="1565" t="s">
        <v>1116</v>
      </c>
      <c r="C358" s="1565"/>
      <c r="D358" s="543" t="s">
        <v>1826</v>
      </c>
      <c r="E358" s="1565" t="s">
        <v>1827</v>
      </c>
      <c r="F358" s="1565"/>
      <c r="G358" s="544" t="s">
        <v>646</v>
      </c>
      <c r="H358" s="545">
        <v>5.74</v>
      </c>
      <c r="I358" s="545">
        <f t="shared" si="11"/>
        <v>5.74</v>
      </c>
      <c r="J358" s="546">
        <f t="shared" si="10"/>
        <v>6.59</v>
      </c>
    </row>
    <row r="359" spans="1:10" ht="39" customHeight="1" x14ac:dyDescent="0.2">
      <c r="A359" s="543" t="s">
        <v>1157</v>
      </c>
      <c r="B359" s="1565" t="s">
        <v>1116</v>
      </c>
      <c r="C359" s="1565"/>
      <c r="D359" s="543" t="s">
        <v>1828</v>
      </c>
      <c r="E359" s="1565" t="s">
        <v>1829</v>
      </c>
      <c r="F359" s="1565"/>
      <c r="G359" s="544" t="s">
        <v>646</v>
      </c>
      <c r="H359" s="545">
        <v>9</v>
      </c>
      <c r="I359" s="545">
        <f t="shared" si="11"/>
        <v>9</v>
      </c>
      <c r="J359" s="546">
        <f t="shared" si="10"/>
        <v>10.34</v>
      </c>
    </row>
    <row r="360" spans="1:10" ht="39" customHeight="1" x14ac:dyDescent="0.2">
      <c r="A360" s="543" t="s">
        <v>1157</v>
      </c>
      <c r="B360" s="1565" t="s">
        <v>1116</v>
      </c>
      <c r="C360" s="1565"/>
      <c r="D360" s="543" t="s">
        <v>1830</v>
      </c>
      <c r="E360" s="1565" t="s">
        <v>1831</v>
      </c>
      <c r="F360" s="1565"/>
      <c r="G360" s="544" t="s">
        <v>646</v>
      </c>
      <c r="H360" s="545">
        <v>3.73</v>
      </c>
      <c r="I360" s="545">
        <f t="shared" si="11"/>
        <v>3.73</v>
      </c>
      <c r="J360" s="546">
        <f t="shared" si="10"/>
        <v>4.28</v>
      </c>
    </row>
    <row r="361" spans="1:10" ht="39" customHeight="1" x14ac:dyDescent="0.2">
      <c r="A361" s="543" t="s">
        <v>1157</v>
      </c>
      <c r="B361" s="1565" t="s">
        <v>1116</v>
      </c>
      <c r="C361" s="1565"/>
      <c r="D361" s="543" t="s">
        <v>1832</v>
      </c>
      <c r="E361" s="1565" t="s">
        <v>1833</v>
      </c>
      <c r="F361" s="1565"/>
      <c r="G361" s="544" t="s">
        <v>646</v>
      </c>
      <c r="H361" s="545">
        <v>7.76</v>
      </c>
      <c r="I361" s="545">
        <f t="shared" si="11"/>
        <v>7.76</v>
      </c>
      <c r="J361" s="546">
        <f t="shared" si="10"/>
        <v>8.92</v>
      </c>
    </row>
    <row r="362" spans="1:10" ht="39" customHeight="1" x14ac:dyDescent="0.2">
      <c r="A362" s="543" t="s">
        <v>1157</v>
      </c>
      <c r="B362" s="1565" t="s">
        <v>1116</v>
      </c>
      <c r="C362" s="1565"/>
      <c r="D362" s="543" t="s">
        <v>1834</v>
      </c>
      <c r="E362" s="1565" t="s">
        <v>1835</v>
      </c>
      <c r="F362" s="1565"/>
      <c r="G362" s="544" t="s">
        <v>646</v>
      </c>
      <c r="H362" s="545">
        <v>0.7</v>
      </c>
      <c r="I362" s="545">
        <f t="shared" si="11"/>
        <v>0.7</v>
      </c>
      <c r="J362" s="546">
        <f t="shared" si="10"/>
        <v>0.8</v>
      </c>
    </row>
    <row r="363" spans="1:10" ht="39" customHeight="1" x14ac:dyDescent="0.2">
      <c r="A363" s="543" t="s">
        <v>1157</v>
      </c>
      <c r="B363" s="1565" t="s">
        <v>1116</v>
      </c>
      <c r="C363" s="1565"/>
      <c r="D363" s="543" t="s">
        <v>1836</v>
      </c>
      <c r="E363" s="1565" t="s">
        <v>1837</v>
      </c>
      <c r="F363" s="1565"/>
      <c r="G363" s="544" t="s">
        <v>646</v>
      </c>
      <c r="H363" s="545">
        <v>5.68</v>
      </c>
      <c r="I363" s="545">
        <f t="shared" si="11"/>
        <v>5.68</v>
      </c>
      <c r="J363" s="546">
        <f t="shared" si="10"/>
        <v>6.52</v>
      </c>
    </row>
    <row r="364" spans="1:10" ht="39" customHeight="1" x14ac:dyDescent="0.2">
      <c r="A364" s="543" t="s">
        <v>1157</v>
      </c>
      <c r="B364" s="1565" t="s">
        <v>1116</v>
      </c>
      <c r="C364" s="1565"/>
      <c r="D364" s="543" t="s">
        <v>1838</v>
      </c>
      <c r="E364" s="1565" t="s">
        <v>1839</v>
      </c>
      <c r="F364" s="1565"/>
      <c r="G364" s="544" t="s">
        <v>646</v>
      </c>
      <c r="H364" s="545">
        <v>3.01</v>
      </c>
      <c r="I364" s="545">
        <f t="shared" si="11"/>
        <v>3.01</v>
      </c>
      <c r="J364" s="546">
        <f t="shared" si="10"/>
        <v>3.46</v>
      </c>
    </row>
    <row r="365" spans="1:10" ht="39" customHeight="1" x14ac:dyDescent="0.2">
      <c r="A365" s="543" t="s">
        <v>1157</v>
      </c>
      <c r="B365" s="1565" t="s">
        <v>1116</v>
      </c>
      <c r="C365" s="1565"/>
      <c r="D365" s="543" t="s">
        <v>1840</v>
      </c>
      <c r="E365" s="1565" t="s">
        <v>1841</v>
      </c>
      <c r="F365" s="1565"/>
      <c r="G365" s="544" t="s">
        <v>1774</v>
      </c>
      <c r="H365" s="545">
        <v>161.34</v>
      </c>
      <c r="I365" s="545">
        <f t="shared" si="11"/>
        <v>161.34</v>
      </c>
      <c r="J365" s="546">
        <f t="shared" si="10"/>
        <v>185.47</v>
      </c>
    </row>
    <row r="366" spans="1:10" ht="39" customHeight="1" x14ac:dyDescent="0.2">
      <c r="A366" s="543" t="s">
        <v>1157</v>
      </c>
      <c r="B366" s="1565" t="s">
        <v>1116</v>
      </c>
      <c r="C366" s="1565"/>
      <c r="D366" s="543" t="s">
        <v>1842</v>
      </c>
      <c r="E366" s="1565" t="s">
        <v>1843</v>
      </c>
      <c r="F366" s="1565"/>
      <c r="G366" s="544" t="s">
        <v>646</v>
      </c>
      <c r="H366" s="545">
        <v>23.64</v>
      </c>
      <c r="I366" s="545">
        <f t="shared" si="11"/>
        <v>23.64</v>
      </c>
      <c r="J366" s="546">
        <f t="shared" si="10"/>
        <v>27.17</v>
      </c>
    </row>
    <row r="367" spans="1:10" ht="39" customHeight="1" x14ac:dyDescent="0.2">
      <c r="A367" s="543" t="s">
        <v>1157</v>
      </c>
      <c r="B367" s="1565" t="s">
        <v>1116</v>
      </c>
      <c r="C367" s="1565"/>
      <c r="D367" s="543" t="s">
        <v>1844</v>
      </c>
      <c r="E367" s="1565" t="s">
        <v>1845</v>
      </c>
      <c r="F367" s="1565"/>
      <c r="G367" s="544" t="s">
        <v>646</v>
      </c>
      <c r="H367" s="545">
        <v>53.33</v>
      </c>
      <c r="I367" s="545">
        <f t="shared" si="11"/>
        <v>53.33</v>
      </c>
      <c r="J367" s="546">
        <f t="shared" si="10"/>
        <v>61.3</v>
      </c>
    </row>
    <row r="368" spans="1:10" ht="39" customHeight="1" x14ac:dyDescent="0.2">
      <c r="A368" s="543" t="s">
        <v>1157</v>
      </c>
      <c r="B368" s="1565" t="s">
        <v>1116</v>
      </c>
      <c r="C368" s="1565"/>
      <c r="D368" s="543" t="s">
        <v>1846</v>
      </c>
      <c r="E368" s="1565" t="s">
        <v>1847</v>
      </c>
      <c r="F368" s="1565"/>
      <c r="G368" s="544" t="s">
        <v>646</v>
      </c>
      <c r="H368" s="545">
        <v>68.22</v>
      </c>
      <c r="I368" s="545">
        <f t="shared" si="11"/>
        <v>68.22</v>
      </c>
      <c r="J368" s="546">
        <f t="shared" si="10"/>
        <v>78.42</v>
      </c>
    </row>
    <row r="369" spans="1:10" ht="39" customHeight="1" x14ac:dyDescent="0.2">
      <c r="A369" s="543" t="s">
        <v>1157</v>
      </c>
      <c r="B369" s="1565" t="s">
        <v>1116</v>
      </c>
      <c r="C369" s="1565"/>
      <c r="D369" s="543" t="s">
        <v>1848</v>
      </c>
      <c r="E369" s="1565" t="s">
        <v>1849</v>
      </c>
      <c r="F369" s="1565"/>
      <c r="G369" s="544" t="s">
        <v>646</v>
      </c>
      <c r="H369" s="545">
        <v>131.6</v>
      </c>
      <c r="I369" s="545">
        <f t="shared" si="11"/>
        <v>131.6</v>
      </c>
      <c r="J369" s="546">
        <f t="shared" si="10"/>
        <v>151.28</v>
      </c>
    </row>
    <row r="370" spans="1:10" ht="39" customHeight="1" x14ac:dyDescent="0.2">
      <c r="A370" s="543" t="s">
        <v>1157</v>
      </c>
      <c r="B370" s="1565" t="s">
        <v>1116</v>
      </c>
      <c r="C370" s="1565"/>
      <c r="D370" s="543" t="s">
        <v>1850</v>
      </c>
      <c r="E370" s="1565" t="s">
        <v>1851</v>
      </c>
      <c r="F370" s="1565"/>
      <c r="G370" s="544" t="s">
        <v>646</v>
      </c>
      <c r="H370" s="545">
        <v>36.36</v>
      </c>
      <c r="I370" s="545">
        <f t="shared" si="11"/>
        <v>36.36</v>
      </c>
      <c r="J370" s="546">
        <f t="shared" si="10"/>
        <v>41.79</v>
      </c>
    </row>
    <row r="371" spans="1:10" ht="39" customHeight="1" x14ac:dyDescent="0.2">
      <c r="A371" s="543" t="s">
        <v>1157</v>
      </c>
      <c r="B371" s="1565" t="s">
        <v>1116</v>
      </c>
      <c r="C371" s="1565"/>
      <c r="D371" s="543" t="s">
        <v>1852</v>
      </c>
      <c r="E371" s="1565" t="s">
        <v>1853</v>
      </c>
      <c r="F371" s="1565"/>
      <c r="G371" s="544" t="s">
        <v>1161</v>
      </c>
      <c r="H371" s="545">
        <v>28.69</v>
      </c>
      <c r="I371" s="545">
        <f t="shared" si="11"/>
        <v>28.69</v>
      </c>
      <c r="J371" s="546">
        <f t="shared" si="10"/>
        <v>32.979999999999997</v>
      </c>
    </row>
    <row r="372" spans="1:10" ht="39" customHeight="1" x14ac:dyDescent="0.2">
      <c r="A372" s="543" t="s">
        <v>1157</v>
      </c>
      <c r="B372" s="1565" t="s">
        <v>1116</v>
      </c>
      <c r="C372" s="1565"/>
      <c r="D372" s="543" t="s">
        <v>1854</v>
      </c>
      <c r="E372" s="1565" t="s">
        <v>1855</v>
      </c>
      <c r="F372" s="1565"/>
      <c r="G372" s="544" t="s">
        <v>646</v>
      </c>
      <c r="H372" s="545">
        <v>181.22</v>
      </c>
      <c r="I372" s="545">
        <f t="shared" si="11"/>
        <v>181.22</v>
      </c>
      <c r="J372" s="546">
        <f t="shared" si="10"/>
        <v>208.33</v>
      </c>
    </row>
    <row r="373" spans="1:10" ht="39" customHeight="1" x14ac:dyDescent="0.2">
      <c r="A373" s="543" t="s">
        <v>1157</v>
      </c>
      <c r="B373" s="1565" t="s">
        <v>1116</v>
      </c>
      <c r="C373" s="1565"/>
      <c r="D373" s="543" t="s">
        <v>1856</v>
      </c>
      <c r="E373" s="1565" t="s">
        <v>1857</v>
      </c>
      <c r="F373" s="1565"/>
      <c r="G373" s="544" t="s">
        <v>646</v>
      </c>
      <c r="H373" s="545">
        <v>111.5</v>
      </c>
      <c r="I373" s="545">
        <f t="shared" si="11"/>
        <v>111.5</v>
      </c>
      <c r="J373" s="546">
        <f t="shared" si="10"/>
        <v>128.18</v>
      </c>
    </row>
    <row r="374" spans="1:10" ht="39" customHeight="1" x14ac:dyDescent="0.2">
      <c r="A374" s="543" t="s">
        <v>1157</v>
      </c>
      <c r="B374" s="1565" t="s">
        <v>1116</v>
      </c>
      <c r="C374" s="1565"/>
      <c r="D374" s="543" t="s">
        <v>1858</v>
      </c>
      <c r="E374" s="1565" t="s">
        <v>1859</v>
      </c>
      <c r="F374" s="1565"/>
      <c r="G374" s="544" t="s">
        <v>646</v>
      </c>
      <c r="H374" s="545">
        <v>3.88</v>
      </c>
      <c r="I374" s="545">
        <f t="shared" si="11"/>
        <v>3.88</v>
      </c>
      <c r="J374" s="546">
        <f t="shared" si="10"/>
        <v>4.46</v>
      </c>
    </row>
    <row r="375" spans="1:10" ht="39" customHeight="1" x14ac:dyDescent="0.2">
      <c r="A375" s="543" t="s">
        <v>1157</v>
      </c>
      <c r="B375" s="1565" t="s">
        <v>1116</v>
      </c>
      <c r="C375" s="1565"/>
      <c r="D375" s="543" t="s">
        <v>1860</v>
      </c>
      <c r="E375" s="1565" t="s">
        <v>1861</v>
      </c>
      <c r="F375" s="1565"/>
      <c r="G375" s="544" t="s">
        <v>646</v>
      </c>
      <c r="H375" s="545">
        <v>1.3</v>
      </c>
      <c r="I375" s="545">
        <f t="shared" si="11"/>
        <v>1.3</v>
      </c>
      <c r="J375" s="546">
        <f t="shared" si="10"/>
        <v>1.49</v>
      </c>
    </row>
    <row r="376" spans="1:10" ht="39" customHeight="1" x14ac:dyDescent="0.2">
      <c r="A376" s="543" t="s">
        <v>1157</v>
      </c>
      <c r="B376" s="1565" t="s">
        <v>1116</v>
      </c>
      <c r="C376" s="1565"/>
      <c r="D376" s="543" t="s">
        <v>1862</v>
      </c>
      <c r="E376" s="1565" t="s">
        <v>1863</v>
      </c>
      <c r="F376" s="1565"/>
      <c r="G376" s="544" t="s">
        <v>1161</v>
      </c>
      <c r="H376" s="545">
        <v>2.2000000000000002</v>
      </c>
      <c r="I376" s="545">
        <f t="shared" si="11"/>
        <v>2.2000000000000002</v>
      </c>
      <c r="J376" s="546">
        <f t="shared" si="10"/>
        <v>2.52</v>
      </c>
    </row>
    <row r="377" spans="1:10" ht="39" customHeight="1" x14ac:dyDescent="0.2">
      <c r="A377" s="543" t="s">
        <v>1157</v>
      </c>
      <c r="B377" s="1565" t="s">
        <v>1116</v>
      </c>
      <c r="C377" s="1565"/>
      <c r="D377" s="543" t="s">
        <v>1864</v>
      </c>
      <c r="E377" s="1565" t="s">
        <v>1865</v>
      </c>
      <c r="F377" s="1565"/>
      <c r="G377" s="544" t="s">
        <v>646</v>
      </c>
      <c r="H377" s="545">
        <v>4.0999999999999996</v>
      </c>
      <c r="I377" s="545">
        <f t="shared" si="11"/>
        <v>4.0999999999999996</v>
      </c>
      <c r="J377" s="546">
        <f t="shared" si="10"/>
        <v>4.71</v>
      </c>
    </row>
    <row r="378" spans="1:10" ht="39" customHeight="1" x14ac:dyDescent="0.2">
      <c r="A378" s="543" t="s">
        <v>1157</v>
      </c>
      <c r="B378" s="1565" t="s">
        <v>1116</v>
      </c>
      <c r="C378" s="1565"/>
      <c r="D378" s="543" t="s">
        <v>1866</v>
      </c>
      <c r="E378" s="1565" t="s">
        <v>1867</v>
      </c>
      <c r="F378" s="1565"/>
      <c r="G378" s="544" t="s">
        <v>646</v>
      </c>
      <c r="H378" s="545">
        <v>6.45</v>
      </c>
      <c r="I378" s="545">
        <f t="shared" si="11"/>
        <v>6.45</v>
      </c>
      <c r="J378" s="546">
        <f t="shared" si="10"/>
        <v>7.41</v>
      </c>
    </row>
    <row r="379" spans="1:10" ht="39" customHeight="1" x14ac:dyDescent="0.2">
      <c r="A379" s="543" t="s">
        <v>1157</v>
      </c>
      <c r="B379" s="1565" t="s">
        <v>1116</v>
      </c>
      <c r="C379" s="1565"/>
      <c r="D379" s="543" t="s">
        <v>1868</v>
      </c>
      <c r="E379" s="1565" t="s">
        <v>1869</v>
      </c>
      <c r="F379" s="1565"/>
      <c r="G379" s="544" t="s">
        <v>646</v>
      </c>
      <c r="H379" s="545">
        <v>3.25</v>
      </c>
      <c r="I379" s="545">
        <f t="shared" si="11"/>
        <v>3.25</v>
      </c>
      <c r="J379" s="546">
        <f t="shared" si="10"/>
        <v>3.73</v>
      </c>
    </row>
    <row r="380" spans="1:10" ht="39" customHeight="1" x14ac:dyDescent="0.2">
      <c r="A380" s="543" t="s">
        <v>1157</v>
      </c>
      <c r="B380" s="1565" t="s">
        <v>1116</v>
      </c>
      <c r="C380" s="1565"/>
      <c r="D380" s="543" t="s">
        <v>1870</v>
      </c>
      <c r="E380" s="1565" t="s">
        <v>1871</v>
      </c>
      <c r="F380" s="1565"/>
      <c r="G380" s="544" t="s">
        <v>646</v>
      </c>
      <c r="H380" s="545">
        <v>13.36</v>
      </c>
      <c r="I380" s="545">
        <f t="shared" si="11"/>
        <v>13.36</v>
      </c>
      <c r="J380" s="546">
        <f t="shared" si="10"/>
        <v>15.35</v>
      </c>
    </row>
    <row r="381" spans="1:10" ht="39" customHeight="1" x14ac:dyDescent="0.2">
      <c r="A381" s="543" t="s">
        <v>1157</v>
      </c>
      <c r="B381" s="1565" t="s">
        <v>1116</v>
      </c>
      <c r="C381" s="1565"/>
      <c r="D381" s="543" t="s">
        <v>1872</v>
      </c>
      <c r="E381" s="1565" t="s">
        <v>1873</v>
      </c>
      <c r="F381" s="1565"/>
      <c r="G381" s="544" t="s">
        <v>646</v>
      </c>
      <c r="H381" s="545">
        <v>38.53</v>
      </c>
      <c r="I381" s="545">
        <f t="shared" si="11"/>
        <v>38.53</v>
      </c>
      <c r="J381" s="546">
        <f t="shared" si="10"/>
        <v>44.29</v>
      </c>
    </row>
    <row r="382" spans="1:10" ht="39" customHeight="1" x14ac:dyDescent="0.2">
      <c r="A382" s="543" t="s">
        <v>1157</v>
      </c>
      <c r="B382" s="1565" t="s">
        <v>1116</v>
      </c>
      <c r="C382" s="1565"/>
      <c r="D382" s="543" t="s">
        <v>1874</v>
      </c>
      <c r="E382" s="1565" t="s">
        <v>1875</v>
      </c>
      <c r="F382" s="1565"/>
      <c r="G382" s="544" t="s">
        <v>646</v>
      </c>
      <c r="H382" s="545">
        <v>11.64</v>
      </c>
      <c r="I382" s="545">
        <f t="shared" si="11"/>
        <v>11.64</v>
      </c>
      <c r="J382" s="546">
        <f t="shared" si="10"/>
        <v>13.38</v>
      </c>
    </row>
    <row r="383" spans="1:10" ht="39" customHeight="1" x14ac:dyDescent="0.2">
      <c r="A383" s="543" t="s">
        <v>1157</v>
      </c>
      <c r="B383" s="1565" t="s">
        <v>1116</v>
      </c>
      <c r="C383" s="1565"/>
      <c r="D383" s="543" t="s">
        <v>1876</v>
      </c>
      <c r="E383" s="1565" t="s">
        <v>1877</v>
      </c>
      <c r="F383" s="1565"/>
      <c r="G383" s="544" t="s">
        <v>1878</v>
      </c>
      <c r="H383" s="545">
        <v>88.06</v>
      </c>
      <c r="I383" s="545">
        <f t="shared" si="11"/>
        <v>88.06</v>
      </c>
      <c r="J383" s="546">
        <f t="shared" si="10"/>
        <v>101.23</v>
      </c>
    </row>
    <row r="384" spans="1:10" ht="39" customHeight="1" x14ac:dyDescent="0.2">
      <c r="A384" s="543" t="s">
        <v>1157</v>
      </c>
      <c r="B384" s="1565" t="s">
        <v>1116</v>
      </c>
      <c r="C384" s="1565"/>
      <c r="D384" s="543" t="s">
        <v>1879</v>
      </c>
      <c r="E384" s="1565" t="s">
        <v>1880</v>
      </c>
      <c r="F384" s="1565"/>
      <c r="G384" s="544" t="s">
        <v>646</v>
      </c>
      <c r="H384" s="545">
        <v>350</v>
      </c>
      <c r="I384" s="545">
        <f t="shared" si="11"/>
        <v>350</v>
      </c>
      <c r="J384" s="546">
        <f t="shared" si="10"/>
        <v>402.36</v>
      </c>
    </row>
    <row r="385" spans="1:10" ht="39" customHeight="1" x14ac:dyDescent="0.2">
      <c r="A385" s="543" t="s">
        <v>1157</v>
      </c>
      <c r="B385" s="1565" t="s">
        <v>1116</v>
      </c>
      <c r="C385" s="1565"/>
      <c r="D385" s="543" t="s">
        <v>1881</v>
      </c>
      <c r="E385" s="1565" t="s">
        <v>1882</v>
      </c>
      <c r="F385" s="1565"/>
      <c r="G385" s="544" t="s">
        <v>646</v>
      </c>
      <c r="H385" s="545">
        <v>183.38</v>
      </c>
      <c r="I385" s="545">
        <f t="shared" si="11"/>
        <v>183.38</v>
      </c>
      <c r="J385" s="546">
        <f t="shared" si="10"/>
        <v>210.81</v>
      </c>
    </row>
    <row r="386" spans="1:10" ht="39" customHeight="1" x14ac:dyDescent="0.2">
      <c r="A386" s="543" t="s">
        <v>1157</v>
      </c>
      <c r="B386" s="1565" t="s">
        <v>1116</v>
      </c>
      <c r="C386" s="1565"/>
      <c r="D386" s="543" t="s">
        <v>1883</v>
      </c>
      <c r="E386" s="1565" t="s">
        <v>1884</v>
      </c>
      <c r="F386" s="1565"/>
      <c r="G386" s="544" t="s">
        <v>646</v>
      </c>
      <c r="H386" s="545">
        <v>115.6</v>
      </c>
      <c r="I386" s="545">
        <f t="shared" si="11"/>
        <v>115.6</v>
      </c>
      <c r="J386" s="546">
        <f t="shared" si="10"/>
        <v>132.88999999999999</v>
      </c>
    </row>
    <row r="387" spans="1:10" ht="39" customHeight="1" x14ac:dyDescent="0.2">
      <c r="A387" s="543" t="s">
        <v>1157</v>
      </c>
      <c r="B387" s="1565" t="s">
        <v>1116</v>
      </c>
      <c r="C387" s="1565"/>
      <c r="D387" s="543" t="s">
        <v>1885</v>
      </c>
      <c r="E387" s="1565" t="s">
        <v>1886</v>
      </c>
      <c r="F387" s="1565"/>
      <c r="G387" s="544" t="s">
        <v>1161</v>
      </c>
      <c r="H387" s="545">
        <v>49.79</v>
      </c>
      <c r="I387" s="545">
        <f t="shared" si="11"/>
        <v>49.79</v>
      </c>
      <c r="J387" s="546">
        <f t="shared" si="10"/>
        <v>57.23</v>
      </c>
    </row>
    <row r="388" spans="1:10" ht="39" customHeight="1" x14ac:dyDescent="0.2">
      <c r="A388" s="543" t="s">
        <v>1157</v>
      </c>
      <c r="B388" s="1565" t="s">
        <v>1116</v>
      </c>
      <c r="C388" s="1565"/>
      <c r="D388" s="543" t="s">
        <v>1887</v>
      </c>
      <c r="E388" s="1565" t="s">
        <v>1888</v>
      </c>
      <c r="F388" s="1565"/>
      <c r="G388" s="544" t="s">
        <v>1161</v>
      </c>
      <c r="H388" s="545">
        <v>51.52</v>
      </c>
      <c r="I388" s="545">
        <f t="shared" si="11"/>
        <v>51.52</v>
      </c>
      <c r="J388" s="546">
        <f t="shared" si="10"/>
        <v>59.22</v>
      </c>
    </row>
    <row r="389" spans="1:10" ht="39" customHeight="1" x14ac:dyDescent="0.2">
      <c r="A389" s="543" t="s">
        <v>1157</v>
      </c>
      <c r="B389" s="1565" t="s">
        <v>1116</v>
      </c>
      <c r="C389" s="1565"/>
      <c r="D389" s="543" t="s">
        <v>1889</v>
      </c>
      <c r="E389" s="1565" t="s">
        <v>1890</v>
      </c>
      <c r="F389" s="1565"/>
      <c r="G389" s="544" t="s">
        <v>1161</v>
      </c>
      <c r="H389" s="545">
        <v>63.27</v>
      </c>
      <c r="I389" s="545">
        <f t="shared" si="11"/>
        <v>63.27</v>
      </c>
      <c r="J389" s="546">
        <f t="shared" si="10"/>
        <v>72.73</v>
      </c>
    </row>
    <row r="390" spans="1:10" ht="39" customHeight="1" x14ac:dyDescent="0.2">
      <c r="A390" s="543" t="s">
        <v>1157</v>
      </c>
      <c r="B390" s="1565" t="s">
        <v>1116</v>
      </c>
      <c r="C390" s="1565"/>
      <c r="D390" s="543" t="s">
        <v>1891</v>
      </c>
      <c r="E390" s="1565" t="s">
        <v>1892</v>
      </c>
      <c r="F390" s="1565"/>
      <c r="G390" s="544" t="s">
        <v>1191</v>
      </c>
      <c r="H390" s="545">
        <v>49.42</v>
      </c>
      <c r="I390" s="545">
        <f t="shared" si="11"/>
        <v>49.42</v>
      </c>
      <c r="J390" s="546">
        <f t="shared" si="10"/>
        <v>56.81</v>
      </c>
    </row>
    <row r="391" spans="1:10" ht="39" customHeight="1" x14ac:dyDescent="0.2">
      <c r="A391" s="543" t="s">
        <v>1157</v>
      </c>
      <c r="B391" s="1565" t="s">
        <v>1116</v>
      </c>
      <c r="C391" s="1565"/>
      <c r="D391" s="543" t="s">
        <v>1893</v>
      </c>
      <c r="E391" s="1565" t="s">
        <v>1894</v>
      </c>
      <c r="F391" s="1565"/>
      <c r="G391" s="544" t="s">
        <v>646</v>
      </c>
      <c r="H391" s="545">
        <v>869.47</v>
      </c>
      <c r="I391" s="545">
        <f t="shared" si="11"/>
        <v>869.47</v>
      </c>
      <c r="J391" s="546">
        <f t="shared" si="10"/>
        <v>999.54</v>
      </c>
    </row>
    <row r="392" spans="1:10" ht="39" customHeight="1" x14ac:dyDescent="0.2">
      <c r="A392" s="543" t="s">
        <v>1157</v>
      </c>
      <c r="B392" s="1565" t="s">
        <v>1116</v>
      </c>
      <c r="C392" s="1565"/>
      <c r="D392" s="543" t="s">
        <v>1895</v>
      </c>
      <c r="E392" s="1565" t="s">
        <v>1896</v>
      </c>
      <c r="F392" s="1565"/>
      <c r="G392" s="544" t="s">
        <v>1248</v>
      </c>
      <c r="H392" s="545">
        <v>5.78</v>
      </c>
      <c r="I392" s="545">
        <f t="shared" si="11"/>
        <v>5.78</v>
      </c>
      <c r="J392" s="546">
        <f t="shared" si="10"/>
        <v>6.64</v>
      </c>
    </row>
    <row r="393" spans="1:10" ht="39" customHeight="1" x14ac:dyDescent="0.2">
      <c r="A393" s="543" t="s">
        <v>1157</v>
      </c>
      <c r="B393" s="1565" t="s">
        <v>1116</v>
      </c>
      <c r="C393" s="1565"/>
      <c r="D393" s="543" t="s">
        <v>1897</v>
      </c>
      <c r="E393" s="1565" t="s">
        <v>1898</v>
      </c>
      <c r="F393" s="1565"/>
      <c r="G393" s="544" t="s">
        <v>1248</v>
      </c>
      <c r="H393" s="545">
        <v>26.95</v>
      </c>
      <c r="I393" s="545">
        <f t="shared" si="11"/>
        <v>26.95</v>
      </c>
      <c r="J393" s="546">
        <f t="shared" si="10"/>
        <v>30.98</v>
      </c>
    </row>
    <row r="394" spans="1:10" ht="39" customHeight="1" x14ac:dyDescent="0.2">
      <c r="A394" s="543" t="s">
        <v>1157</v>
      </c>
      <c r="B394" s="1565" t="s">
        <v>1116</v>
      </c>
      <c r="C394" s="1565"/>
      <c r="D394" s="543" t="s">
        <v>1899</v>
      </c>
      <c r="E394" s="1565" t="s">
        <v>1900</v>
      </c>
      <c r="F394" s="1565"/>
      <c r="G394" s="544" t="s">
        <v>1332</v>
      </c>
      <c r="H394" s="545">
        <v>17.28</v>
      </c>
      <c r="I394" s="545">
        <f t="shared" si="11"/>
        <v>17.28</v>
      </c>
      <c r="J394" s="546">
        <f t="shared" si="10"/>
        <v>19.86</v>
      </c>
    </row>
    <row r="395" spans="1:10" ht="39" customHeight="1" x14ac:dyDescent="0.2">
      <c r="A395" s="543" t="s">
        <v>1157</v>
      </c>
      <c r="B395" s="1565" t="s">
        <v>1116</v>
      </c>
      <c r="C395" s="1565"/>
      <c r="D395" s="543" t="s">
        <v>1901</v>
      </c>
      <c r="E395" s="1565" t="s">
        <v>1902</v>
      </c>
      <c r="F395" s="1565"/>
      <c r="G395" s="544" t="s">
        <v>646</v>
      </c>
      <c r="H395" s="545">
        <v>3.14</v>
      </c>
      <c r="I395" s="545">
        <f t="shared" si="11"/>
        <v>3.14</v>
      </c>
      <c r="J395" s="546">
        <f t="shared" si="10"/>
        <v>3.6</v>
      </c>
    </row>
    <row r="396" spans="1:10" ht="39" customHeight="1" x14ac:dyDescent="0.2">
      <c r="A396" s="543" t="s">
        <v>1157</v>
      </c>
      <c r="B396" s="1565" t="s">
        <v>1116</v>
      </c>
      <c r="C396" s="1565"/>
      <c r="D396" s="543" t="s">
        <v>1903</v>
      </c>
      <c r="E396" s="1565" t="s">
        <v>1904</v>
      </c>
      <c r="F396" s="1565"/>
      <c r="G396" s="544" t="s">
        <v>646</v>
      </c>
      <c r="H396" s="545">
        <v>21.95</v>
      </c>
      <c r="I396" s="545">
        <f t="shared" si="11"/>
        <v>21.95</v>
      </c>
      <c r="J396" s="546">
        <f t="shared" si="10"/>
        <v>25.23</v>
      </c>
    </row>
    <row r="397" spans="1:10" ht="39" customHeight="1" x14ac:dyDescent="0.2">
      <c r="A397" s="543" t="s">
        <v>1157</v>
      </c>
      <c r="B397" s="1565" t="s">
        <v>1116</v>
      </c>
      <c r="C397" s="1565"/>
      <c r="D397" s="543" t="s">
        <v>1905</v>
      </c>
      <c r="E397" s="1565" t="s">
        <v>1906</v>
      </c>
      <c r="F397" s="1565"/>
      <c r="G397" s="544" t="s">
        <v>646</v>
      </c>
      <c r="H397" s="545">
        <v>29.61</v>
      </c>
      <c r="I397" s="545">
        <f t="shared" si="11"/>
        <v>29.61</v>
      </c>
      <c r="J397" s="546">
        <f t="shared" ref="J397:J460" si="12">TRUNC((H397*($J$11))*(1+$J$8),2)</f>
        <v>34.03</v>
      </c>
    </row>
    <row r="398" spans="1:10" ht="39" customHeight="1" x14ac:dyDescent="0.2">
      <c r="A398" s="543" t="s">
        <v>1157</v>
      </c>
      <c r="B398" s="1565" t="s">
        <v>1116</v>
      </c>
      <c r="C398" s="1565"/>
      <c r="D398" s="543" t="s">
        <v>1907</v>
      </c>
      <c r="E398" s="1565" t="s">
        <v>1908</v>
      </c>
      <c r="F398" s="1565"/>
      <c r="G398" s="544" t="s">
        <v>646</v>
      </c>
      <c r="H398" s="545">
        <v>0.1</v>
      </c>
      <c r="I398" s="545">
        <f t="shared" ref="I398:I461" si="13">(H398*($J$11))</f>
        <v>0.1</v>
      </c>
      <c r="J398" s="546">
        <f t="shared" si="12"/>
        <v>0.11</v>
      </c>
    </row>
    <row r="399" spans="1:10" ht="39" customHeight="1" x14ac:dyDescent="0.2">
      <c r="A399" s="543" t="s">
        <v>1157</v>
      </c>
      <c r="B399" s="1565" t="s">
        <v>1116</v>
      </c>
      <c r="C399" s="1565"/>
      <c r="D399" s="543" t="s">
        <v>1909</v>
      </c>
      <c r="E399" s="1565" t="s">
        <v>1910</v>
      </c>
      <c r="F399" s="1565"/>
      <c r="G399" s="544" t="s">
        <v>646</v>
      </c>
      <c r="H399" s="545">
        <v>0.23</v>
      </c>
      <c r="I399" s="545">
        <f t="shared" si="13"/>
        <v>0.23</v>
      </c>
      <c r="J399" s="546">
        <f t="shared" si="12"/>
        <v>0.26</v>
      </c>
    </row>
    <row r="400" spans="1:10" ht="39" customHeight="1" x14ac:dyDescent="0.2">
      <c r="A400" s="543" t="s">
        <v>1157</v>
      </c>
      <c r="B400" s="1565" t="s">
        <v>1116</v>
      </c>
      <c r="C400" s="1565"/>
      <c r="D400" s="543" t="s">
        <v>1911</v>
      </c>
      <c r="E400" s="1565" t="s">
        <v>1912</v>
      </c>
      <c r="F400" s="1565"/>
      <c r="G400" s="544" t="s">
        <v>646</v>
      </c>
      <c r="H400" s="545">
        <v>26.55</v>
      </c>
      <c r="I400" s="545">
        <f t="shared" si="13"/>
        <v>26.55</v>
      </c>
      <c r="J400" s="546">
        <f t="shared" si="12"/>
        <v>30.52</v>
      </c>
    </row>
    <row r="401" spans="1:10" ht="39" customHeight="1" x14ac:dyDescent="0.2">
      <c r="A401" s="543" t="s">
        <v>1157</v>
      </c>
      <c r="B401" s="1565" t="s">
        <v>1116</v>
      </c>
      <c r="C401" s="1565"/>
      <c r="D401" s="543" t="s">
        <v>1913</v>
      </c>
      <c r="E401" s="1565" t="s">
        <v>1914</v>
      </c>
      <c r="F401" s="1565"/>
      <c r="G401" s="544" t="s">
        <v>1161</v>
      </c>
      <c r="H401" s="545">
        <v>272.26</v>
      </c>
      <c r="I401" s="545">
        <f t="shared" si="13"/>
        <v>272.26</v>
      </c>
      <c r="J401" s="546">
        <f t="shared" si="12"/>
        <v>312.99</v>
      </c>
    </row>
    <row r="402" spans="1:10" ht="39" customHeight="1" x14ac:dyDescent="0.2">
      <c r="A402" s="543" t="s">
        <v>1157</v>
      </c>
      <c r="B402" s="1565" t="s">
        <v>1116</v>
      </c>
      <c r="C402" s="1565"/>
      <c r="D402" s="543" t="s">
        <v>1915</v>
      </c>
      <c r="E402" s="1565" t="s">
        <v>1916</v>
      </c>
      <c r="F402" s="1565"/>
      <c r="G402" s="544" t="s">
        <v>1191</v>
      </c>
      <c r="H402" s="545">
        <v>36.74</v>
      </c>
      <c r="I402" s="545">
        <f t="shared" si="13"/>
        <v>36.74</v>
      </c>
      <c r="J402" s="546">
        <f t="shared" si="12"/>
        <v>42.23</v>
      </c>
    </row>
    <row r="403" spans="1:10" ht="39" customHeight="1" x14ac:dyDescent="0.2">
      <c r="A403" s="543" t="s">
        <v>1157</v>
      </c>
      <c r="B403" s="1565" t="s">
        <v>1116</v>
      </c>
      <c r="C403" s="1565"/>
      <c r="D403" s="543" t="s">
        <v>1917</v>
      </c>
      <c r="E403" s="1565" t="s">
        <v>1918</v>
      </c>
      <c r="F403" s="1565"/>
      <c r="G403" s="544" t="s">
        <v>1191</v>
      </c>
      <c r="H403" s="545">
        <v>2.92</v>
      </c>
      <c r="I403" s="545">
        <f t="shared" si="13"/>
        <v>2.92</v>
      </c>
      <c r="J403" s="546">
        <f t="shared" si="12"/>
        <v>3.35</v>
      </c>
    </row>
    <row r="404" spans="1:10" ht="39" customHeight="1" x14ac:dyDescent="0.2">
      <c r="A404" s="543" t="s">
        <v>1157</v>
      </c>
      <c r="B404" s="1565" t="s">
        <v>1116</v>
      </c>
      <c r="C404" s="1565"/>
      <c r="D404" s="543" t="s">
        <v>1919</v>
      </c>
      <c r="E404" s="1565" t="s">
        <v>1920</v>
      </c>
      <c r="F404" s="1565"/>
      <c r="G404" s="544" t="s">
        <v>1191</v>
      </c>
      <c r="H404" s="545">
        <v>12.7</v>
      </c>
      <c r="I404" s="545">
        <f t="shared" si="13"/>
        <v>12.7</v>
      </c>
      <c r="J404" s="546">
        <f t="shared" si="12"/>
        <v>14.59</v>
      </c>
    </row>
    <row r="405" spans="1:10" ht="39" customHeight="1" x14ac:dyDescent="0.2">
      <c r="A405" s="543" t="s">
        <v>1157</v>
      </c>
      <c r="B405" s="1565" t="s">
        <v>1116</v>
      </c>
      <c r="C405" s="1565"/>
      <c r="D405" s="543" t="s">
        <v>1921</v>
      </c>
      <c r="E405" s="1565" t="s">
        <v>1922</v>
      </c>
      <c r="F405" s="1565"/>
      <c r="G405" s="544" t="s">
        <v>1191</v>
      </c>
      <c r="H405" s="545">
        <v>5.96</v>
      </c>
      <c r="I405" s="545">
        <f t="shared" si="13"/>
        <v>5.96</v>
      </c>
      <c r="J405" s="546">
        <f t="shared" si="12"/>
        <v>6.85</v>
      </c>
    </row>
    <row r="406" spans="1:10" ht="39" customHeight="1" x14ac:dyDescent="0.2">
      <c r="A406" s="543" t="s">
        <v>1157</v>
      </c>
      <c r="B406" s="1565" t="s">
        <v>1116</v>
      </c>
      <c r="C406" s="1565"/>
      <c r="D406" s="543" t="s">
        <v>1923</v>
      </c>
      <c r="E406" s="1565" t="s">
        <v>1924</v>
      </c>
      <c r="F406" s="1565"/>
      <c r="G406" s="544" t="s">
        <v>1191</v>
      </c>
      <c r="H406" s="545">
        <v>4.24</v>
      </c>
      <c r="I406" s="545">
        <f t="shared" si="13"/>
        <v>4.24</v>
      </c>
      <c r="J406" s="546">
        <f t="shared" si="12"/>
        <v>4.87</v>
      </c>
    </row>
    <row r="407" spans="1:10" ht="39" customHeight="1" x14ac:dyDescent="0.2">
      <c r="A407" s="543" t="s">
        <v>1157</v>
      </c>
      <c r="B407" s="1565" t="s">
        <v>1116</v>
      </c>
      <c r="C407" s="1565"/>
      <c r="D407" s="543" t="s">
        <v>1925</v>
      </c>
      <c r="E407" s="1565" t="s">
        <v>1926</v>
      </c>
      <c r="F407" s="1565"/>
      <c r="G407" s="544" t="s">
        <v>1191</v>
      </c>
      <c r="H407" s="545">
        <v>8.36</v>
      </c>
      <c r="I407" s="545">
        <f t="shared" si="13"/>
        <v>8.36</v>
      </c>
      <c r="J407" s="546">
        <f t="shared" si="12"/>
        <v>9.61</v>
      </c>
    </row>
    <row r="408" spans="1:10" ht="39" customHeight="1" x14ac:dyDescent="0.2">
      <c r="A408" s="543" t="s">
        <v>1157</v>
      </c>
      <c r="B408" s="1565" t="s">
        <v>1116</v>
      </c>
      <c r="C408" s="1565"/>
      <c r="D408" s="543" t="s">
        <v>1927</v>
      </c>
      <c r="E408" s="1565" t="s">
        <v>1928</v>
      </c>
      <c r="F408" s="1565"/>
      <c r="G408" s="544" t="s">
        <v>1332</v>
      </c>
      <c r="H408" s="545">
        <v>146.53</v>
      </c>
      <c r="I408" s="545">
        <f t="shared" si="13"/>
        <v>146.53</v>
      </c>
      <c r="J408" s="546">
        <f t="shared" si="12"/>
        <v>168.45</v>
      </c>
    </row>
    <row r="409" spans="1:10" ht="39" customHeight="1" x14ac:dyDescent="0.2">
      <c r="A409" s="543" t="s">
        <v>1157</v>
      </c>
      <c r="B409" s="1565" t="s">
        <v>1116</v>
      </c>
      <c r="C409" s="1565"/>
      <c r="D409" s="543" t="s">
        <v>1929</v>
      </c>
      <c r="E409" s="1565" t="s">
        <v>1930</v>
      </c>
      <c r="F409" s="1565"/>
      <c r="G409" s="544" t="s">
        <v>1332</v>
      </c>
      <c r="H409" s="545">
        <v>126.92</v>
      </c>
      <c r="I409" s="545">
        <f t="shared" si="13"/>
        <v>126.92</v>
      </c>
      <c r="J409" s="546">
        <f t="shared" si="12"/>
        <v>145.9</v>
      </c>
    </row>
    <row r="410" spans="1:10" ht="39" customHeight="1" x14ac:dyDescent="0.2">
      <c r="A410" s="543" t="s">
        <v>1157</v>
      </c>
      <c r="B410" s="1565" t="s">
        <v>1116</v>
      </c>
      <c r="C410" s="1565"/>
      <c r="D410" s="543" t="s">
        <v>1931</v>
      </c>
      <c r="E410" s="1565" t="s">
        <v>1932</v>
      </c>
      <c r="F410" s="1565"/>
      <c r="G410" s="544" t="s">
        <v>1161</v>
      </c>
      <c r="H410" s="545">
        <v>163.16999999999999</v>
      </c>
      <c r="I410" s="545">
        <f t="shared" si="13"/>
        <v>163.16999999999999</v>
      </c>
      <c r="J410" s="546">
        <f t="shared" si="12"/>
        <v>187.58</v>
      </c>
    </row>
    <row r="411" spans="1:10" ht="39" customHeight="1" x14ac:dyDescent="0.2">
      <c r="A411" s="543" t="s">
        <v>1157</v>
      </c>
      <c r="B411" s="1565" t="s">
        <v>1116</v>
      </c>
      <c r="C411" s="1565"/>
      <c r="D411" s="543" t="s">
        <v>1933</v>
      </c>
      <c r="E411" s="1565" t="s">
        <v>1934</v>
      </c>
      <c r="F411" s="1565"/>
      <c r="G411" s="544" t="s">
        <v>1181</v>
      </c>
      <c r="H411" s="545">
        <v>9.1199999999999992</v>
      </c>
      <c r="I411" s="545">
        <f t="shared" si="13"/>
        <v>9.1199999999999992</v>
      </c>
      <c r="J411" s="546">
        <f t="shared" si="12"/>
        <v>10.48</v>
      </c>
    </row>
    <row r="412" spans="1:10" ht="39" customHeight="1" x14ac:dyDescent="0.2">
      <c r="A412" s="543" t="s">
        <v>1157</v>
      </c>
      <c r="B412" s="1565" t="s">
        <v>1158</v>
      </c>
      <c r="C412" s="1565"/>
      <c r="D412" s="543" t="s">
        <v>1935</v>
      </c>
      <c r="E412" s="1565" t="s">
        <v>1936</v>
      </c>
      <c r="F412" s="1565"/>
      <c r="G412" s="544" t="s">
        <v>1161</v>
      </c>
      <c r="H412" s="545">
        <v>65.25</v>
      </c>
      <c r="I412" s="545">
        <f t="shared" si="13"/>
        <v>65.25</v>
      </c>
      <c r="J412" s="546">
        <f t="shared" si="12"/>
        <v>75.010000000000005</v>
      </c>
    </row>
    <row r="413" spans="1:10" ht="39" customHeight="1" x14ac:dyDescent="0.2">
      <c r="A413" s="543" t="s">
        <v>1157</v>
      </c>
      <c r="B413" s="1565" t="s">
        <v>1116</v>
      </c>
      <c r="C413" s="1565"/>
      <c r="D413" s="543" t="s">
        <v>1937</v>
      </c>
      <c r="E413" s="1565" t="s">
        <v>1938</v>
      </c>
      <c r="F413" s="1565"/>
      <c r="G413" s="544" t="s">
        <v>1161</v>
      </c>
      <c r="H413" s="545">
        <v>162</v>
      </c>
      <c r="I413" s="545">
        <f t="shared" si="13"/>
        <v>162</v>
      </c>
      <c r="J413" s="546">
        <f t="shared" si="12"/>
        <v>186.23</v>
      </c>
    </row>
    <row r="414" spans="1:10" ht="39" customHeight="1" x14ac:dyDescent="0.2">
      <c r="A414" s="543" t="s">
        <v>1157</v>
      </c>
      <c r="B414" s="1565" t="s">
        <v>1116</v>
      </c>
      <c r="C414" s="1565"/>
      <c r="D414" s="543" t="s">
        <v>1939</v>
      </c>
      <c r="E414" s="1565" t="s">
        <v>1940</v>
      </c>
      <c r="F414" s="1565"/>
      <c r="G414" s="544" t="s">
        <v>1161</v>
      </c>
      <c r="H414" s="545">
        <v>11.66</v>
      </c>
      <c r="I414" s="545">
        <f t="shared" si="13"/>
        <v>11.66</v>
      </c>
      <c r="J414" s="546">
        <f t="shared" si="12"/>
        <v>13.4</v>
      </c>
    </row>
    <row r="415" spans="1:10" ht="39" customHeight="1" x14ac:dyDescent="0.2">
      <c r="A415" s="543" t="s">
        <v>1157</v>
      </c>
      <c r="B415" s="1565" t="s">
        <v>1116</v>
      </c>
      <c r="C415" s="1565"/>
      <c r="D415" s="543" t="s">
        <v>1941</v>
      </c>
      <c r="E415" s="1565" t="s">
        <v>1942</v>
      </c>
      <c r="F415" s="1565"/>
      <c r="G415" s="544" t="s">
        <v>646</v>
      </c>
      <c r="H415" s="545">
        <v>200</v>
      </c>
      <c r="I415" s="545">
        <f t="shared" si="13"/>
        <v>200</v>
      </c>
      <c r="J415" s="546">
        <f t="shared" si="12"/>
        <v>229.92</v>
      </c>
    </row>
    <row r="416" spans="1:10" ht="39" customHeight="1" x14ac:dyDescent="0.2">
      <c r="A416" s="543" t="s">
        <v>1157</v>
      </c>
      <c r="B416" s="1565" t="s">
        <v>1116</v>
      </c>
      <c r="C416" s="1565"/>
      <c r="D416" s="543" t="s">
        <v>1943</v>
      </c>
      <c r="E416" s="1565" t="s">
        <v>1944</v>
      </c>
      <c r="F416" s="1565"/>
      <c r="G416" s="544" t="s">
        <v>646</v>
      </c>
      <c r="H416" s="545">
        <v>247.84</v>
      </c>
      <c r="I416" s="545">
        <f t="shared" si="13"/>
        <v>247.84</v>
      </c>
      <c r="J416" s="546">
        <f t="shared" si="12"/>
        <v>284.91000000000003</v>
      </c>
    </row>
    <row r="417" spans="1:10" ht="39" customHeight="1" x14ac:dyDescent="0.2">
      <c r="A417" s="543" t="s">
        <v>1157</v>
      </c>
      <c r="B417" s="1565" t="s">
        <v>1116</v>
      </c>
      <c r="C417" s="1565"/>
      <c r="D417" s="543" t="s">
        <v>1945</v>
      </c>
      <c r="E417" s="1565" t="s">
        <v>1946</v>
      </c>
      <c r="F417" s="1565"/>
      <c r="G417" s="544" t="s">
        <v>646</v>
      </c>
      <c r="H417" s="545">
        <v>283.55</v>
      </c>
      <c r="I417" s="545">
        <f t="shared" si="13"/>
        <v>283.55</v>
      </c>
      <c r="J417" s="546">
        <f t="shared" si="12"/>
        <v>325.95999999999998</v>
      </c>
    </row>
    <row r="418" spans="1:10" ht="39" customHeight="1" x14ac:dyDescent="0.2">
      <c r="A418" s="543" t="s">
        <v>1157</v>
      </c>
      <c r="B418" s="1565" t="s">
        <v>1116</v>
      </c>
      <c r="C418" s="1565"/>
      <c r="D418" s="543" t="s">
        <v>1947</v>
      </c>
      <c r="E418" s="1565" t="s">
        <v>1948</v>
      </c>
      <c r="F418" s="1565"/>
      <c r="G418" s="544" t="s">
        <v>1161</v>
      </c>
      <c r="H418" s="545">
        <v>235.4</v>
      </c>
      <c r="I418" s="545">
        <f t="shared" si="13"/>
        <v>235.4</v>
      </c>
      <c r="J418" s="546">
        <f t="shared" si="12"/>
        <v>270.61</v>
      </c>
    </row>
    <row r="419" spans="1:10" ht="39" customHeight="1" x14ac:dyDescent="0.2">
      <c r="A419" s="543" t="s">
        <v>1157</v>
      </c>
      <c r="B419" s="1565" t="s">
        <v>1116</v>
      </c>
      <c r="C419" s="1565"/>
      <c r="D419" s="543" t="s">
        <v>1949</v>
      </c>
      <c r="E419" s="1565" t="s">
        <v>1950</v>
      </c>
      <c r="F419" s="1565"/>
      <c r="G419" s="544" t="s">
        <v>1181</v>
      </c>
      <c r="H419" s="545">
        <v>23.15</v>
      </c>
      <c r="I419" s="545">
        <f t="shared" si="13"/>
        <v>23.15</v>
      </c>
      <c r="J419" s="546">
        <f t="shared" si="12"/>
        <v>26.61</v>
      </c>
    </row>
    <row r="420" spans="1:10" ht="39" customHeight="1" x14ac:dyDescent="0.2">
      <c r="A420" s="543" t="s">
        <v>1157</v>
      </c>
      <c r="B420" s="1565" t="s">
        <v>1116</v>
      </c>
      <c r="C420" s="1565"/>
      <c r="D420" s="543" t="s">
        <v>1951</v>
      </c>
      <c r="E420" s="1565" t="s">
        <v>1952</v>
      </c>
      <c r="F420" s="1565"/>
      <c r="G420" s="544" t="s">
        <v>1181</v>
      </c>
      <c r="H420" s="545">
        <v>18.72</v>
      </c>
      <c r="I420" s="545">
        <f t="shared" si="13"/>
        <v>18.72</v>
      </c>
      <c r="J420" s="546">
        <f t="shared" si="12"/>
        <v>21.52</v>
      </c>
    </row>
    <row r="421" spans="1:10" ht="39" customHeight="1" x14ac:dyDescent="0.2">
      <c r="A421" s="543" t="s">
        <v>1157</v>
      </c>
      <c r="B421" s="1565" t="s">
        <v>1116</v>
      </c>
      <c r="C421" s="1565"/>
      <c r="D421" s="543" t="s">
        <v>1953</v>
      </c>
      <c r="E421" s="1565" t="s">
        <v>1954</v>
      </c>
      <c r="F421" s="1565"/>
      <c r="G421" s="544" t="s">
        <v>1181</v>
      </c>
      <c r="H421" s="545">
        <v>17.57</v>
      </c>
      <c r="I421" s="545">
        <f t="shared" si="13"/>
        <v>17.57</v>
      </c>
      <c r="J421" s="546">
        <f t="shared" si="12"/>
        <v>20.190000000000001</v>
      </c>
    </row>
    <row r="422" spans="1:10" ht="39" customHeight="1" x14ac:dyDescent="0.2">
      <c r="A422" s="543" t="s">
        <v>1157</v>
      </c>
      <c r="B422" s="1565" t="s">
        <v>1116</v>
      </c>
      <c r="C422" s="1565"/>
      <c r="D422" s="543" t="s">
        <v>1955</v>
      </c>
      <c r="E422" s="1565" t="s">
        <v>1956</v>
      </c>
      <c r="F422" s="1565"/>
      <c r="G422" s="544" t="s">
        <v>1181</v>
      </c>
      <c r="H422" s="545">
        <v>17.27</v>
      </c>
      <c r="I422" s="545">
        <f t="shared" si="13"/>
        <v>17.27</v>
      </c>
      <c r="J422" s="546">
        <f t="shared" si="12"/>
        <v>19.850000000000001</v>
      </c>
    </row>
    <row r="423" spans="1:10" ht="39" customHeight="1" x14ac:dyDescent="0.2">
      <c r="A423" s="543" t="s">
        <v>1157</v>
      </c>
      <c r="B423" s="1565" t="s">
        <v>1116</v>
      </c>
      <c r="C423" s="1565"/>
      <c r="D423" s="543" t="s">
        <v>1957</v>
      </c>
      <c r="E423" s="1565" t="s">
        <v>1508</v>
      </c>
      <c r="F423" s="1565"/>
      <c r="G423" s="544" t="s">
        <v>1181</v>
      </c>
      <c r="H423" s="545">
        <v>17.57</v>
      </c>
      <c r="I423" s="545">
        <f t="shared" si="13"/>
        <v>17.57</v>
      </c>
      <c r="J423" s="546">
        <f t="shared" si="12"/>
        <v>20.190000000000001</v>
      </c>
    </row>
    <row r="424" spans="1:10" ht="39" customHeight="1" x14ac:dyDescent="0.2">
      <c r="A424" s="543" t="s">
        <v>1157</v>
      </c>
      <c r="B424" s="1565" t="s">
        <v>1116</v>
      </c>
      <c r="C424" s="1565"/>
      <c r="D424" s="543" t="s">
        <v>1958</v>
      </c>
      <c r="E424" s="1565" t="s">
        <v>1959</v>
      </c>
      <c r="F424" s="1565"/>
      <c r="G424" s="544" t="s">
        <v>1248</v>
      </c>
      <c r="H424" s="545">
        <v>18.809999999999999</v>
      </c>
      <c r="I424" s="545">
        <f t="shared" si="13"/>
        <v>18.809999999999999</v>
      </c>
      <c r="J424" s="546">
        <f t="shared" si="12"/>
        <v>21.62</v>
      </c>
    </row>
    <row r="425" spans="1:10" ht="39" customHeight="1" x14ac:dyDescent="0.2">
      <c r="A425" s="543" t="s">
        <v>1157</v>
      </c>
      <c r="B425" s="1565" t="s">
        <v>1116</v>
      </c>
      <c r="C425" s="1565"/>
      <c r="D425" s="543" t="s">
        <v>1960</v>
      </c>
      <c r="E425" s="1565" t="s">
        <v>1961</v>
      </c>
      <c r="F425" s="1565"/>
      <c r="G425" s="544" t="s">
        <v>1332</v>
      </c>
      <c r="H425" s="545">
        <v>119.89</v>
      </c>
      <c r="I425" s="545">
        <f t="shared" si="13"/>
        <v>119.89</v>
      </c>
      <c r="J425" s="546">
        <f t="shared" si="12"/>
        <v>137.82</v>
      </c>
    </row>
    <row r="426" spans="1:10" ht="39" customHeight="1" x14ac:dyDescent="0.2">
      <c r="A426" s="543" t="s">
        <v>1157</v>
      </c>
      <c r="B426" s="1565" t="s">
        <v>1116</v>
      </c>
      <c r="C426" s="1565"/>
      <c r="D426" s="543" t="s">
        <v>1962</v>
      </c>
      <c r="E426" s="1565" t="s">
        <v>1963</v>
      </c>
      <c r="F426" s="1565"/>
      <c r="G426" s="544" t="s">
        <v>646</v>
      </c>
      <c r="H426" s="545">
        <v>371.87</v>
      </c>
      <c r="I426" s="545">
        <f t="shared" si="13"/>
        <v>371.87</v>
      </c>
      <c r="J426" s="546">
        <f t="shared" si="12"/>
        <v>427.5</v>
      </c>
    </row>
    <row r="427" spans="1:10" ht="39" customHeight="1" x14ac:dyDescent="0.2">
      <c r="A427" s="543" t="s">
        <v>1157</v>
      </c>
      <c r="B427" s="1565" t="s">
        <v>1116</v>
      </c>
      <c r="C427" s="1565"/>
      <c r="D427" s="543" t="s">
        <v>1964</v>
      </c>
      <c r="E427" s="1565" t="s">
        <v>1965</v>
      </c>
      <c r="F427" s="1565"/>
      <c r="G427" s="544" t="s">
        <v>646</v>
      </c>
      <c r="H427" s="545">
        <v>521.14</v>
      </c>
      <c r="I427" s="545">
        <f t="shared" si="13"/>
        <v>521.14</v>
      </c>
      <c r="J427" s="546">
        <f t="shared" si="12"/>
        <v>599.1</v>
      </c>
    </row>
    <row r="428" spans="1:10" ht="39" customHeight="1" x14ac:dyDescent="0.2">
      <c r="A428" s="543" t="s">
        <v>1157</v>
      </c>
      <c r="B428" s="1565" t="s">
        <v>1116</v>
      </c>
      <c r="C428" s="1565"/>
      <c r="D428" s="543" t="s">
        <v>1966</v>
      </c>
      <c r="E428" s="1565" t="s">
        <v>1967</v>
      </c>
      <c r="F428" s="1565"/>
      <c r="G428" s="544" t="s">
        <v>646</v>
      </c>
      <c r="H428" s="545">
        <v>547.66</v>
      </c>
      <c r="I428" s="545">
        <f t="shared" si="13"/>
        <v>547.66</v>
      </c>
      <c r="J428" s="546">
        <f t="shared" si="12"/>
        <v>629.58000000000004</v>
      </c>
    </row>
    <row r="429" spans="1:10" ht="39" customHeight="1" x14ac:dyDescent="0.2">
      <c r="A429" s="543" t="s">
        <v>1157</v>
      </c>
      <c r="B429" s="1565" t="s">
        <v>1116</v>
      </c>
      <c r="C429" s="1565"/>
      <c r="D429" s="543" t="s">
        <v>1968</v>
      </c>
      <c r="E429" s="1565" t="s">
        <v>1969</v>
      </c>
      <c r="F429" s="1565"/>
      <c r="G429" s="544" t="s">
        <v>646</v>
      </c>
      <c r="H429" s="545">
        <v>921.59</v>
      </c>
      <c r="I429" s="545">
        <f t="shared" si="13"/>
        <v>921.59</v>
      </c>
      <c r="J429" s="546">
        <f t="shared" si="12"/>
        <v>1059.45</v>
      </c>
    </row>
    <row r="430" spans="1:10" ht="39" customHeight="1" x14ac:dyDescent="0.2">
      <c r="A430" s="543" t="s">
        <v>1157</v>
      </c>
      <c r="B430" s="1565" t="s">
        <v>1116</v>
      </c>
      <c r="C430" s="1565"/>
      <c r="D430" s="543" t="s">
        <v>1970</v>
      </c>
      <c r="E430" s="1565" t="s">
        <v>1971</v>
      </c>
      <c r="F430" s="1565"/>
      <c r="G430" s="544" t="s">
        <v>646</v>
      </c>
      <c r="H430" s="545">
        <v>9.82</v>
      </c>
      <c r="I430" s="545">
        <f t="shared" si="13"/>
        <v>9.82</v>
      </c>
      <c r="J430" s="546">
        <f t="shared" si="12"/>
        <v>11.28</v>
      </c>
    </row>
    <row r="431" spans="1:10" ht="39" customHeight="1" x14ac:dyDescent="0.2">
      <c r="A431" s="543" t="s">
        <v>1157</v>
      </c>
      <c r="B431" s="1565" t="s">
        <v>1116</v>
      </c>
      <c r="C431" s="1565"/>
      <c r="D431" s="543" t="s">
        <v>1972</v>
      </c>
      <c r="E431" s="1565" t="s">
        <v>1973</v>
      </c>
      <c r="F431" s="1565"/>
      <c r="G431" s="544" t="s">
        <v>646</v>
      </c>
      <c r="H431" s="545">
        <v>8.4</v>
      </c>
      <c r="I431" s="545">
        <f t="shared" si="13"/>
        <v>8.4</v>
      </c>
      <c r="J431" s="546">
        <f t="shared" si="12"/>
        <v>9.65</v>
      </c>
    </row>
    <row r="432" spans="1:10" ht="39" customHeight="1" x14ac:dyDescent="0.2">
      <c r="A432" s="543" t="s">
        <v>1157</v>
      </c>
      <c r="B432" s="1565" t="s">
        <v>1116</v>
      </c>
      <c r="C432" s="1565"/>
      <c r="D432" s="543" t="s">
        <v>1974</v>
      </c>
      <c r="E432" s="1565" t="s">
        <v>1975</v>
      </c>
      <c r="F432" s="1565"/>
      <c r="G432" s="544" t="s">
        <v>646</v>
      </c>
      <c r="H432" s="545">
        <v>11.79</v>
      </c>
      <c r="I432" s="545">
        <f t="shared" si="13"/>
        <v>11.79</v>
      </c>
      <c r="J432" s="546">
        <f t="shared" si="12"/>
        <v>13.55</v>
      </c>
    </row>
    <row r="433" spans="1:10" ht="39" customHeight="1" x14ac:dyDescent="0.2">
      <c r="A433" s="543" t="s">
        <v>1157</v>
      </c>
      <c r="B433" s="1565" t="s">
        <v>1116</v>
      </c>
      <c r="C433" s="1565"/>
      <c r="D433" s="543" t="s">
        <v>1976</v>
      </c>
      <c r="E433" s="1565" t="s">
        <v>1977</v>
      </c>
      <c r="F433" s="1565"/>
      <c r="G433" s="544" t="s">
        <v>646</v>
      </c>
      <c r="H433" s="545">
        <v>10.69</v>
      </c>
      <c r="I433" s="545">
        <f t="shared" si="13"/>
        <v>10.69</v>
      </c>
      <c r="J433" s="546">
        <f t="shared" si="12"/>
        <v>12.28</v>
      </c>
    </row>
    <row r="434" spans="1:10" ht="39" customHeight="1" x14ac:dyDescent="0.2">
      <c r="A434" s="543" t="s">
        <v>1157</v>
      </c>
      <c r="B434" s="1565" t="s">
        <v>1116</v>
      </c>
      <c r="C434" s="1565"/>
      <c r="D434" s="543" t="s">
        <v>1978</v>
      </c>
      <c r="E434" s="1565" t="s">
        <v>1979</v>
      </c>
      <c r="F434" s="1565"/>
      <c r="G434" s="544" t="s">
        <v>646</v>
      </c>
      <c r="H434" s="545">
        <v>14.09</v>
      </c>
      <c r="I434" s="545">
        <f t="shared" si="13"/>
        <v>14.09</v>
      </c>
      <c r="J434" s="546">
        <f t="shared" si="12"/>
        <v>16.190000000000001</v>
      </c>
    </row>
    <row r="435" spans="1:10" ht="39" customHeight="1" x14ac:dyDescent="0.2">
      <c r="A435" s="543" t="s">
        <v>1157</v>
      </c>
      <c r="B435" s="1565" t="s">
        <v>1116</v>
      </c>
      <c r="C435" s="1565"/>
      <c r="D435" s="543" t="s">
        <v>1980</v>
      </c>
      <c r="E435" s="1565" t="s">
        <v>1981</v>
      </c>
      <c r="F435" s="1565"/>
      <c r="G435" s="544" t="s">
        <v>646</v>
      </c>
      <c r="H435" s="545">
        <v>8.98</v>
      </c>
      <c r="I435" s="545">
        <f t="shared" si="13"/>
        <v>8.98</v>
      </c>
      <c r="J435" s="546">
        <f t="shared" si="12"/>
        <v>10.32</v>
      </c>
    </row>
    <row r="436" spans="1:10" ht="39" customHeight="1" x14ac:dyDescent="0.2">
      <c r="A436" s="543" t="s">
        <v>1157</v>
      </c>
      <c r="B436" s="1565" t="s">
        <v>1116</v>
      </c>
      <c r="C436" s="1565"/>
      <c r="D436" s="543" t="s">
        <v>1982</v>
      </c>
      <c r="E436" s="1565" t="s">
        <v>1983</v>
      </c>
      <c r="F436" s="1565"/>
      <c r="G436" s="544" t="s">
        <v>646</v>
      </c>
      <c r="H436" s="545">
        <v>18.14</v>
      </c>
      <c r="I436" s="545">
        <f t="shared" si="13"/>
        <v>18.14</v>
      </c>
      <c r="J436" s="546">
        <f t="shared" si="12"/>
        <v>20.85</v>
      </c>
    </row>
    <row r="437" spans="1:10" ht="39" customHeight="1" x14ac:dyDescent="0.2">
      <c r="A437" s="543" t="s">
        <v>1157</v>
      </c>
      <c r="B437" s="1565" t="s">
        <v>1116</v>
      </c>
      <c r="C437" s="1565"/>
      <c r="D437" s="543" t="s">
        <v>1984</v>
      </c>
      <c r="E437" s="1565" t="s">
        <v>1985</v>
      </c>
      <c r="F437" s="1565"/>
      <c r="G437" s="544" t="s">
        <v>646</v>
      </c>
      <c r="H437" s="545">
        <v>54.38</v>
      </c>
      <c r="I437" s="545">
        <f t="shared" si="13"/>
        <v>54.38</v>
      </c>
      <c r="J437" s="546">
        <f t="shared" si="12"/>
        <v>62.51</v>
      </c>
    </row>
    <row r="438" spans="1:10" ht="39" customHeight="1" x14ac:dyDescent="0.2">
      <c r="A438" s="543" t="s">
        <v>1157</v>
      </c>
      <c r="B438" s="1565" t="s">
        <v>1116</v>
      </c>
      <c r="C438" s="1565"/>
      <c r="D438" s="543" t="s">
        <v>1986</v>
      </c>
      <c r="E438" s="1565" t="s">
        <v>1987</v>
      </c>
      <c r="F438" s="1565"/>
      <c r="G438" s="544" t="s">
        <v>646</v>
      </c>
      <c r="H438" s="545">
        <v>153.07</v>
      </c>
      <c r="I438" s="545">
        <f t="shared" si="13"/>
        <v>153.07</v>
      </c>
      <c r="J438" s="546">
        <f t="shared" si="12"/>
        <v>175.96</v>
      </c>
    </row>
    <row r="439" spans="1:10" ht="39" customHeight="1" x14ac:dyDescent="0.2">
      <c r="A439" s="543" t="s">
        <v>1157</v>
      </c>
      <c r="B439" s="1565" t="s">
        <v>1116</v>
      </c>
      <c r="C439" s="1565"/>
      <c r="D439" s="543" t="s">
        <v>1988</v>
      </c>
      <c r="E439" s="1565" t="s">
        <v>1989</v>
      </c>
      <c r="F439" s="1565"/>
      <c r="G439" s="544" t="s">
        <v>646</v>
      </c>
      <c r="H439" s="545">
        <v>121.25</v>
      </c>
      <c r="I439" s="545">
        <f t="shared" si="13"/>
        <v>121.25</v>
      </c>
      <c r="J439" s="546">
        <f t="shared" si="12"/>
        <v>139.38</v>
      </c>
    </row>
    <row r="440" spans="1:10" ht="39" customHeight="1" x14ac:dyDescent="0.2">
      <c r="A440" s="543" t="s">
        <v>1157</v>
      </c>
      <c r="B440" s="1565" t="s">
        <v>1116</v>
      </c>
      <c r="C440" s="1565"/>
      <c r="D440" s="543" t="s">
        <v>1990</v>
      </c>
      <c r="E440" s="1565" t="s">
        <v>1991</v>
      </c>
      <c r="F440" s="1565"/>
      <c r="G440" s="544" t="s">
        <v>646</v>
      </c>
      <c r="H440" s="545">
        <v>53.43</v>
      </c>
      <c r="I440" s="545">
        <f t="shared" si="13"/>
        <v>53.43</v>
      </c>
      <c r="J440" s="546">
        <f t="shared" si="12"/>
        <v>61.42</v>
      </c>
    </row>
    <row r="441" spans="1:10" ht="39" customHeight="1" x14ac:dyDescent="0.2">
      <c r="A441" s="543" t="s">
        <v>1157</v>
      </c>
      <c r="B441" s="1565" t="s">
        <v>1116</v>
      </c>
      <c r="C441" s="1565"/>
      <c r="D441" s="543" t="s">
        <v>1992</v>
      </c>
      <c r="E441" s="1565" t="s">
        <v>1993</v>
      </c>
      <c r="F441" s="1565"/>
      <c r="G441" s="544" t="s">
        <v>646</v>
      </c>
      <c r="H441" s="545">
        <v>88.96</v>
      </c>
      <c r="I441" s="545">
        <f t="shared" si="13"/>
        <v>88.96</v>
      </c>
      <c r="J441" s="546">
        <f t="shared" si="12"/>
        <v>102.26</v>
      </c>
    </row>
    <row r="442" spans="1:10" ht="39" customHeight="1" x14ac:dyDescent="0.2">
      <c r="A442" s="543" t="s">
        <v>1157</v>
      </c>
      <c r="B442" s="1565" t="s">
        <v>1116</v>
      </c>
      <c r="C442" s="1565"/>
      <c r="D442" s="543" t="s">
        <v>1994</v>
      </c>
      <c r="E442" s="1565" t="s">
        <v>1995</v>
      </c>
      <c r="F442" s="1565"/>
      <c r="G442" s="544" t="s">
        <v>646</v>
      </c>
      <c r="H442" s="545">
        <v>442.18</v>
      </c>
      <c r="I442" s="545">
        <f t="shared" si="13"/>
        <v>442.18</v>
      </c>
      <c r="J442" s="546">
        <f t="shared" si="12"/>
        <v>508.33</v>
      </c>
    </row>
    <row r="443" spans="1:10" ht="39" customHeight="1" x14ac:dyDescent="0.2">
      <c r="A443" s="543" t="s">
        <v>1157</v>
      </c>
      <c r="B443" s="1565" t="s">
        <v>1116</v>
      </c>
      <c r="C443" s="1565"/>
      <c r="D443" s="543" t="s">
        <v>1996</v>
      </c>
      <c r="E443" s="1565" t="s">
        <v>1997</v>
      </c>
      <c r="F443" s="1565"/>
      <c r="G443" s="544" t="s">
        <v>646</v>
      </c>
      <c r="H443" s="545">
        <v>213.21</v>
      </c>
      <c r="I443" s="545">
        <f t="shared" si="13"/>
        <v>213.21</v>
      </c>
      <c r="J443" s="546">
        <f t="shared" si="12"/>
        <v>245.1</v>
      </c>
    </row>
    <row r="444" spans="1:10" ht="39" customHeight="1" x14ac:dyDescent="0.2">
      <c r="A444" s="543" t="s">
        <v>1157</v>
      </c>
      <c r="B444" s="1565" t="s">
        <v>1116</v>
      </c>
      <c r="C444" s="1565"/>
      <c r="D444" s="543" t="s">
        <v>1998</v>
      </c>
      <c r="E444" s="1565" t="s">
        <v>1999</v>
      </c>
      <c r="F444" s="1565"/>
      <c r="G444" s="544" t="s">
        <v>646</v>
      </c>
      <c r="H444" s="545">
        <v>56.36</v>
      </c>
      <c r="I444" s="545">
        <f t="shared" si="13"/>
        <v>56.36</v>
      </c>
      <c r="J444" s="546">
        <f t="shared" si="12"/>
        <v>64.790000000000006</v>
      </c>
    </row>
    <row r="445" spans="1:10" ht="39" customHeight="1" x14ac:dyDescent="0.2">
      <c r="A445" s="543" t="s">
        <v>1157</v>
      </c>
      <c r="B445" s="1565" t="s">
        <v>1116</v>
      </c>
      <c r="C445" s="1565"/>
      <c r="D445" s="543" t="s">
        <v>2000</v>
      </c>
      <c r="E445" s="1565" t="s">
        <v>2001</v>
      </c>
      <c r="F445" s="1565"/>
      <c r="G445" s="544" t="s">
        <v>646</v>
      </c>
      <c r="H445" s="545">
        <v>535.34</v>
      </c>
      <c r="I445" s="545">
        <f t="shared" si="13"/>
        <v>535.34</v>
      </c>
      <c r="J445" s="546">
        <f t="shared" si="12"/>
        <v>615.41999999999996</v>
      </c>
    </row>
    <row r="446" spans="1:10" ht="39" customHeight="1" x14ac:dyDescent="0.2">
      <c r="A446" s="543" t="s">
        <v>1157</v>
      </c>
      <c r="B446" s="1565" t="s">
        <v>1116</v>
      </c>
      <c r="C446" s="1565"/>
      <c r="D446" s="543" t="s">
        <v>2002</v>
      </c>
      <c r="E446" s="1565" t="s">
        <v>2003</v>
      </c>
      <c r="F446" s="1565"/>
      <c r="G446" s="544" t="s">
        <v>646</v>
      </c>
      <c r="H446" s="545">
        <v>1115.45</v>
      </c>
      <c r="I446" s="545">
        <f t="shared" si="13"/>
        <v>1115.45</v>
      </c>
      <c r="J446" s="546">
        <f t="shared" si="12"/>
        <v>1282.32</v>
      </c>
    </row>
    <row r="447" spans="1:10" ht="39" customHeight="1" x14ac:dyDescent="0.2">
      <c r="A447" s="543" t="s">
        <v>1157</v>
      </c>
      <c r="B447" s="1565" t="s">
        <v>1116</v>
      </c>
      <c r="C447" s="1565"/>
      <c r="D447" s="543" t="s">
        <v>2004</v>
      </c>
      <c r="E447" s="1565" t="s">
        <v>2005</v>
      </c>
      <c r="F447" s="1565"/>
      <c r="G447" s="544" t="s">
        <v>646</v>
      </c>
      <c r="H447" s="545">
        <v>37.869999999999997</v>
      </c>
      <c r="I447" s="545">
        <f t="shared" si="13"/>
        <v>37.869999999999997</v>
      </c>
      <c r="J447" s="546">
        <f t="shared" si="12"/>
        <v>43.53</v>
      </c>
    </row>
    <row r="448" spans="1:10" ht="39" customHeight="1" x14ac:dyDescent="0.2">
      <c r="A448" s="543" t="s">
        <v>1157</v>
      </c>
      <c r="B448" s="1565" t="s">
        <v>1116</v>
      </c>
      <c r="C448" s="1565"/>
      <c r="D448" s="543" t="s">
        <v>2006</v>
      </c>
      <c r="E448" s="1565" t="s">
        <v>2007</v>
      </c>
      <c r="F448" s="1565"/>
      <c r="G448" s="544" t="s">
        <v>646</v>
      </c>
      <c r="H448" s="545">
        <v>45.21</v>
      </c>
      <c r="I448" s="545">
        <f t="shared" si="13"/>
        <v>45.21</v>
      </c>
      <c r="J448" s="546">
        <f t="shared" si="12"/>
        <v>51.97</v>
      </c>
    </row>
    <row r="449" spans="1:10" ht="39" customHeight="1" x14ac:dyDescent="0.2">
      <c r="A449" s="543" t="s">
        <v>1157</v>
      </c>
      <c r="B449" s="1565" t="s">
        <v>1116</v>
      </c>
      <c r="C449" s="1565"/>
      <c r="D449" s="543" t="s">
        <v>2008</v>
      </c>
      <c r="E449" s="1565" t="s">
        <v>2009</v>
      </c>
      <c r="F449" s="1565"/>
      <c r="G449" s="544" t="s">
        <v>646</v>
      </c>
      <c r="H449" s="545">
        <v>10.210000000000001</v>
      </c>
      <c r="I449" s="545">
        <f t="shared" si="13"/>
        <v>10.210000000000001</v>
      </c>
      <c r="J449" s="546">
        <f t="shared" si="12"/>
        <v>11.73</v>
      </c>
    </row>
    <row r="450" spans="1:10" ht="39" customHeight="1" x14ac:dyDescent="0.2">
      <c r="A450" s="543" t="s">
        <v>1157</v>
      </c>
      <c r="B450" s="1565" t="s">
        <v>1116</v>
      </c>
      <c r="C450" s="1565"/>
      <c r="D450" s="543" t="s">
        <v>2010</v>
      </c>
      <c r="E450" s="1565" t="s">
        <v>2011</v>
      </c>
      <c r="F450" s="1565"/>
      <c r="G450" s="544" t="s">
        <v>646</v>
      </c>
      <c r="H450" s="545">
        <v>12</v>
      </c>
      <c r="I450" s="545">
        <f t="shared" si="13"/>
        <v>12</v>
      </c>
      <c r="J450" s="546">
        <f t="shared" si="12"/>
        <v>13.79</v>
      </c>
    </row>
    <row r="451" spans="1:10" ht="39" customHeight="1" x14ac:dyDescent="0.2">
      <c r="A451" s="543" t="s">
        <v>1157</v>
      </c>
      <c r="B451" s="1565" t="s">
        <v>1116</v>
      </c>
      <c r="C451" s="1565"/>
      <c r="D451" s="543" t="s">
        <v>2012</v>
      </c>
      <c r="E451" s="1565" t="s">
        <v>2013</v>
      </c>
      <c r="F451" s="1565"/>
      <c r="G451" s="544" t="s">
        <v>646</v>
      </c>
      <c r="H451" s="545">
        <v>12.12</v>
      </c>
      <c r="I451" s="545">
        <f t="shared" si="13"/>
        <v>12.12</v>
      </c>
      <c r="J451" s="546">
        <f t="shared" si="12"/>
        <v>13.93</v>
      </c>
    </row>
    <row r="452" spans="1:10" ht="39" customHeight="1" x14ac:dyDescent="0.2">
      <c r="A452" s="543" t="s">
        <v>1157</v>
      </c>
      <c r="B452" s="1565" t="s">
        <v>1116</v>
      </c>
      <c r="C452" s="1565"/>
      <c r="D452" s="543" t="s">
        <v>2014</v>
      </c>
      <c r="E452" s="1565" t="s">
        <v>2015</v>
      </c>
      <c r="F452" s="1565"/>
      <c r="G452" s="544" t="s">
        <v>646</v>
      </c>
      <c r="H452" s="545">
        <v>15.98</v>
      </c>
      <c r="I452" s="545">
        <f t="shared" si="13"/>
        <v>15.98</v>
      </c>
      <c r="J452" s="546">
        <f t="shared" si="12"/>
        <v>18.37</v>
      </c>
    </row>
    <row r="453" spans="1:10" ht="39" customHeight="1" x14ac:dyDescent="0.2">
      <c r="A453" s="543" t="s">
        <v>1157</v>
      </c>
      <c r="B453" s="1565" t="s">
        <v>1116</v>
      </c>
      <c r="C453" s="1565"/>
      <c r="D453" s="543" t="s">
        <v>2016</v>
      </c>
      <c r="E453" s="1565" t="s">
        <v>2017</v>
      </c>
      <c r="F453" s="1565"/>
      <c r="G453" s="544" t="s">
        <v>646</v>
      </c>
      <c r="H453" s="545">
        <v>34.770000000000003</v>
      </c>
      <c r="I453" s="545">
        <f t="shared" si="13"/>
        <v>34.770000000000003</v>
      </c>
      <c r="J453" s="546">
        <f t="shared" si="12"/>
        <v>39.97</v>
      </c>
    </row>
    <row r="454" spans="1:10" ht="39" customHeight="1" x14ac:dyDescent="0.2">
      <c r="A454" s="543" t="s">
        <v>1157</v>
      </c>
      <c r="B454" s="1565" t="s">
        <v>1116</v>
      </c>
      <c r="C454" s="1565"/>
      <c r="D454" s="543" t="s">
        <v>2018</v>
      </c>
      <c r="E454" s="1565" t="s">
        <v>2019</v>
      </c>
      <c r="F454" s="1565"/>
      <c r="G454" s="544" t="s">
        <v>646</v>
      </c>
      <c r="H454" s="545">
        <v>33.11</v>
      </c>
      <c r="I454" s="545">
        <f t="shared" si="13"/>
        <v>33.11</v>
      </c>
      <c r="J454" s="546">
        <f t="shared" si="12"/>
        <v>38.06</v>
      </c>
    </row>
    <row r="455" spans="1:10" ht="39" customHeight="1" x14ac:dyDescent="0.2">
      <c r="A455" s="543" t="s">
        <v>1157</v>
      </c>
      <c r="B455" s="1565" t="s">
        <v>1116</v>
      </c>
      <c r="C455" s="1565"/>
      <c r="D455" s="543" t="s">
        <v>2020</v>
      </c>
      <c r="E455" s="1565" t="s">
        <v>2021</v>
      </c>
      <c r="F455" s="1565"/>
      <c r="G455" s="544" t="s">
        <v>646</v>
      </c>
      <c r="H455" s="545">
        <v>12.68</v>
      </c>
      <c r="I455" s="545">
        <f t="shared" si="13"/>
        <v>12.68</v>
      </c>
      <c r="J455" s="546">
        <f t="shared" si="12"/>
        <v>14.57</v>
      </c>
    </row>
    <row r="456" spans="1:10" ht="39" customHeight="1" x14ac:dyDescent="0.2">
      <c r="A456" s="543" t="s">
        <v>1157</v>
      </c>
      <c r="B456" s="1565" t="s">
        <v>1116</v>
      </c>
      <c r="C456" s="1565"/>
      <c r="D456" s="543" t="s">
        <v>2022</v>
      </c>
      <c r="E456" s="1565" t="s">
        <v>2023</v>
      </c>
      <c r="F456" s="1565"/>
      <c r="G456" s="544" t="s">
        <v>646</v>
      </c>
      <c r="H456" s="545">
        <v>24.8</v>
      </c>
      <c r="I456" s="545">
        <f t="shared" si="13"/>
        <v>24.8</v>
      </c>
      <c r="J456" s="546">
        <f t="shared" si="12"/>
        <v>28.51</v>
      </c>
    </row>
    <row r="457" spans="1:10" ht="39" customHeight="1" x14ac:dyDescent="0.2">
      <c r="A457" s="543" t="s">
        <v>1157</v>
      </c>
      <c r="B457" s="1565" t="s">
        <v>1116</v>
      </c>
      <c r="C457" s="1565"/>
      <c r="D457" s="543" t="s">
        <v>2024</v>
      </c>
      <c r="E457" s="1565" t="s">
        <v>2025</v>
      </c>
      <c r="F457" s="1565"/>
      <c r="G457" s="544" t="s">
        <v>646</v>
      </c>
      <c r="H457" s="545">
        <v>53.21</v>
      </c>
      <c r="I457" s="545">
        <f t="shared" si="13"/>
        <v>53.21</v>
      </c>
      <c r="J457" s="546">
        <f t="shared" si="12"/>
        <v>61.17</v>
      </c>
    </row>
    <row r="458" spans="1:10" ht="39" customHeight="1" x14ac:dyDescent="0.2">
      <c r="A458" s="543" t="s">
        <v>1157</v>
      </c>
      <c r="B458" s="1565" t="s">
        <v>1116</v>
      </c>
      <c r="C458" s="1565"/>
      <c r="D458" s="543" t="s">
        <v>2026</v>
      </c>
      <c r="E458" s="1565" t="s">
        <v>2027</v>
      </c>
      <c r="F458" s="1565"/>
      <c r="G458" s="544" t="s">
        <v>646</v>
      </c>
      <c r="H458" s="545">
        <v>15.2</v>
      </c>
      <c r="I458" s="545">
        <f t="shared" si="13"/>
        <v>15.2</v>
      </c>
      <c r="J458" s="546">
        <f t="shared" si="12"/>
        <v>17.47</v>
      </c>
    </row>
    <row r="459" spans="1:10" ht="39" customHeight="1" x14ac:dyDescent="0.2">
      <c r="A459" s="543" t="s">
        <v>1157</v>
      </c>
      <c r="B459" s="1565" t="s">
        <v>1116</v>
      </c>
      <c r="C459" s="1565"/>
      <c r="D459" s="543" t="s">
        <v>2028</v>
      </c>
      <c r="E459" s="1565" t="s">
        <v>2029</v>
      </c>
      <c r="F459" s="1565"/>
      <c r="G459" s="544" t="s">
        <v>646</v>
      </c>
      <c r="H459" s="545">
        <v>11.97</v>
      </c>
      <c r="I459" s="545">
        <f t="shared" si="13"/>
        <v>11.97</v>
      </c>
      <c r="J459" s="546">
        <f t="shared" si="12"/>
        <v>13.76</v>
      </c>
    </row>
    <row r="460" spans="1:10" ht="39" customHeight="1" x14ac:dyDescent="0.2">
      <c r="A460" s="543" t="s">
        <v>1157</v>
      </c>
      <c r="B460" s="1565" t="s">
        <v>1116</v>
      </c>
      <c r="C460" s="1565"/>
      <c r="D460" s="543" t="s">
        <v>2030</v>
      </c>
      <c r="E460" s="1565" t="s">
        <v>2031</v>
      </c>
      <c r="F460" s="1565"/>
      <c r="G460" s="544" t="s">
        <v>646</v>
      </c>
      <c r="H460" s="545">
        <v>15.41</v>
      </c>
      <c r="I460" s="545">
        <f t="shared" si="13"/>
        <v>15.41</v>
      </c>
      <c r="J460" s="546">
        <f t="shared" si="12"/>
        <v>17.71</v>
      </c>
    </row>
    <row r="461" spans="1:10" ht="39" customHeight="1" x14ac:dyDescent="0.2">
      <c r="A461" s="543" t="s">
        <v>1157</v>
      </c>
      <c r="B461" s="1565" t="s">
        <v>1116</v>
      </c>
      <c r="C461" s="1565"/>
      <c r="D461" s="543" t="s">
        <v>2032</v>
      </c>
      <c r="E461" s="1565" t="s">
        <v>2033</v>
      </c>
      <c r="F461" s="1565"/>
      <c r="G461" s="544" t="s">
        <v>646</v>
      </c>
      <c r="H461" s="545">
        <v>24.47</v>
      </c>
      <c r="I461" s="545">
        <f t="shared" si="13"/>
        <v>24.47</v>
      </c>
      <c r="J461" s="546">
        <f t="shared" ref="J461:J524" si="14">TRUNC((H461*($J$11))*(1+$J$8),2)</f>
        <v>28.13</v>
      </c>
    </row>
    <row r="462" spans="1:10" ht="39" customHeight="1" x14ac:dyDescent="0.2">
      <c r="A462" s="543" t="s">
        <v>1157</v>
      </c>
      <c r="B462" s="1565" t="s">
        <v>1116</v>
      </c>
      <c r="C462" s="1565"/>
      <c r="D462" s="543" t="s">
        <v>2034</v>
      </c>
      <c r="E462" s="1565" t="s">
        <v>2035</v>
      </c>
      <c r="F462" s="1565"/>
      <c r="G462" s="544" t="s">
        <v>646</v>
      </c>
      <c r="H462" s="545">
        <v>32.72</v>
      </c>
      <c r="I462" s="545">
        <f t="shared" ref="I462:I525" si="15">(H462*($J$11))</f>
        <v>32.72</v>
      </c>
      <c r="J462" s="546">
        <f t="shared" si="14"/>
        <v>37.61</v>
      </c>
    </row>
    <row r="463" spans="1:10" ht="39" customHeight="1" x14ac:dyDescent="0.2">
      <c r="A463" s="543" t="s">
        <v>1157</v>
      </c>
      <c r="B463" s="1565" t="s">
        <v>1116</v>
      </c>
      <c r="C463" s="1565"/>
      <c r="D463" s="543" t="s">
        <v>2036</v>
      </c>
      <c r="E463" s="1565" t="s">
        <v>2037</v>
      </c>
      <c r="F463" s="1565"/>
      <c r="G463" s="544" t="s">
        <v>646</v>
      </c>
      <c r="H463" s="545">
        <v>33.799999999999997</v>
      </c>
      <c r="I463" s="545">
        <f t="shared" si="15"/>
        <v>33.799999999999997</v>
      </c>
      <c r="J463" s="546">
        <f t="shared" si="14"/>
        <v>38.85</v>
      </c>
    </row>
    <row r="464" spans="1:10" ht="39" customHeight="1" x14ac:dyDescent="0.2">
      <c r="A464" s="543" t="s">
        <v>1157</v>
      </c>
      <c r="B464" s="1565" t="s">
        <v>1116</v>
      </c>
      <c r="C464" s="1565"/>
      <c r="D464" s="543" t="s">
        <v>2038</v>
      </c>
      <c r="E464" s="1565" t="s">
        <v>2039</v>
      </c>
      <c r="F464" s="1565"/>
      <c r="G464" s="544" t="s">
        <v>646</v>
      </c>
      <c r="H464" s="545">
        <v>61.89</v>
      </c>
      <c r="I464" s="545">
        <f t="shared" si="15"/>
        <v>61.89</v>
      </c>
      <c r="J464" s="546">
        <f t="shared" si="14"/>
        <v>71.14</v>
      </c>
    </row>
    <row r="465" spans="1:10" ht="39" customHeight="1" x14ac:dyDescent="0.2">
      <c r="A465" s="543" t="s">
        <v>1157</v>
      </c>
      <c r="B465" s="1565" t="s">
        <v>1116</v>
      </c>
      <c r="C465" s="1565"/>
      <c r="D465" s="543" t="s">
        <v>2040</v>
      </c>
      <c r="E465" s="1565" t="s">
        <v>2041</v>
      </c>
      <c r="F465" s="1565"/>
      <c r="G465" s="544" t="s">
        <v>646</v>
      </c>
      <c r="H465" s="545">
        <v>11.19</v>
      </c>
      <c r="I465" s="545">
        <f t="shared" si="15"/>
        <v>11.19</v>
      </c>
      <c r="J465" s="546">
        <f t="shared" si="14"/>
        <v>12.86</v>
      </c>
    </row>
    <row r="466" spans="1:10" ht="39" customHeight="1" x14ac:dyDescent="0.2">
      <c r="A466" s="543" t="s">
        <v>1157</v>
      </c>
      <c r="B466" s="1565" t="s">
        <v>1116</v>
      </c>
      <c r="C466" s="1565"/>
      <c r="D466" s="543" t="s">
        <v>2042</v>
      </c>
      <c r="E466" s="1565" t="s">
        <v>2043</v>
      </c>
      <c r="F466" s="1565"/>
      <c r="G466" s="544" t="s">
        <v>646</v>
      </c>
      <c r="H466" s="545">
        <v>3.92</v>
      </c>
      <c r="I466" s="545">
        <f t="shared" si="15"/>
        <v>3.92</v>
      </c>
      <c r="J466" s="546">
        <f t="shared" si="14"/>
        <v>4.5</v>
      </c>
    </row>
    <row r="467" spans="1:10" ht="39" customHeight="1" x14ac:dyDescent="0.2">
      <c r="A467" s="543" t="s">
        <v>1157</v>
      </c>
      <c r="B467" s="1565" t="s">
        <v>1116</v>
      </c>
      <c r="C467" s="1565"/>
      <c r="D467" s="543" t="s">
        <v>2044</v>
      </c>
      <c r="E467" s="1565" t="s">
        <v>2045</v>
      </c>
      <c r="F467" s="1565"/>
      <c r="G467" s="544" t="s">
        <v>646</v>
      </c>
      <c r="H467" s="545">
        <v>9.08</v>
      </c>
      <c r="I467" s="545">
        <f t="shared" si="15"/>
        <v>9.08</v>
      </c>
      <c r="J467" s="546">
        <f t="shared" si="14"/>
        <v>10.43</v>
      </c>
    </row>
    <row r="468" spans="1:10" ht="39" customHeight="1" x14ac:dyDescent="0.2">
      <c r="A468" s="543" t="s">
        <v>1157</v>
      </c>
      <c r="B468" s="1565" t="s">
        <v>1116</v>
      </c>
      <c r="C468" s="1565"/>
      <c r="D468" s="543" t="s">
        <v>2046</v>
      </c>
      <c r="E468" s="1565" t="s">
        <v>2047</v>
      </c>
      <c r="F468" s="1565"/>
      <c r="G468" s="544" t="s">
        <v>646</v>
      </c>
      <c r="H468" s="545">
        <v>8.17</v>
      </c>
      <c r="I468" s="545">
        <f t="shared" si="15"/>
        <v>8.17</v>
      </c>
      <c r="J468" s="546">
        <f t="shared" si="14"/>
        <v>9.39</v>
      </c>
    </row>
    <row r="469" spans="1:10" ht="39" customHeight="1" x14ac:dyDescent="0.2">
      <c r="A469" s="543" t="s">
        <v>1157</v>
      </c>
      <c r="B469" s="1565" t="s">
        <v>1116</v>
      </c>
      <c r="C469" s="1565"/>
      <c r="D469" s="543" t="s">
        <v>2048</v>
      </c>
      <c r="E469" s="1565" t="s">
        <v>2049</v>
      </c>
      <c r="F469" s="1565"/>
      <c r="G469" s="544" t="s">
        <v>646</v>
      </c>
      <c r="H469" s="545">
        <v>35.46</v>
      </c>
      <c r="I469" s="545">
        <f t="shared" si="15"/>
        <v>35.46</v>
      </c>
      <c r="J469" s="546">
        <f t="shared" si="14"/>
        <v>40.76</v>
      </c>
    </row>
    <row r="470" spans="1:10" ht="39" customHeight="1" x14ac:dyDescent="0.2">
      <c r="A470" s="543" t="s">
        <v>1157</v>
      </c>
      <c r="B470" s="1565" t="s">
        <v>1116</v>
      </c>
      <c r="C470" s="1565"/>
      <c r="D470" s="543" t="s">
        <v>2050</v>
      </c>
      <c r="E470" s="1565" t="s">
        <v>2051</v>
      </c>
      <c r="F470" s="1565"/>
      <c r="G470" s="544" t="s">
        <v>646</v>
      </c>
      <c r="H470" s="545">
        <v>192.35</v>
      </c>
      <c r="I470" s="545">
        <f t="shared" si="15"/>
        <v>192.35</v>
      </c>
      <c r="J470" s="546">
        <f t="shared" si="14"/>
        <v>221.12</v>
      </c>
    </row>
    <row r="471" spans="1:10" ht="39" customHeight="1" x14ac:dyDescent="0.2">
      <c r="A471" s="543" t="s">
        <v>1157</v>
      </c>
      <c r="B471" s="1565" t="s">
        <v>1116</v>
      </c>
      <c r="C471" s="1565"/>
      <c r="D471" s="543" t="s">
        <v>2052</v>
      </c>
      <c r="E471" s="1565" t="s">
        <v>2053</v>
      </c>
      <c r="F471" s="1565"/>
      <c r="G471" s="544" t="s">
        <v>1191</v>
      </c>
      <c r="H471" s="545">
        <v>27</v>
      </c>
      <c r="I471" s="545">
        <f t="shared" si="15"/>
        <v>27</v>
      </c>
      <c r="J471" s="546">
        <f t="shared" si="14"/>
        <v>31.03</v>
      </c>
    </row>
    <row r="472" spans="1:10" ht="39" customHeight="1" x14ac:dyDescent="0.2">
      <c r="A472" s="543" t="s">
        <v>1157</v>
      </c>
      <c r="B472" s="1565" t="s">
        <v>1116</v>
      </c>
      <c r="C472" s="1565"/>
      <c r="D472" s="543" t="s">
        <v>2054</v>
      </c>
      <c r="E472" s="1565" t="s">
        <v>2055</v>
      </c>
      <c r="F472" s="1565"/>
      <c r="G472" s="544" t="s">
        <v>646</v>
      </c>
      <c r="H472" s="545">
        <v>12.93</v>
      </c>
      <c r="I472" s="545">
        <f t="shared" si="15"/>
        <v>12.93</v>
      </c>
      <c r="J472" s="546">
        <f t="shared" si="14"/>
        <v>14.86</v>
      </c>
    </row>
    <row r="473" spans="1:10" ht="39" customHeight="1" x14ac:dyDescent="0.2">
      <c r="A473" s="543" t="s">
        <v>1157</v>
      </c>
      <c r="B473" s="1565" t="s">
        <v>1116</v>
      </c>
      <c r="C473" s="1565"/>
      <c r="D473" s="543" t="s">
        <v>2056</v>
      </c>
      <c r="E473" s="1565" t="s">
        <v>2057</v>
      </c>
      <c r="F473" s="1565"/>
      <c r="G473" s="544" t="s">
        <v>646</v>
      </c>
      <c r="H473" s="545">
        <v>41.22</v>
      </c>
      <c r="I473" s="545">
        <f t="shared" si="15"/>
        <v>41.22</v>
      </c>
      <c r="J473" s="546">
        <f t="shared" si="14"/>
        <v>47.38</v>
      </c>
    </row>
    <row r="474" spans="1:10" ht="39" customHeight="1" x14ac:dyDescent="0.2">
      <c r="A474" s="543" t="s">
        <v>1157</v>
      </c>
      <c r="B474" s="1565" t="s">
        <v>1116</v>
      </c>
      <c r="C474" s="1565"/>
      <c r="D474" s="543" t="s">
        <v>2058</v>
      </c>
      <c r="E474" s="1565" t="s">
        <v>2059</v>
      </c>
      <c r="F474" s="1565"/>
      <c r="G474" s="544" t="s">
        <v>1248</v>
      </c>
      <c r="H474" s="545">
        <v>12.42</v>
      </c>
      <c r="I474" s="545">
        <f t="shared" si="15"/>
        <v>12.42</v>
      </c>
      <c r="J474" s="546">
        <f t="shared" si="14"/>
        <v>14.27</v>
      </c>
    </row>
    <row r="475" spans="1:10" ht="39" customHeight="1" x14ac:dyDescent="0.2">
      <c r="A475" s="543" t="s">
        <v>1157</v>
      </c>
      <c r="B475" s="1565" t="s">
        <v>1116</v>
      </c>
      <c r="C475" s="1565"/>
      <c r="D475" s="543" t="s">
        <v>2060</v>
      </c>
      <c r="E475" s="1565" t="s">
        <v>2061</v>
      </c>
      <c r="F475" s="1565"/>
      <c r="G475" s="544" t="s">
        <v>2062</v>
      </c>
      <c r="H475" s="545">
        <v>30.79</v>
      </c>
      <c r="I475" s="545">
        <f t="shared" si="15"/>
        <v>30.79</v>
      </c>
      <c r="J475" s="546">
        <f t="shared" si="14"/>
        <v>35.39</v>
      </c>
    </row>
    <row r="476" spans="1:10" ht="39" customHeight="1" x14ac:dyDescent="0.2">
      <c r="A476" s="543" t="s">
        <v>1157</v>
      </c>
      <c r="B476" s="1565" t="s">
        <v>1116</v>
      </c>
      <c r="C476" s="1565"/>
      <c r="D476" s="543" t="s">
        <v>2063</v>
      </c>
      <c r="E476" s="1565" t="s">
        <v>2064</v>
      </c>
      <c r="F476" s="1565"/>
      <c r="G476" s="544" t="s">
        <v>646</v>
      </c>
      <c r="H476" s="545">
        <v>243.86</v>
      </c>
      <c r="I476" s="545">
        <f t="shared" si="15"/>
        <v>243.86</v>
      </c>
      <c r="J476" s="546">
        <f t="shared" si="14"/>
        <v>280.33999999999997</v>
      </c>
    </row>
    <row r="477" spans="1:10" ht="39" customHeight="1" x14ac:dyDescent="0.2">
      <c r="A477" s="543" t="s">
        <v>1157</v>
      </c>
      <c r="B477" s="1565" t="s">
        <v>1116</v>
      </c>
      <c r="C477" s="1565"/>
      <c r="D477" s="543" t="s">
        <v>2065</v>
      </c>
      <c r="E477" s="1565" t="s">
        <v>2066</v>
      </c>
      <c r="F477" s="1565"/>
      <c r="G477" s="544" t="s">
        <v>1181</v>
      </c>
      <c r="H477" s="545">
        <v>14.5</v>
      </c>
      <c r="I477" s="545">
        <f t="shared" si="15"/>
        <v>14.5</v>
      </c>
      <c r="J477" s="546">
        <f t="shared" si="14"/>
        <v>16.66</v>
      </c>
    </row>
    <row r="478" spans="1:10" ht="39" customHeight="1" x14ac:dyDescent="0.2">
      <c r="A478" s="543" t="s">
        <v>1157</v>
      </c>
      <c r="B478" s="1565" t="s">
        <v>1116</v>
      </c>
      <c r="C478" s="1565"/>
      <c r="D478" s="543" t="s">
        <v>2067</v>
      </c>
      <c r="E478" s="1565" t="s">
        <v>2068</v>
      </c>
      <c r="F478" s="1565"/>
      <c r="G478" s="544" t="s">
        <v>646</v>
      </c>
      <c r="H478" s="545">
        <v>72.87</v>
      </c>
      <c r="I478" s="545">
        <f t="shared" si="15"/>
        <v>72.87</v>
      </c>
      <c r="J478" s="546">
        <f t="shared" si="14"/>
        <v>83.77</v>
      </c>
    </row>
    <row r="479" spans="1:10" ht="39" customHeight="1" x14ac:dyDescent="0.2">
      <c r="A479" s="543" t="s">
        <v>1157</v>
      </c>
      <c r="B479" s="1565" t="s">
        <v>1116</v>
      </c>
      <c r="C479" s="1565"/>
      <c r="D479" s="543" t="s">
        <v>2069</v>
      </c>
      <c r="E479" s="1565" t="s">
        <v>2070</v>
      </c>
      <c r="F479" s="1565"/>
      <c r="G479" s="544" t="s">
        <v>1248</v>
      </c>
      <c r="H479" s="545">
        <v>27.64</v>
      </c>
      <c r="I479" s="545">
        <f t="shared" si="15"/>
        <v>27.64</v>
      </c>
      <c r="J479" s="546">
        <f t="shared" si="14"/>
        <v>31.77</v>
      </c>
    </row>
    <row r="480" spans="1:10" ht="39" customHeight="1" x14ac:dyDescent="0.2">
      <c r="A480" s="543" t="s">
        <v>1157</v>
      </c>
      <c r="B480" s="1565" t="s">
        <v>1116</v>
      </c>
      <c r="C480" s="1565"/>
      <c r="D480" s="543" t="s">
        <v>2071</v>
      </c>
      <c r="E480" s="1565" t="s">
        <v>2072</v>
      </c>
      <c r="F480" s="1565"/>
      <c r="G480" s="544" t="s">
        <v>1191</v>
      </c>
      <c r="H480" s="545">
        <v>25.43</v>
      </c>
      <c r="I480" s="545">
        <f t="shared" si="15"/>
        <v>25.43</v>
      </c>
      <c r="J480" s="546">
        <f t="shared" si="14"/>
        <v>29.23</v>
      </c>
    </row>
    <row r="481" spans="1:10" ht="39" customHeight="1" x14ac:dyDescent="0.2">
      <c r="A481" s="543" t="s">
        <v>1157</v>
      </c>
      <c r="B481" s="1565" t="s">
        <v>1116</v>
      </c>
      <c r="C481" s="1565"/>
      <c r="D481" s="543" t="s">
        <v>2073</v>
      </c>
      <c r="E481" s="1565" t="s">
        <v>2074</v>
      </c>
      <c r="F481" s="1565"/>
      <c r="G481" s="544" t="s">
        <v>1191</v>
      </c>
      <c r="H481" s="545">
        <v>37.119999999999997</v>
      </c>
      <c r="I481" s="545">
        <f t="shared" si="15"/>
        <v>37.119999999999997</v>
      </c>
      <c r="J481" s="546">
        <f t="shared" si="14"/>
        <v>42.67</v>
      </c>
    </row>
    <row r="482" spans="1:10" ht="39" customHeight="1" x14ac:dyDescent="0.2">
      <c r="A482" s="543" t="s">
        <v>1157</v>
      </c>
      <c r="B482" s="1565" t="s">
        <v>1116</v>
      </c>
      <c r="C482" s="1565"/>
      <c r="D482" s="543" t="s">
        <v>2075</v>
      </c>
      <c r="E482" s="1565" t="s">
        <v>2076</v>
      </c>
      <c r="F482" s="1565"/>
      <c r="G482" s="544" t="s">
        <v>1191</v>
      </c>
      <c r="H482" s="545">
        <v>13.86</v>
      </c>
      <c r="I482" s="545">
        <f t="shared" si="15"/>
        <v>13.86</v>
      </c>
      <c r="J482" s="546">
        <f t="shared" si="14"/>
        <v>15.93</v>
      </c>
    </row>
    <row r="483" spans="1:10" ht="39" customHeight="1" x14ac:dyDescent="0.2">
      <c r="A483" s="543" t="s">
        <v>1157</v>
      </c>
      <c r="B483" s="1565" t="s">
        <v>1116</v>
      </c>
      <c r="C483" s="1565"/>
      <c r="D483" s="543" t="s">
        <v>2077</v>
      </c>
      <c r="E483" s="1565" t="s">
        <v>2078</v>
      </c>
      <c r="F483" s="1565"/>
      <c r="G483" s="544" t="s">
        <v>646</v>
      </c>
      <c r="H483" s="545">
        <v>415.35</v>
      </c>
      <c r="I483" s="545">
        <f t="shared" si="15"/>
        <v>415.35</v>
      </c>
      <c r="J483" s="546">
        <f t="shared" si="14"/>
        <v>477.48</v>
      </c>
    </row>
    <row r="484" spans="1:10" ht="39" customHeight="1" x14ac:dyDescent="0.2">
      <c r="A484" s="543" t="s">
        <v>1157</v>
      </c>
      <c r="B484" s="1565" t="s">
        <v>1116</v>
      </c>
      <c r="C484" s="1565"/>
      <c r="D484" s="543" t="s">
        <v>2079</v>
      </c>
      <c r="E484" s="1565" t="s">
        <v>2080</v>
      </c>
      <c r="F484" s="1565"/>
      <c r="G484" s="544" t="s">
        <v>646</v>
      </c>
      <c r="H484" s="545">
        <v>49.77</v>
      </c>
      <c r="I484" s="545">
        <f t="shared" si="15"/>
        <v>49.77</v>
      </c>
      <c r="J484" s="546">
        <f t="shared" si="14"/>
        <v>57.21</v>
      </c>
    </row>
    <row r="485" spans="1:10" ht="39" customHeight="1" x14ac:dyDescent="0.2">
      <c r="A485" s="543" t="s">
        <v>1157</v>
      </c>
      <c r="B485" s="1565" t="s">
        <v>1116</v>
      </c>
      <c r="C485" s="1565"/>
      <c r="D485" s="543" t="s">
        <v>2081</v>
      </c>
      <c r="E485" s="1565" t="s">
        <v>2082</v>
      </c>
      <c r="F485" s="1565"/>
      <c r="G485" s="544" t="s">
        <v>646</v>
      </c>
      <c r="H485" s="545">
        <v>28.23</v>
      </c>
      <c r="I485" s="545">
        <f t="shared" si="15"/>
        <v>28.23</v>
      </c>
      <c r="J485" s="546">
        <f t="shared" si="14"/>
        <v>32.450000000000003</v>
      </c>
    </row>
    <row r="486" spans="1:10" ht="39" customHeight="1" x14ac:dyDescent="0.2">
      <c r="A486" s="543" t="s">
        <v>1157</v>
      </c>
      <c r="B486" s="1565" t="s">
        <v>1116</v>
      </c>
      <c r="C486" s="1565"/>
      <c r="D486" s="543" t="s">
        <v>2083</v>
      </c>
      <c r="E486" s="1565" t="s">
        <v>2084</v>
      </c>
      <c r="F486" s="1565"/>
      <c r="G486" s="544" t="s">
        <v>646</v>
      </c>
      <c r="H486" s="545">
        <v>1.1599999999999999</v>
      </c>
      <c r="I486" s="545">
        <f t="shared" si="15"/>
        <v>1.1599999999999999</v>
      </c>
      <c r="J486" s="546">
        <f t="shared" si="14"/>
        <v>1.33</v>
      </c>
    </row>
    <row r="487" spans="1:10" ht="39" customHeight="1" x14ac:dyDescent="0.2">
      <c r="A487" s="543" t="s">
        <v>1157</v>
      </c>
      <c r="B487" s="1565" t="s">
        <v>1116</v>
      </c>
      <c r="C487" s="1565"/>
      <c r="D487" s="543" t="s">
        <v>2085</v>
      </c>
      <c r="E487" s="1565" t="s">
        <v>2086</v>
      </c>
      <c r="F487" s="1565"/>
      <c r="G487" s="544" t="s">
        <v>646</v>
      </c>
      <c r="H487" s="545">
        <v>8.8800000000000008</v>
      </c>
      <c r="I487" s="545">
        <f t="shared" si="15"/>
        <v>8.8800000000000008</v>
      </c>
      <c r="J487" s="546">
        <f t="shared" si="14"/>
        <v>10.199999999999999</v>
      </c>
    </row>
    <row r="488" spans="1:10" ht="39" customHeight="1" x14ac:dyDescent="0.2">
      <c r="A488" s="543" t="s">
        <v>1157</v>
      </c>
      <c r="B488" s="1565" t="s">
        <v>1116</v>
      </c>
      <c r="C488" s="1565"/>
      <c r="D488" s="543" t="s">
        <v>2087</v>
      </c>
      <c r="E488" s="1565" t="s">
        <v>2088</v>
      </c>
      <c r="F488" s="1565"/>
      <c r="G488" s="544" t="s">
        <v>646</v>
      </c>
      <c r="H488" s="545">
        <v>17.420000000000002</v>
      </c>
      <c r="I488" s="545">
        <f t="shared" si="15"/>
        <v>17.420000000000002</v>
      </c>
      <c r="J488" s="546">
        <f t="shared" si="14"/>
        <v>20.02</v>
      </c>
    </row>
    <row r="489" spans="1:10" ht="39" customHeight="1" x14ac:dyDescent="0.2">
      <c r="A489" s="543" t="s">
        <v>1157</v>
      </c>
      <c r="B489" s="1565" t="s">
        <v>1116</v>
      </c>
      <c r="C489" s="1565"/>
      <c r="D489" s="543" t="s">
        <v>2089</v>
      </c>
      <c r="E489" s="1565" t="s">
        <v>2090</v>
      </c>
      <c r="F489" s="1565"/>
      <c r="G489" s="544" t="s">
        <v>646</v>
      </c>
      <c r="H489" s="545">
        <v>15.74</v>
      </c>
      <c r="I489" s="545">
        <f t="shared" si="15"/>
        <v>15.74</v>
      </c>
      <c r="J489" s="546">
        <f t="shared" si="14"/>
        <v>18.09</v>
      </c>
    </row>
    <row r="490" spans="1:10" ht="39" customHeight="1" x14ac:dyDescent="0.2">
      <c r="A490" s="543" t="s">
        <v>1157</v>
      </c>
      <c r="B490" s="1565" t="s">
        <v>1116</v>
      </c>
      <c r="C490" s="1565"/>
      <c r="D490" s="543" t="s">
        <v>2091</v>
      </c>
      <c r="E490" s="1565" t="s">
        <v>2092</v>
      </c>
      <c r="F490" s="1565"/>
      <c r="G490" s="544" t="s">
        <v>646</v>
      </c>
      <c r="H490" s="545">
        <v>7.39</v>
      </c>
      <c r="I490" s="545">
        <f t="shared" si="15"/>
        <v>7.39</v>
      </c>
      <c r="J490" s="546">
        <f t="shared" si="14"/>
        <v>8.49</v>
      </c>
    </row>
    <row r="491" spans="1:10" ht="39" customHeight="1" x14ac:dyDescent="0.2">
      <c r="A491" s="543" t="s">
        <v>1157</v>
      </c>
      <c r="B491" s="1565" t="s">
        <v>1116</v>
      </c>
      <c r="C491" s="1565"/>
      <c r="D491" s="543" t="s">
        <v>2093</v>
      </c>
      <c r="E491" s="1565" t="s">
        <v>2094</v>
      </c>
      <c r="F491" s="1565"/>
      <c r="G491" s="544" t="s">
        <v>1161</v>
      </c>
      <c r="H491" s="545">
        <v>11.63</v>
      </c>
      <c r="I491" s="545">
        <f t="shared" si="15"/>
        <v>11.63</v>
      </c>
      <c r="J491" s="546">
        <f t="shared" si="14"/>
        <v>13.36</v>
      </c>
    </row>
    <row r="492" spans="1:10" ht="39" customHeight="1" x14ac:dyDescent="0.2">
      <c r="A492" s="543" t="s">
        <v>1157</v>
      </c>
      <c r="B492" s="1565" t="s">
        <v>1116</v>
      </c>
      <c r="C492" s="1565"/>
      <c r="D492" s="543" t="s">
        <v>2095</v>
      </c>
      <c r="E492" s="1565" t="s">
        <v>2096</v>
      </c>
      <c r="F492" s="1565"/>
      <c r="G492" s="544" t="s">
        <v>1161</v>
      </c>
      <c r="H492" s="545">
        <v>24.87</v>
      </c>
      <c r="I492" s="545">
        <f t="shared" si="15"/>
        <v>24.87</v>
      </c>
      <c r="J492" s="546">
        <f t="shared" si="14"/>
        <v>28.59</v>
      </c>
    </row>
    <row r="493" spans="1:10" ht="39" customHeight="1" x14ac:dyDescent="0.2">
      <c r="A493" s="543" t="s">
        <v>1157</v>
      </c>
      <c r="B493" s="1565" t="s">
        <v>1116</v>
      </c>
      <c r="C493" s="1565"/>
      <c r="D493" s="543" t="s">
        <v>2097</v>
      </c>
      <c r="E493" s="1565" t="s">
        <v>2098</v>
      </c>
      <c r="F493" s="1565"/>
      <c r="G493" s="544" t="s">
        <v>1161</v>
      </c>
      <c r="H493" s="545">
        <v>2.08</v>
      </c>
      <c r="I493" s="545">
        <f t="shared" si="15"/>
        <v>2.08</v>
      </c>
      <c r="J493" s="546">
        <f t="shared" si="14"/>
        <v>2.39</v>
      </c>
    </row>
    <row r="494" spans="1:10" ht="39" customHeight="1" x14ac:dyDescent="0.2">
      <c r="A494" s="543" t="s">
        <v>1157</v>
      </c>
      <c r="B494" s="1565" t="s">
        <v>1116</v>
      </c>
      <c r="C494" s="1565"/>
      <c r="D494" s="543" t="s">
        <v>2099</v>
      </c>
      <c r="E494" s="1565" t="s">
        <v>2100</v>
      </c>
      <c r="F494" s="1565"/>
      <c r="G494" s="544" t="s">
        <v>646</v>
      </c>
      <c r="H494" s="545">
        <v>2.16</v>
      </c>
      <c r="I494" s="545">
        <f t="shared" si="15"/>
        <v>2.16</v>
      </c>
      <c r="J494" s="546">
        <f t="shared" si="14"/>
        <v>2.48</v>
      </c>
    </row>
    <row r="495" spans="1:10" ht="39" customHeight="1" x14ac:dyDescent="0.2">
      <c r="A495" s="543" t="s">
        <v>1157</v>
      </c>
      <c r="B495" s="1565" t="s">
        <v>1116</v>
      </c>
      <c r="C495" s="1565"/>
      <c r="D495" s="543" t="s">
        <v>2101</v>
      </c>
      <c r="E495" s="1565" t="s">
        <v>2102</v>
      </c>
      <c r="F495" s="1565"/>
      <c r="G495" s="544" t="s">
        <v>646</v>
      </c>
      <c r="H495" s="545">
        <v>0.61</v>
      </c>
      <c r="I495" s="545">
        <f t="shared" si="15"/>
        <v>0.61</v>
      </c>
      <c r="J495" s="546">
        <f t="shared" si="14"/>
        <v>0.7</v>
      </c>
    </row>
    <row r="496" spans="1:10" ht="39" customHeight="1" x14ac:dyDescent="0.2">
      <c r="A496" s="543" t="s">
        <v>1157</v>
      </c>
      <c r="B496" s="1565" t="s">
        <v>1116</v>
      </c>
      <c r="C496" s="1565"/>
      <c r="D496" s="543" t="s">
        <v>2103</v>
      </c>
      <c r="E496" s="1565" t="s">
        <v>2104</v>
      </c>
      <c r="F496" s="1565"/>
      <c r="G496" s="544" t="s">
        <v>1248</v>
      </c>
      <c r="H496" s="545">
        <v>20.47</v>
      </c>
      <c r="I496" s="545">
        <f t="shared" si="15"/>
        <v>20.47</v>
      </c>
      <c r="J496" s="546">
        <f t="shared" si="14"/>
        <v>23.53</v>
      </c>
    </row>
    <row r="497" spans="1:10" ht="39" customHeight="1" x14ac:dyDescent="0.2">
      <c r="A497" s="543" t="s">
        <v>1157</v>
      </c>
      <c r="B497" s="1565" t="s">
        <v>1116</v>
      </c>
      <c r="C497" s="1565"/>
      <c r="D497" s="543" t="s">
        <v>2105</v>
      </c>
      <c r="E497" s="1565" t="s">
        <v>2106</v>
      </c>
      <c r="F497" s="1565"/>
      <c r="G497" s="544" t="s">
        <v>1248</v>
      </c>
      <c r="H497" s="545">
        <v>10.61</v>
      </c>
      <c r="I497" s="545">
        <f t="shared" si="15"/>
        <v>10.61</v>
      </c>
      <c r="J497" s="546">
        <f t="shared" si="14"/>
        <v>12.19</v>
      </c>
    </row>
    <row r="498" spans="1:10" ht="39" customHeight="1" x14ac:dyDescent="0.2">
      <c r="A498" s="543" t="s">
        <v>1157</v>
      </c>
      <c r="B498" s="1565" t="s">
        <v>1116</v>
      </c>
      <c r="C498" s="1565"/>
      <c r="D498" s="543" t="s">
        <v>2107</v>
      </c>
      <c r="E498" s="1565" t="s">
        <v>2108</v>
      </c>
      <c r="F498" s="1565"/>
      <c r="G498" s="544" t="s">
        <v>1248</v>
      </c>
      <c r="H498" s="545">
        <v>100.31</v>
      </c>
      <c r="I498" s="545">
        <f t="shared" si="15"/>
        <v>100.31</v>
      </c>
      <c r="J498" s="546">
        <f t="shared" si="14"/>
        <v>115.31</v>
      </c>
    </row>
    <row r="499" spans="1:10" ht="39" customHeight="1" x14ac:dyDescent="0.2">
      <c r="A499" s="543" t="s">
        <v>1157</v>
      </c>
      <c r="B499" s="1565" t="s">
        <v>1116</v>
      </c>
      <c r="C499" s="1565"/>
      <c r="D499" s="543" t="s">
        <v>2109</v>
      </c>
      <c r="E499" s="1565" t="s">
        <v>2110</v>
      </c>
      <c r="F499" s="1565"/>
      <c r="G499" s="544" t="s">
        <v>1248</v>
      </c>
      <c r="H499" s="545">
        <v>50.22</v>
      </c>
      <c r="I499" s="545">
        <f t="shared" si="15"/>
        <v>50.22</v>
      </c>
      <c r="J499" s="546">
        <f t="shared" si="14"/>
        <v>57.73</v>
      </c>
    </row>
    <row r="500" spans="1:10" ht="39" customHeight="1" x14ac:dyDescent="0.2">
      <c r="A500" s="543" t="s">
        <v>1157</v>
      </c>
      <c r="B500" s="1565" t="s">
        <v>1116</v>
      </c>
      <c r="C500" s="1565"/>
      <c r="D500" s="543" t="s">
        <v>2111</v>
      </c>
      <c r="E500" s="1565" t="s">
        <v>2112</v>
      </c>
      <c r="F500" s="1565"/>
      <c r="G500" s="544" t="s">
        <v>646</v>
      </c>
      <c r="H500" s="545">
        <v>12.96</v>
      </c>
      <c r="I500" s="545">
        <f t="shared" si="15"/>
        <v>12.96</v>
      </c>
      <c r="J500" s="546">
        <f t="shared" si="14"/>
        <v>14.89</v>
      </c>
    </row>
    <row r="501" spans="1:10" ht="39" customHeight="1" x14ac:dyDescent="0.2">
      <c r="A501" s="543" t="s">
        <v>1157</v>
      </c>
      <c r="B501" s="1565" t="s">
        <v>1116</v>
      </c>
      <c r="C501" s="1565"/>
      <c r="D501" s="543" t="s">
        <v>2113</v>
      </c>
      <c r="E501" s="1565" t="s">
        <v>2114</v>
      </c>
      <c r="F501" s="1565"/>
      <c r="G501" s="544" t="s">
        <v>1191</v>
      </c>
      <c r="H501" s="545">
        <v>23.01</v>
      </c>
      <c r="I501" s="545">
        <f t="shared" si="15"/>
        <v>23.01</v>
      </c>
      <c r="J501" s="546">
        <f t="shared" si="14"/>
        <v>26.45</v>
      </c>
    </row>
    <row r="502" spans="1:10" ht="39" customHeight="1" x14ac:dyDescent="0.2">
      <c r="A502" s="543" t="s">
        <v>1157</v>
      </c>
      <c r="B502" s="1565" t="s">
        <v>1116</v>
      </c>
      <c r="C502" s="1565"/>
      <c r="D502" s="543" t="s">
        <v>2115</v>
      </c>
      <c r="E502" s="1565" t="s">
        <v>2116</v>
      </c>
      <c r="F502" s="1565"/>
      <c r="G502" s="544" t="s">
        <v>1191</v>
      </c>
      <c r="H502" s="545">
        <v>185.72</v>
      </c>
      <c r="I502" s="545">
        <f t="shared" si="15"/>
        <v>185.72</v>
      </c>
      <c r="J502" s="546">
        <f t="shared" si="14"/>
        <v>213.5</v>
      </c>
    </row>
    <row r="503" spans="1:10" ht="39" customHeight="1" x14ac:dyDescent="0.2">
      <c r="A503" s="543" t="s">
        <v>1157</v>
      </c>
      <c r="B503" s="1565" t="s">
        <v>1116</v>
      </c>
      <c r="C503" s="1565"/>
      <c r="D503" s="543" t="s">
        <v>2117</v>
      </c>
      <c r="E503" s="1565" t="s">
        <v>2118</v>
      </c>
      <c r="F503" s="1565"/>
      <c r="G503" s="544" t="s">
        <v>1191</v>
      </c>
      <c r="H503" s="545">
        <v>340.22</v>
      </c>
      <c r="I503" s="545">
        <f t="shared" si="15"/>
        <v>340.22</v>
      </c>
      <c r="J503" s="546">
        <f t="shared" si="14"/>
        <v>391.11</v>
      </c>
    </row>
    <row r="504" spans="1:10" ht="39" customHeight="1" x14ac:dyDescent="0.2">
      <c r="A504" s="543" t="s">
        <v>1157</v>
      </c>
      <c r="B504" s="1565" t="s">
        <v>1116</v>
      </c>
      <c r="C504" s="1565"/>
      <c r="D504" s="543" t="s">
        <v>2119</v>
      </c>
      <c r="E504" s="1565" t="s">
        <v>2120</v>
      </c>
      <c r="F504" s="1565"/>
      <c r="G504" s="544" t="s">
        <v>1191</v>
      </c>
      <c r="H504" s="545">
        <v>14.67</v>
      </c>
      <c r="I504" s="545">
        <f t="shared" si="15"/>
        <v>14.67</v>
      </c>
      <c r="J504" s="546">
        <f t="shared" si="14"/>
        <v>16.86</v>
      </c>
    </row>
    <row r="505" spans="1:10" ht="39" customHeight="1" x14ac:dyDescent="0.2">
      <c r="A505" s="543" t="s">
        <v>1157</v>
      </c>
      <c r="B505" s="1565" t="s">
        <v>1116</v>
      </c>
      <c r="C505" s="1565"/>
      <c r="D505" s="543" t="s">
        <v>2121</v>
      </c>
      <c r="E505" s="1565" t="s">
        <v>2122</v>
      </c>
      <c r="F505" s="1565"/>
      <c r="G505" s="544" t="s">
        <v>1191</v>
      </c>
      <c r="H505" s="545">
        <v>6.41</v>
      </c>
      <c r="I505" s="545">
        <f t="shared" si="15"/>
        <v>6.41</v>
      </c>
      <c r="J505" s="546">
        <f t="shared" si="14"/>
        <v>7.36</v>
      </c>
    </row>
    <row r="506" spans="1:10" ht="39" customHeight="1" x14ac:dyDescent="0.2">
      <c r="A506" s="543" t="s">
        <v>1157</v>
      </c>
      <c r="B506" s="1565" t="s">
        <v>1116</v>
      </c>
      <c r="C506" s="1565"/>
      <c r="D506" s="543" t="s">
        <v>2123</v>
      </c>
      <c r="E506" s="1565" t="s">
        <v>2124</v>
      </c>
      <c r="F506" s="1565"/>
      <c r="G506" s="544" t="s">
        <v>1191</v>
      </c>
      <c r="H506" s="545">
        <v>10.58</v>
      </c>
      <c r="I506" s="545">
        <f t="shared" si="15"/>
        <v>10.58</v>
      </c>
      <c r="J506" s="546">
        <f t="shared" si="14"/>
        <v>12.16</v>
      </c>
    </row>
    <row r="507" spans="1:10" ht="39" customHeight="1" x14ac:dyDescent="0.2">
      <c r="A507" s="543" t="s">
        <v>1157</v>
      </c>
      <c r="B507" s="1565" t="s">
        <v>1116</v>
      </c>
      <c r="C507" s="1565"/>
      <c r="D507" s="543" t="s">
        <v>2125</v>
      </c>
      <c r="E507" s="1565" t="s">
        <v>2126</v>
      </c>
      <c r="F507" s="1565"/>
      <c r="G507" s="544" t="s">
        <v>1191</v>
      </c>
      <c r="H507" s="545">
        <v>13.89</v>
      </c>
      <c r="I507" s="545">
        <f t="shared" si="15"/>
        <v>13.89</v>
      </c>
      <c r="J507" s="546">
        <f t="shared" si="14"/>
        <v>15.96</v>
      </c>
    </row>
    <row r="508" spans="1:10" ht="39" customHeight="1" x14ac:dyDescent="0.2">
      <c r="A508" s="543" t="s">
        <v>1157</v>
      </c>
      <c r="B508" s="1565" t="s">
        <v>1116</v>
      </c>
      <c r="C508" s="1565"/>
      <c r="D508" s="543" t="s">
        <v>2127</v>
      </c>
      <c r="E508" s="1565" t="s">
        <v>2128</v>
      </c>
      <c r="F508" s="1565"/>
      <c r="G508" s="544" t="s">
        <v>1191</v>
      </c>
      <c r="H508" s="545">
        <v>27.62</v>
      </c>
      <c r="I508" s="545">
        <f t="shared" si="15"/>
        <v>27.62</v>
      </c>
      <c r="J508" s="546">
        <f t="shared" si="14"/>
        <v>31.75</v>
      </c>
    </row>
    <row r="509" spans="1:10" ht="39" customHeight="1" x14ac:dyDescent="0.2">
      <c r="A509" s="543" t="s">
        <v>1157</v>
      </c>
      <c r="B509" s="1565" t="s">
        <v>1116</v>
      </c>
      <c r="C509" s="1565"/>
      <c r="D509" s="543" t="s">
        <v>2129</v>
      </c>
      <c r="E509" s="1565" t="s">
        <v>2130</v>
      </c>
      <c r="F509" s="1565"/>
      <c r="G509" s="544" t="s">
        <v>1191</v>
      </c>
      <c r="H509" s="545">
        <v>58.36</v>
      </c>
      <c r="I509" s="545">
        <f t="shared" si="15"/>
        <v>58.36</v>
      </c>
      <c r="J509" s="546">
        <f t="shared" si="14"/>
        <v>67.09</v>
      </c>
    </row>
    <row r="510" spans="1:10" ht="39" customHeight="1" x14ac:dyDescent="0.2">
      <c r="A510" s="543" t="s">
        <v>1157</v>
      </c>
      <c r="B510" s="1565" t="s">
        <v>1116</v>
      </c>
      <c r="C510" s="1565"/>
      <c r="D510" s="543" t="s">
        <v>2131</v>
      </c>
      <c r="E510" s="1565" t="s">
        <v>2132</v>
      </c>
      <c r="F510" s="1565"/>
      <c r="G510" s="544" t="s">
        <v>1191</v>
      </c>
      <c r="H510" s="545">
        <v>22.88</v>
      </c>
      <c r="I510" s="545">
        <f t="shared" si="15"/>
        <v>22.88</v>
      </c>
      <c r="J510" s="546">
        <f t="shared" si="14"/>
        <v>26.3</v>
      </c>
    </row>
    <row r="511" spans="1:10" ht="39" customHeight="1" x14ac:dyDescent="0.2">
      <c r="A511" s="543" t="s">
        <v>1157</v>
      </c>
      <c r="B511" s="1565" t="s">
        <v>1116</v>
      </c>
      <c r="C511" s="1565"/>
      <c r="D511" s="543" t="s">
        <v>2133</v>
      </c>
      <c r="E511" s="1565" t="s">
        <v>2134</v>
      </c>
      <c r="F511" s="1565"/>
      <c r="G511" s="544" t="s">
        <v>1191</v>
      </c>
      <c r="H511" s="545">
        <v>4</v>
      </c>
      <c r="I511" s="545">
        <f t="shared" si="15"/>
        <v>4</v>
      </c>
      <c r="J511" s="546">
        <f t="shared" si="14"/>
        <v>4.59</v>
      </c>
    </row>
    <row r="512" spans="1:10" ht="39" customHeight="1" x14ac:dyDescent="0.2">
      <c r="A512" s="543" t="s">
        <v>1157</v>
      </c>
      <c r="B512" s="1565" t="s">
        <v>1116</v>
      </c>
      <c r="C512" s="1565"/>
      <c r="D512" s="543" t="s">
        <v>2135</v>
      </c>
      <c r="E512" s="1565" t="s">
        <v>2136</v>
      </c>
      <c r="F512" s="1565"/>
      <c r="G512" s="544" t="s">
        <v>1191</v>
      </c>
      <c r="H512" s="545">
        <v>13.55</v>
      </c>
      <c r="I512" s="545">
        <f t="shared" si="15"/>
        <v>13.55</v>
      </c>
      <c r="J512" s="546">
        <f t="shared" si="14"/>
        <v>15.57</v>
      </c>
    </row>
    <row r="513" spans="1:10" ht="39" customHeight="1" x14ac:dyDescent="0.2">
      <c r="A513" s="543" t="s">
        <v>1157</v>
      </c>
      <c r="B513" s="1565" t="s">
        <v>1116</v>
      </c>
      <c r="C513" s="1565"/>
      <c r="D513" s="543" t="s">
        <v>2137</v>
      </c>
      <c r="E513" s="1565" t="s">
        <v>2138</v>
      </c>
      <c r="F513" s="1565"/>
      <c r="G513" s="544" t="s">
        <v>646</v>
      </c>
      <c r="H513" s="545">
        <v>24.92</v>
      </c>
      <c r="I513" s="545">
        <f t="shared" si="15"/>
        <v>24.92</v>
      </c>
      <c r="J513" s="546">
        <f t="shared" si="14"/>
        <v>28.64</v>
      </c>
    </row>
    <row r="514" spans="1:10" ht="39" customHeight="1" x14ac:dyDescent="0.2">
      <c r="A514" s="543" t="s">
        <v>1157</v>
      </c>
      <c r="B514" s="1565" t="s">
        <v>1116</v>
      </c>
      <c r="C514" s="1565"/>
      <c r="D514" s="543" t="s">
        <v>2139</v>
      </c>
      <c r="E514" s="1565" t="s">
        <v>2140</v>
      </c>
      <c r="F514" s="1565"/>
      <c r="G514" s="544" t="s">
        <v>646</v>
      </c>
      <c r="H514" s="545">
        <v>300.51</v>
      </c>
      <c r="I514" s="545">
        <f t="shared" si="15"/>
        <v>300.51</v>
      </c>
      <c r="J514" s="546">
        <f t="shared" si="14"/>
        <v>345.46</v>
      </c>
    </row>
    <row r="515" spans="1:10" ht="39" customHeight="1" x14ac:dyDescent="0.2">
      <c r="A515" s="543" t="s">
        <v>1157</v>
      </c>
      <c r="B515" s="1565" t="s">
        <v>1116</v>
      </c>
      <c r="C515" s="1565"/>
      <c r="D515" s="543" t="s">
        <v>2141</v>
      </c>
      <c r="E515" s="1565" t="s">
        <v>2142</v>
      </c>
      <c r="F515" s="1565"/>
      <c r="G515" s="544" t="s">
        <v>646</v>
      </c>
      <c r="H515" s="545">
        <v>349.1</v>
      </c>
      <c r="I515" s="545">
        <f t="shared" si="15"/>
        <v>349.1</v>
      </c>
      <c r="J515" s="546">
        <f t="shared" si="14"/>
        <v>401.32</v>
      </c>
    </row>
    <row r="516" spans="1:10" ht="39" customHeight="1" x14ac:dyDescent="0.2">
      <c r="A516" s="543" t="s">
        <v>1157</v>
      </c>
      <c r="B516" s="1565" t="s">
        <v>1116</v>
      </c>
      <c r="C516" s="1565"/>
      <c r="D516" s="543" t="s">
        <v>2143</v>
      </c>
      <c r="E516" s="1565" t="s">
        <v>2144</v>
      </c>
      <c r="F516" s="1565"/>
      <c r="G516" s="544" t="s">
        <v>646</v>
      </c>
      <c r="H516" s="545">
        <v>282.81</v>
      </c>
      <c r="I516" s="545">
        <f t="shared" si="15"/>
        <v>282.81</v>
      </c>
      <c r="J516" s="546">
        <f t="shared" si="14"/>
        <v>325.11</v>
      </c>
    </row>
    <row r="517" spans="1:10" ht="39" customHeight="1" x14ac:dyDescent="0.2">
      <c r="A517" s="543" t="s">
        <v>1157</v>
      </c>
      <c r="B517" s="1565" t="s">
        <v>1116</v>
      </c>
      <c r="C517" s="1565"/>
      <c r="D517" s="543" t="s">
        <v>2145</v>
      </c>
      <c r="E517" s="1565" t="s">
        <v>2146</v>
      </c>
      <c r="F517" s="1565"/>
      <c r="G517" s="544" t="s">
        <v>646</v>
      </c>
      <c r="H517" s="545">
        <v>83.28</v>
      </c>
      <c r="I517" s="545">
        <f t="shared" si="15"/>
        <v>83.28</v>
      </c>
      <c r="J517" s="546">
        <f t="shared" si="14"/>
        <v>95.73</v>
      </c>
    </row>
    <row r="518" spans="1:10" ht="39" customHeight="1" x14ac:dyDescent="0.2">
      <c r="A518" s="543" t="s">
        <v>1157</v>
      </c>
      <c r="B518" s="1565" t="s">
        <v>1116</v>
      </c>
      <c r="C518" s="1565"/>
      <c r="D518" s="543" t="s">
        <v>2147</v>
      </c>
      <c r="E518" s="1565" t="s">
        <v>2148</v>
      </c>
      <c r="F518" s="1565"/>
      <c r="G518" s="544" t="s">
        <v>646</v>
      </c>
      <c r="H518" s="545">
        <v>169.7</v>
      </c>
      <c r="I518" s="545">
        <f t="shared" si="15"/>
        <v>169.7</v>
      </c>
      <c r="J518" s="546">
        <f t="shared" si="14"/>
        <v>195.08</v>
      </c>
    </row>
    <row r="519" spans="1:10" ht="39" customHeight="1" x14ac:dyDescent="0.2">
      <c r="A519" s="543" t="s">
        <v>1157</v>
      </c>
      <c r="B519" s="1565" t="s">
        <v>1116</v>
      </c>
      <c r="C519" s="1565"/>
      <c r="D519" s="543" t="s">
        <v>2149</v>
      </c>
      <c r="E519" s="1565" t="s">
        <v>2150</v>
      </c>
      <c r="F519" s="1565"/>
      <c r="G519" s="544" t="s">
        <v>646</v>
      </c>
      <c r="H519" s="545">
        <v>397.78</v>
      </c>
      <c r="I519" s="545">
        <f t="shared" si="15"/>
        <v>397.78</v>
      </c>
      <c r="J519" s="546">
        <f t="shared" si="14"/>
        <v>457.28</v>
      </c>
    </row>
    <row r="520" spans="1:10" ht="39" customHeight="1" x14ac:dyDescent="0.2">
      <c r="A520" s="543" t="s">
        <v>1157</v>
      </c>
      <c r="B520" s="1565" t="s">
        <v>1116</v>
      </c>
      <c r="C520" s="1565"/>
      <c r="D520" s="543" t="s">
        <v>2151</v>
      </c>
      <c r="E520" s="1565" t="s">
        <v>2152</v>
      </c>
      <c r="F520" s="1565"/>
      <c r="G520" s="544" t="s">
        <v>646</v>
      </c>
      <c r="H520" s="545">
        <v>1218.5899999999999</v>
      </c>
      <c r="I520" s="545">
        <f t="shared" si="15"/>
        <v>1218.5899999999999</v>
      </c>
      <c r="J520" s="546">
        <f t="shared" si="14"/>
        <v>1400.89</v>
      </c>
    </row>
    <row r="521" spans="1:10" ht="39" customHeight="1" x14ac:dyDescent="0.2">
      <c r="A521" s="543" t="s">
        <v>1157</v>
      </c>
      <c r="B521" s="1565" t="s">
        <v>1116</v>
      </c>
      <c r="C521" s="1565"/>
      <c r="D521" s="543" t="s">
        <v>2153</v>
      </c>
      <c r="E521" s="1565" t="s">
        <v>2154</v>
      </c>
      <c r="F521" s="1565"/>
      <c r="G521" s="544" t="s">
        <v>646</v>
      </c>
      <c r="H521" s="545">
        <v>10.26</v>
      </c>
      <c r="I521" s="545">
        <f t="shared" si="15"/>
        <v>10.26</v>
      </c>
      <c r="J521" s="546">
        <f t="shared" si="14"/>
        <v>11.79</v>
      </c>
    </row>
    <row r="522" spans="1:10" ht="39" customHeight="1" x14ac:dyDescent="0.2">
      <c r="A522" s="543" t="s">
        <v>1157</v>
      </c>
      <c r="B522" s="1565" t="s">
        <v>1116</v>
      </c>
      <c r="C522" s="1565"/>
      <c r="D522" s="543" t="s">
        <v>2155</v>
      </c>
      <c r="E522" s="1565" t="s">
        <v>2156</v>
      </c>
      <c r="F522" s="1565"/>
      <c r="G522" s="544" t="s">
        <v>1248</v>
      </c>
      <c r="H522" s="545">
        <v>38.07</v>
      </c>
      <c r="I522" s="545">
        <f t="shared" si="15"/>
        <v>38.07</v>
      </c>
      <c r="J522" s="546">
        <f t="shared" si="14"/>
        <v>43.76</v>
      </c>
    </row>
    <row r="523" spans="1:10" ht="39" customHeight="1" x14ac:dyDescent="0.2">
      <c r="A523" s="543" t="s">
        <v>1157</v>
      </c>
      <c r="B523" s="1565" t="s">
        <v>1116</v>
      </c>
      <c r="C523" s="1565"/>
      <c r="D523" s="543" t="s">
        <v>2157</v>
      </c>
      <c r="E523" s="1565" t="s">
        <v>2158</v>
      </c>
      <c r="F523" s="1565"/>
      <c r="G523" s="544" t="s">
        <v>1248</v>
      </c>
      <c r="H523" s="545">
        <v>39.340000000000003</v>
      </c>
      <c r="I523" s="545">
        <f t="shared" si="15"/>
        <v>39.340000000000003</v>
      </c>
      <c r="J523" s="546">
        <f t="shared" si="14"/>
        <v>45.22</v>
      </c>
    </row>
    <row r="524" spans="1:10" ht="39" customHeight="1" x14ac:dyDescent="0.2">
      <c r="A524" s="543" t="s">
        <v>1157</v>
      </c>
      <c r="B524" s="1565" t="s">
        <v>1116</v>
      </c>
      <c r="C524" s="1565"/>
      <c r="D524" s="543" t="s">
        <v>2159</v>
      </c>
      <c r="E524" s="1565" t="s">
        <v>2160</v>
      </c>
      <c r="F524" s="1565"/>
      <c r="G524" s="544" t="s">
        <v>1161</v>
      </c>
      <c r="H524" s="545">
        <v>6.75</v>
      </c>
      <c r="I524" s="545">
        <f t="shared" si="15"/>
        <v>6.75</v>
      </c>
      <c r="J524" s="546">
        <f t="shared" si="14"/>
        <v>7.75</v>
      </c>
    </row>
    <row r="525" spans="1:10" ht="39" customHeight="1" x14ac:dyDescent="0.2">
      <c r="A525" s="543" t="s">
        <v>1157</v>
      </c>
      <c r="B525" s="1565" t="s">
        <v>1116</v>
      </c>
      <c r="C525" s="1565"/>
      <c r="D525" s="543" t="s">
        <v>2161</v>
      </c>
      <c r="E525" s="1565" t="s">
        <v>2162</v>
      </c>
      <c r="F525" s="1565"/>
      <c r="G525" s="544" t="s">
        <v>1161</v>
      </c>
      <c r="H525" s="545">
        <v>447.91</v>
      </c>
      <c r="I525" s="545">
        <f t="shared" si="15"/>
        <v>447.91</v>
      </c>
      <c r="J525" s="546">
        <f t="shared" ref="J525:J588" si="16">TRUNC((H525*($J$11))*(1+$J$8),2)</f>
        <v>514.91</v>
      </c>
    </row>
    <row r="526" spans="1:10" ht="39" customHeight="1" x14ac:dyDescent="0.2">
      <c r="A526" s="543" t="s">
        <v>1157</v>
      </c>
      <c r="B526" s="1565" t="s">
        <v>1116</v>
      </c>
      <c r="C526" s="1565"/>
      <c r="D526" s="543" t="s">
        <v>2163</v>
      </c>
      <c r="E526" s="1565" t="s">
        <v>2164</v>
      </c>
      <c r="F526" s="1565"/>
      <c r="G526" s="544" t="s">
        <v>1161</v>
      </c>
      <c r="H526" s="545">
        <v>143.33000000000001</v>
      </c>
      <c r="I526" s="545">
        <f t="shared" ref="I526:I589" si="17">(H526*($J$11))</f>
        <v>143.33000000000001</v>
      </c>
      <c r="J526" s="546">
        <f t="shared" si="16"/>
        <v>164.77</v>
      </c>
    </row>
    <row r="527" spans="1:10" ht="39" customHeight="1" x14ac:dyDescent="0.2">
      <c r="A527" s="543" t="s">
        <v>1157</v>
      </c>
      <c r="B527" s="1565" t="s">
        <v>1116</v>
      </c>
      <c r="C527" s="1565"/>
      <c r="D527" s="543" t="s">
        <v>2165</v>
      </c>
      <c r="E527" s="1565" t="s">
        <v>2166</v>
      </c>
      <c r="F527" s="1565"/>
      <c r="G527" s="544" t="s">
        <v>1161</v>
      </c>
      <c r="H527" s="545">
        <v>215</v>
      </c>
      <c r="I527" s="545">
        <f t="shared" si="17"/>
        <v>215</v>
      </c>
      <c r="J527" s="546">
        <f t="shared" si="16"/>
        <v>247.16</v>
      </c>
    </row>
    <row r="528" spans="1:10" ht="39" customHeight="1" x14ac:dyDescent="0.2">
      <c r="A528" s="543" t="s">
        <v>1157</v>
      </c>
      <c r="B528" s="1565" t="s">
        <v>1116</v>
      </c>
      <c r="C528" s="1565"/>
      <c r="D528" s="543" t="s">
        <v>2167</v>
      </c>
      <c r="E528" s="1565" t="s">
        <v>2168</v>
      </c>
      <c r="F528" s="1565"/>
      <c r="G528" s="544" t="s">
        <v>1161</v>
      </c>
      <c r="H528" s="545">
        <v>152.29</v>
      </c>
      <c r="I528" s="545">
        <f t="shared" si="17"/>
        <v>152.29</v>
      </c>
      <c r="J528" s="546">
        <f t="shared" si="16"/>
        <v>175.07</v>
      </c>
    </row>
    <row r="529" spans="1:10" ht="39" customHeight="1" x14ac:dyDescent="0.2">
      <c r="A529" s="543" t="s">
        <v>1157</v>
      </c>
      <c r="B529" s="1565" t="s">
        <v>1116</v>
      </c>
      <c r="C529" s="1565"/>
      <c r="D529" s="543" t="s">
        <v>2169</v>
      </c>
      <c r="E529" s="1565" t="s">
        <v>2170</v>
      </c>
      <c r="F529" s="1565"/>
      <c r="G529" s="544" t="s">
        <v>1161</v>
      </c>
      <c r="H529" s="545">
        <v>154.97</v>
      </c>
      <c r="I529" s="545">
        <f t="shared" si="17"/>
        <v>154.97</v>
      </c>
      <c r="J529" s="546">
        <f t="shared" si="16"/>
        <v>178.15</v>
      </c>
    </row>
    <row r="530" spans="1:10" ht="39" customHeight="1" x14ac:dyDescent="0.2">
      <c r="A530" s="543" t="s">
        <v>1157</v>
      </c>
      <c r="B530" s="1565" t="s">
        <v>1116</v>
      </c>
      <c r="C530" s="1565"/>
      <c r="D530" s="543" t="s">
        <v>2171</v>
      </c>
      <c r="E530" s="1565" t="s">
        <v>2172</v>
      </c>
      <c r="F530" s="1565"/>
      <c r="G530" s="544" t="s">
        <v>1161</v>
      </c>
      <c r="H530" s="545">
        <v>217.64</v>
      </c>
      <c r="I530" s="545">
        <f t="shared" si="17"/>
        <v>217.64</v>
      </c>
      <c r="J530" s="546">
        <f t="shared" si="16"/>
        <v>250.19</v>
      </c>
    </row>
    <row r="531" spans="1:10" ht="39" customHeight="1" x14ac:dyDescent="0.2">
      <c r="A531" s="543" t="s">
        <v>1157</v>
      </c>
      <c r="B531" s="1565" t="s">
        <v>1116</v>
      </c>
      <c r="C531" s="1565"/>
      <c r="D531" s="543" t="s">
        <v>2173</v>
      </c>
      <c r="E531" s="1565" t="s">
        <v>2174</v>
      </c>
      <c r="F531" s="1565"/>
      <c r="G531" s="544" t="s">
        <v>1161</v>
      </c>
      <c r="H531" s="545">
        <v>128.41999999999999</v>
      </c>
      <c r="I531" s="545">
        <f t="shared" si="17"/>
        <v>128.41999999999999</v>
      </c>
      <c r="J531" s="546">
        <f t="shared" si="16"/>
        <v>147.63</v>
      </c>
    </row>
    <row r="532" spans="1:10" ht="39" customHeight="1" x14ac:dyDescent="0.2">
      <c r="A532" s="543" t="s">
        <v>1157</v>
      </c>
      <c r="B532" s="1565" t="s">
        <v>1116</v>
      </c>
      <c r="C532" s="1565"/>
      <c r="D532" s="543" t="s">
        <v>2175</v>
      </c>
      <c r="E532" s="1565" t="s">
        <v>2176</v>
      </c>
      <c r="F532" s="1565"/>
      <c r="G532" s="544" t="s">
        <v>1161</v>
      </c>
      <c r="H532" s="545">
        <v>167.64</v>
      </c>
      <c r="I532" s="545">
        <f t="shared" si="17"/>
        <v>167.64</v>
      </c>
      <c r="J532" s="546">
        <f t="shared" si="16"/>
        <v>192.71</v>
      </c>
    </row>
    <row r="533" spans="1:10" ht="39" customHeight="1" x14ac:dyDescent="0.2">
      <c r="A533" s="543" t="s">
        <v>1157</v>
      </c>
      <c r="B533" s="1565" t="s">
        <v>1116</v>
      </c>
      <c r="C533" s="1565"/>
      <c r="D533" s="543" t="s">
        <v>2177</v>
      </c>
      <c r="E533" s="1565" t="s">
        <v>2178</v>
      </c>
      <c r="F533" s="1565"/>
      <c r="G533" s="544" t="s">
        <v>1181</v>
      </c>
      <c r="H533" s="545">
        <v>1.3</v>
      </c>
      <c r="I533" s="545">
        <f t="shared" si="17"/>
        <v>1.3</v>
      </c>
      <c r="J533" s="546">
        <f t="shared" si="16"/>
        <v>1.49</v>
      </c>
    </row>
    <row r="534" spans="1:10" ht="39" customHeight="1" x14ac:dyDescent="0.2">
      <c r="A534" s="543" t="s">
        <v>1157</v>
      </c>
      <c r="B534" s="1565" t="s">
        <v>1116</v>
      </c>
      <c r="C534" s="1565"/>
      <c r="D534" s="543" t="s">
        <v>2179</v>
      </c>
      <c r="E534" s="1565" t="s">
        <v>2180</v>
      </c>
      <c r="F534" s="1565"/>
      <c r="G534" s="544" t="s">
        <v>1332</v>
      </c>
      <c r="H534" s="545">
        <v>520</v>
      </c>
      <c r="I534" s="545">
        <f t="shared" si="17"/>
        <v>520</v>
      </c>
      <c r="J534" s="546">
        <f t="shared" si="16"/>
        <v>597.79</v>
      </c>
    </row>
    <row r="535" spans="1:10" ht="39" customHeight="1" x14ac:dyDescent="0.2">
      <c r="A535" s="543" t="s">
        <v>1157</v>
      </c>
      <c r="B535" s="1565" t="s">
        <v>1116</v>
      </c>
      <c r="C535" s="1565"/>
      <c r="D535" s="543" t="s">
        <v>2181</v>
      </c>
      <c r="E535" s="1565" t="s">
        <v>2182</v>
      </c>
      <c r="F535" s="1565"/>
      <c r="G535" s="544" t="s">
        <v>646</v>
      </c>
      <c r="H535" s="545">
        <v>1458.72</v>
      </c>
      <c r="I535" s="545">
        <f t="shared" si="17"/>
        <v>1458.72</v>
      </c>
      <c r="J535" s="546">
        <f t="shared" si="16"/>
        <v>1676.94</v>
      </c>
    </row>
    <row r="536" spans="1:10" ht="39" customHeight="1" x14ac:dyDescent="0.2">
      <c r="A536" s="543" t="s">
        <v>1157</v>
      </c>
      <c r="B536" s="1565" t="s">
        <v>1116</v>
      </c>
      <c r="C536" s="1565"/>
      <c r="D536" s="543" t="s">
        <v>2183</v>
      </c>
      <c r="E536" s="1565" t="s">
        <v>2184</v>
      </c>
      <c r="F536" s="1565"/>
      <c r="G536" s="544" t="s">
        <v>646</v>
      </c>
      <c r="H536" s="545">
        <v>64.22</v>
      </c>
      <c r="I536" s="545">
        <f t="shared" si="17"/>
        <v>64.22</v>
      </c>
      <c r="J536" s="546">
        <f t="shared" si="16"/>
        <v>73.819999999999993</v>
      </c>
    </row>
    <row r="537" spans="1:10" ht="39" customHeight="1" x14ac:dyDescent="0.2">
      <c r="A537" s="543" t="s">
        <v>1157</v>
      </c>
      <c r="B537" s="1565" t="s">
        <v>1116</v>
      </c>
      <c r="C537" s="1565"/>
      <c r="D537" s="543" t="s">
        <v>2185</v>
      </c>
      <c r="E537" s="1565" t="s">
        <v>2186</v>
      </c>
      <c r="F537" s="1565"/>
      <c r="G537" s="544" t="s">
        <v>646</v>
      </c>
      <c r="H537" s="545">
        <v>11.2</v>
      </c>
      <c r="I537" s="545">
        <f t="shared" si="17"/>
        <v>11.2</v>
      </c>
      <c r="J537" s="546">
        <f t="shared" si="16"/>
        <v>12.87</v>
      </c>
    </row>
    <row r="538" spans="1:10" ht="39" customHeight="1" x14ac:dyDescent="0.2">
      <c r="A538" s="543" t="s">
        <v>1157</v>
      </c>
      <c r="B538" s="1565" t="s">
        <v>1116</v>
      </c>
      <c r="C538" s="1565"/>
      <c r="D538" s="543" t="s">
        <v>2187</v>
      </c>
      <c r="E538" s="1565" t="s">
        <v>2188</v>
      </c>
      <c r="F538" s="1565"/>
      <c r="G538" s="544" t="s">
        <v>646</v>
      </c>
      <c r="H538" s="545">
        <v>16.61</v>
      </c>
      <c r="I538" s="545">
        <f t="shared" si="17"/>
        <v>16.61</v>
      </c>
      <c r="J538" s="546">
        <f t="shared" si="16"/>
        <v>19.09</v>
      </c>
    </row>
    <row r="539" spans="1:10" ht="39" customHeight="1" x14ac:dyDescent="0.2">
      <c r="A539" s="543" t="s">
        <v>1157</v>
      </c>
      <c r="B539" s="1565" t="s">
        <v>1116</v>
      </c>
      <c r="C539" s="1565"/>
      <c r="D539" s="543" t="s">
        <v>2189</v>
      </c>
      <c r="E539" s="1565" t="s">
        <v>2190</v>
      </c>
      <c r="F539" s="1565"/>
      <c r="G539" s="544" t="s">
        <v>646</v>
      </c>
      <c r="H539" s="545">
        <v>78.680000000000007</v>
      </c>
      <c r="I539" s="545">
        <f t="shared" si="17"/>
        <v>78.680000000000007</v>
      </c>
      <c r="J539" s="546">
        <f t="shared" si="16"/>
        <v>90.45</v>
      </c>
    </row>
    <row r="540" spans="1:10" ht="39" customHeight="1" x14ac:dyDescent="0.2">
      <c r="A540" s="543" t="s">
        <v>1157</v>
      </c>
      <c r="B540" s="1565" t="s">
        <v>1116</v>
      </c>
      <c r="C540" s="1565"/>
      <c r="D540" s="543" t="s">
        <v>2191</v>
      </c>
      <c r="E540" s="1565" t="s">
        <v>2192</v>
      </c>
      <c r="F540" s="1565"/>
      <c r="G540" s="544" t="s">
        <v>646</v>
      </c>
      <c r="H540" s="545">
        <v>93.97</v>
      </c>
      <c r="I540" s="545">
        <f t="shared" si="17"/>
        <v>93.97</v>
      </c>
      <c r="J540" s="546">
        <f t="shared" si="16"/>
        <v>108.02</v>
      </c>
    </row>
    <row r="541" spans="1:10" ht="39" customHeight="1" x14ac:dyDescent="0.2">
      <c r="A541" s="543" t="s">
        <v>1157</v>
      </c>
      <c r="B541" s="1565" t="s">
        <v>1116</v>
      </c>
      <c r="C541" s="1565"/>
      <c r="D541" s="543" t="s">
        <v>2193</v>
      </c>
      <c r="E541" s="1565" t="s">
        <v>2194</v>
      </c>
      <c r="F541" s="1565"/>
      <c r="G541" s="544" t="s">
        <v>646</v>
      </c>
      <c r="H541" s="545">
        <v>3.1</v>
      </c>
      <c r="I541" s="545">
        <f t="shared" si="17"/>
        <v>3.1</v>
      </c>
      <c r="J541" s="546">
        <f t="shared" si="16"/>
        <v>3.56</v>
      </c>
    </row>
    <row r="542" spans="1:10" ht="39" customHeight="1" x14ac:dyDescent="0.2">
      <c r="A542" s="543" t="s">
        <v>1157</v>
      </c>
      <c r="B542" s="1565" t="s">
        <v>1116</v>
      </c>
      <c r="C542" s="1565"/>
      <c r="D542" s="543" t="s">
        <v>2195</v>
      </c>
      <c r="E542" s="1565" t="s">
        <v>2196</v>
      </c>
      <c r="F542" s="1565"/>
      <c r="G542" s="544" t="s">
        <v>1181</v>
      </c>
      <c r="H542" s="545">
        <v>68.92</v>
      </c>
      <c r="I542" s="545">
        <f t="shared" si="17"/>
        <v>68.92</v>
      </c>
      <c r="J542" s="546">
        <f t="shared" si="16"/>
        <v>79.23</v>
      </c>
    </row>
    <row r="543" spans="1:10" ht="39" customHeight="1" x14ac:dyDescent="0.2">
      <c r="A543" s="543" t="s">
        <v>1157</v>
      </c>
      <c r="B543" s="1565" t="s">
        <v>1116</v>
      </c>
      <c r="C543" s="1565"/>
      <c r="D543" s="543" t="s">
        <v>2197</v>
      </c>
      <c r="E543" s="1565" t="s">
        <v>2198</v>
      </c>
      <c r="F543" s="1565"/>
      <c r="G543" s="544" t="s">
        <v>1181</v>
      </c>
      <c r="H543" s="545">
        <v>4.1100000000000003</v>
      </c>
      <c r="I543" s="545">
        <f t="shared" si="17"/>
        <v>4.1100000000000003</v>
      </c>
      <c r="J543" s="546">
        <f t="shared" si="16"/>
        <v>4.72</v>
      </c>
    </row>
    <row r="544" spans="1:10" ht="39" customHeight="1" x14ac:dyDescent="0.2">
      <c r="A544" s="543" t="s">
        <v>1157</v>
      </c>
      <c r="B544" s="1565" t="s">
        <v>1116</v>
      </c>
      <c r="C544" s="1565"/>
      <c r="D544" s="543" t="s">
        <v>2199</v>
      </c>
      <c r="E544" s="1565" t="s">
        <v>2200</v>
      </c>
      <c r="F544" s="1565"/>
      <c r="G544" s="544" t="s">
        <v>1191</v>
      </c>
      <c r="H544" s="545">
        <v>2.2000000000000002</v>
      </c>
      <c r="I544" s="545">
        <f t="shared" si="17"/>
        <v>2.2000000000000002</v>
      </c>
      <c r="J544" s="546">
        <f t="shared" si="16"/>
        <v>2.52</v>
      </c>
    </row>
    <row r="545" spans="1:10" ht="39" customHeight="1" x14ac:dyDescent="0.2">
      <c r="A545" s="543" t="s">
        <v>1157</v>
      </c>
      <c r="B545" s="1565" t="s">
        <v>1116</v>
      </c>
      <c r="C545" s="1565"/>
      <c r="D545" s="543" t="s">
        <v>2201</v>
      </c>
      <c r="E545" s="1565" t="s">
        <v>2202</v>
      </c>
      <c r="F545" s="1565"/>
      <c r="G545" s="544" t="s">
        <v>1248</v>
      </c>
      <c r="H545" s="545">
        <v>19.97</v>
      </c>
      <c r="I545" s="545">
        <f t="shared" si="17"/>
        <v>19.97</v>
      </c>
      <c r="J545" s="546">
        <f t="shared" si="16"/>
        <v>22.95</v>
      </c>
    </row>
    <row r="546" spans="1:10" ht="39" customHeight="1" x14ac:dyDescent="0.2">
      <c r="A546" s="543" t="s">
        <v>1157</v>
      </c>
      <c r="B546" s="1565" t="s">
        <v>1116</v>
      </c>
      <c r="C546" s="1565"/>
      <c r="D546" s="543" t="s">
        <v>2203</v>
      </c>
      <c r="E546" s="1565" t="s">
        <v>2204</v>
      </c>
      <c r="F546" s="1565"/>
      <c r="G546" s="544" t="s">
        <v>1161</v>
      </c>
      <c r="H546" s="545">
        <v>514.65</v>
      </c>
      <c r="I546" s="545">
        <f t="shared" si="17"/>
        <v>514.65</v>
      </c>
      <c r="J546" s="546">
        <f t="shared" si="16"/>
        <v>591.64</v>
      </c>
    </row>
    <row r="547" spans="1:10" ht="39" customHeight="1" x14ac:dyDescent="0.2">
      <c r="A547" s="543" t="s">
        <v>1157</v>
      </c>
      <c r="B547" s="1565" t="s">
        <v>1116</v>
      </c>
      <c r="C547" s="1565"/>
      <c r="D547" s="543" t="s">
        <v>2205</v>
      </c>
      <c r="E547" s="1565" t="s">
        <v>2206</v>
      </c>
      <c r="F547" s="1565"/>
      <c r="G547" s="544" t="s">
        <v>1161</v>
      </c>
      <c r="H547" s="545">
        <v>289.35000000000002</v>
      </c>
      <c r="I547" s="545">
        <f t="shared" si="17"/>
        <v>289.35000000000002</v>
      </c>
      <c r="J547" s="546">
        <f t="shared" si="16"/>
        <v>332.63</v>
      </c>
    </row>
    <row r="548" spans="1:10" ht="39" customHeight="1" x14ac:dyDescent="0.2">
      <c r="A548" s="543" t="s">
        <v>1157</v>
      </c>
      <c r="B548" s="1565" t="s">
        <v>1116</v>
      </c>
      <c r="C548" s="1565"/>
      <c r="D548" s="543" t="s">
        <v>2207</v>
      </c>
      <c r="E548" s="1565" t="s">
        <v>2208</v>
      </c>
      <c r="F548" s="1565"/>
      <c r="G548" s="544" t="s">
        <v>1126</v>
      </c>
      <c r="H548" s="545">
        <v>2.12</v>
      </c>
      <c r="I548" s="545">
        <f t="shared" si="17"/>
        <v>2.12</v>
      </c>
      <c r="J548" s="546">
        <f t="shared" si="16"/>
        <v>2.4300000000000002</v>
      </c>
    </row>
    <row r="549" spans="1:10" ht="39" customHeight="1" x14ac:dyDescent="0.2">
      <c r="A549" s="543" t="s">
        <v>1157</v>
      </c>
      <c r="B549" s="1565" t="s">
        <v>1116</v>
      </c>
      <c r="C549" s="1565"/>
      <c r="D549" s="543" t="s">
        <v>2209</v>
      </c>
      <c r="E549" s="1565" t="s">
        <v>2210</v>
      </c>
      <c r="F549" s="1565"/>
      <c r="G549" s="544" t="s">
        <v>1126</v>
      </c>
      <c r="H549" s="545">
        <v>0.86</v>
      </c>
      <c r="I549" s="545">
        <f t="shared" si="17"/>
        <v>0.86</v>
      </c>
      <c r="J549" s="546">
        <f t="shared" si="16"/>
        <v>0.98</v>
      </c>
    </row>
    <row r="550" spans="1:10" ht="39" customHeight="1" x14ac:dyDescent="0.2">
      <c r="A550" s="543" t="s">
        <v>1157</v>
      </c>
      <c r="B550" s="1565" t="s">
        <v>1116</v>
      </c>
      <c r="C550" s="1565"/>
      <c r="D550" s="543" t="s">
        <v>2211</v>
      </c>
      <c r="E550" s="1565" t="s">
        <v>2212</v>
      </c>
      <c r="F550" s="1565"/>
      <c r="G550" s="544" t="s">
        <v>1126</v>
      </c>
      <c r="H550" s="545">
        <v>1.43</v>
      </c>
      <c r="I550" s="545">
        <f t="shared" si="17"/>
        <v>1.43</v>
      </c>
      <c r="J550" s="546">
        <f t="shared" si="16"/>
        <v>1.64</v>
      </c>
    </row>
    <row r="551" spans="1:10" ht="39" customHeight="1" x14ac:dyDescent="0.2">
      <c r="A551" s="543" t="s">
        <v>1157</v>
      </c>
      <c r="B551" s="1565" t="s">
        <v>1116</v>
      </c>
      <c r="C551" s="1565"/>
      <c r="D551" s="543" t="s">
        <v>2213</v>
      </c>
      <c r="E551" s="1565" t="s">
        <v>2214</v>
      </c>
      <c r="F551" s="1565"/>
      <c r="G551" s="544" t="s">
        <v>1126</v>
      </c>
      <c r="H551" s="545">
        <v>0.08</v>
      </c>
      <c r="I551" s="545">
        <f t="shared" si="17"/>
        <v>0.08</v>
      </c>
      <c r="J551" s="546">
        <f t="shared" si="16"/>
        <v>0.09</v>
      </c>
    </row>
    <row r="552" spans="1:10" ht="39" customHeight="1" x14ac:dyDescent="0.2">
      <c r="A552" s="543" t="s">
        <v>1157</v>
      </c>
      <c r="B552" s="1565" t="s">
        <v>1116</v>
      </c>
      <c r="C552" s="1565"/>
      <c r="D552" s="543" t="s">
        <v>2215</v>
      </c>
      <c r="E552" s="1565" t="s">
        <v>2216</v>
      </c>
      <c r="F552" s="1565"/>
      <c r="G552" s="544" t="s">
        <v>1161</v>
      </c>
      <c r="H552" s="545">
        <v>40.869999999999997</v>
      </c>
      <c r="I552" s="545">
        <f t="shared" si="17"/>
        <v>40.869999999999997</v>
      </c>
      <c r="J552" s="546">
        <f t="shared" si="16"/>
        <v>46.98</v>
      </c>
    </row>
    <row r="553" spans="1:10" ht="39" customHeight="1" x14ac:dyDescent="0.2">
      <c r="A553" s="543" t="s">
        <v>1157</v>
      </c>
      <c r="B553" s="1565" t="s">
        <v>1116</v>
      </c>
      <c r="C553" s="1565"/>
      <c r="D553" s="543" t="s">
        <v>2217</v>
      </c>
      <c r="E553" s="1565" t="s">
        <v>2218</v>
      </c>
      <c r="F553" s="1565"/>
      <c r="G553" s="544" t="s">
        <v>646</v>
      </c>
      <c r="H553" s="545">
        <v>336.84</v>
      </c>
      <c r="I553" s="545">
        <f t="shared" si="17"/>
        <v>336.84</v>
      </c>
      <c r="J553" s="546">
        <f t="shared" si="16"/>
        <v>387.23</v>
      </c>
    </row>
    <row r="554" spans="1:10" ht="39" customHeight="1" x14ac:dyDescent="0.2">
      <c r="A554" s="543" t="s">
        <v>1157</v>
      </c>
      <c r="B554" s="1565" t="s">
        <v>1116</v>
      </c>
      <c r="C554" s="1565"/>
      <c r="D554" s="543" t="s">
        <v>2219</v>
      </c>
      <c r="E554" s="1565" t="s">
        <v>2220</v>
      </c>
      <c r="F554" s="1565"/>
      <c r="G554" s="544" t="s">
        <v>646</v>
      </c>
      <c r="H554" s="545">
        <v>1717.19</v>
      </c>
      <c r="I554" s="545">
        <f t="shared" si="17"/>
        <v>1717.19</v>
      </c>
      <c r="J554" s="546">
        <f t="shared" si="16"/>
        <v>1974.08</v>
      </c>
    </row>
    <row r="555" spans="1:10" ht="39" customHeight="1" x14ac:dyDescent="0.2">
      <c r="A555" s="543" t="s">
        <v>1157</v>
      </c>
      <c r="B555" s="1565" t="s">
        <v>1158</v>
      </c>
      <c r="C555" s="1565"/>
      <c r="D555" s="543" t="s">
        <v>2221</v>
      </c>
      <c r="E555" s="1565" t="s">
        <v>2222</v>
      </c>
      <c r="F555" s="1565"/>
      <c r="G555" s="544" t="s">
        <v>1161</v>
      </c>
      <c r="H555" s="545">
        <v>99.07</v>
      </c>
      <c r="I555" s="545">
        <f t="shared" si="17"/>
        <v>99.07</v>
      </c>
      <c r="J555" s="546">
        <f t="shared" si="16"/>
        <v>113.89</v>
      </c>
    </row>
    <row r="556" spans="1:10" ht="39" customHeight="1" x14ac:dyDescent="0.2">
      <c r="A556" s="543" t="s">
        <v>1157</v>
      </c>
      <c r="B556" s="1565" t="s">
        <v>1116</v>
      </c>
      <c r="C556" s="1565"/>
      <c r="D556" s="543" t="s">
        <v>2223</v>
      </c>
      <c r="E556" s="1565" t="s">
        <v>2224</v>
      </c>
      <c r="F556" s="1565"/>
      <c r="G556" s="544" t="s">
        <v>1181</v>
      </c>
      <c r="H556" s="545">
        <v>2.15</v>
      </c>
      <c r="I556" s="545">
        <f t="shared" si="17"/>
        <v>2.15</v>
      </c>
      <c r="J556" s="546">
        <f t="shared" si="16"/>
        <v>2.4700000000000002</v>
      </c>
    </row>
    <row r="557" spans="1:10" ht="39" customHeight="1" x14ac:dyDescent="0.2">
      <c r="A557" s="543" t="s">
        <v>1157</v>
      </c>
      <c r="B557" s="1565" t="s">
        <v>1116</v>
      </c>
      <c r="C557" s="1565"/>
      <c r="D557" s="543" t="s">
        <v>2225</v>
      </c>
      <c r="E557" s="1565" t="s">
        <v>2226</v>
      </c>
      <c r="F557" s="1565"/>
      <c r="G557" s="544" t="s">
        <v>1181</v>
      </c>
      <c r="H557" s="545">
        <v>2.4700000000000002</v>
      </c>
      <c r="I557" s="545">
        <f t="shared" si="17"/>
        <v>2.4700000000000002</v>
      </c>
      <c r="J557" s="546">
        <f t="shared" si="16"/>
        <v>2.83</v>
      </c>
    </row>
    <row r="558" spans="1:10" ht="39" customHeight="1" x14ac:dyDescent="0.2">
      <c r="A558" s="543" t="s">
        <v>1157</v>
      </c>
      <c r="B558" s="1565" t="s">
        <v>1116</v>
      </c>
      <c r="C558" s="1565"/>
      <c r="D558" s="543" t="s">
        <v>2227</v>
      </c>
      <c r="E558" s="1565" t="s">
        <v>2228</v>
      </c>
      <c r="F558" s="1565"/>
      <c r="G558" s="544" t="s">
        <v>1181</v>
      </c>
      <c r="H558" s="545">
        <v>2.2999999999999998</v>
      </c>
      <c r="I558" s="545">
        <f t="shared" si="17"/>
        <v>2.2999999999999998</v>
      </c>
      <c r="J558" s="546">
        <f t="shared" si="16"/>
        <v>2.64</v>
      </c>
    </row>
    <row r="559" spans="1:10" ht="39" customHeight="1" x14ac:dyDescent="0.2">
      <c r="A559" s="543" t="s">
        <v>1157</v>
      </c>
      <c r="B559" s="1565" t="s">
        <v>1116</v>
      </c>
      <c r="C559" s="1565"/>
      <c r="D559" s="543" t="s">
        <v>2229</v>
      </c>
      <c r="E559" s="1565" t="s">
        <v>2230</v>
      </c>
      <c r="F559" s="1565"/>
      <c r="G559" s="544" t="s">
        <v>1181</v>
      </c>
      <c r="H559" s="545">
        <v>86.57</v>
      </c>
      <c r="I559" s="545">
        <f t="shared" si="17"/>
        <v>86.57</v>
      </c>
      <c r="J559" s="546">
        <f t="shared" si="16"/>
        <v>99.52</v>
      </c>
    </row>
    <row r="560" spans="1:10" ht="39" customHeight="1" x14ac:dyDescent="0.2">
      <c r="A560" s="543" t="s">
        <v>1157</v>
      </c>
      <c r="B560" s="1565" t="s">
        <v>1116</v>
      </c>
      <c r="C560" s="1565"/>
      <c r="D560" s="543" t="s">
        <v>2231</v>
      </c>
      <c r="E560" s="1565" t="s">
        <v>2232</v>
      </c>
      <c r="F560" s="1565"/>
      <c r="G560" s="544" t="s">
        <v>2233</v>
      </c>
      <c r="H560" s="545">
        <v>103.03</v>
      </c>
      <c r="I560" s="545">
        <f t="shared" si="17"/>
        <v>103.03</v>
      </c>
      <c r="J560" s="546">
        <f t="shared" si="16"/>
        <v>118.44</v>
      </c>
    </row>
    <row r="561" spans="1:10" ht="39" customHeight="1" x14ac:dyDescent="0.2">
      <c r="A561" s="543" t="s">
        <v>1157</v>
      </c>
      <c r="B561" s="1565" t="s">
        <v>1116</v>
      </c>
      <c r="C561" s="1565"/>
      <c r="D561" s="543" t="s">
        <v>2234</v>
      </c>
      <c r="E561" s="1565" t="s">
        <v>2235</v>
      </c>
      <c r="F561" s="1565"/>
      <c r="G561" s="544" t="s">
        <v>2233</v>
      </c>
      <c r="H561" s="545">
        <v>88.59</v>
      </c>
      <c r="I561" s="545">
        <f t="shared" si="17"/>
        <v>88.59</v>
      </c>
      <c r="J561" s="546">
        <f t="shared" si="16"/>
        <v>101.84</v>
      </c>
    </row>
    <row r="562" spans="1:10" ht="39" customHeight="1" x14ac:dyDescent="0.2">
      <c r="A562" s="543" t="s">
        <v>1157</v>
      </c>
      <c r="B562" s="1565" t="s">
        <v>1116</v>
      </c>
      <c r="C562" s="1565"/>
      <c r="D562" s="543" t="s">
        <v>2236</v>
      </c>
      <c r="E562" s="1565" t="s">
        <v>2237</v>
      </c>
      <c r="F562" s="1565"/>
      <c r="G562" s="544" t="s">
        <v>646</v>
      </c>
      <c r="H562" s="545">
        <v>3.22</v>
      </c>
      <c r="I562" s="545">
        <f t="shared" si="17"/>
        <v>3.22</v>
      </c>
      <c r="J562" s="546">
        <f t="shared" si="16"/>
        <v>3.7</v>
      </c>
    </row>
    <row r="563" spans="1:10" ht="39" customHeight="1" x14ac:dyDescent="0.2">
      <c r="A563" s="543" t="s">
        <v>1157</v>
      </c>
      <c r="B563" s="1565" t="s">
        <v>1116</v>
      </c>
      <c r="C563" s="1565"/>
      <c r="D563" s="543" t="s">
        <v>2238</v>
      </c>
      <c r="E563" s="1565" t="s">
        <v>2239</v>
      </c>
      <c r="F563" s="1565"/>
      <c r="G563" s="544" t="s">
        <v>646</v>
      </c>
      <c r="H563" s="545">
        <v>20.27</v>
      </c>
      <c r="I563" s="545">
        <f t="shared" si="17"/>
        <v>20.27</v>
      </c>
      <c r="J563" s="546">
        <f t="shared" si="16"/>
        <v>23.3</v>
      </c>
    </row>
    <row r="564" spans="1:10" ht="39" customHeight="1" x14ac:dyDescent="0.2">
      <c r="A564" s="543" t="s">
        <v>1157</v>
      </c>
      <c r="B564" s="1565" t="s">
        <v>1116</v>
      </c>
      <c r="C564" s="1565"/>
      <c r="D564" s="543" t="s">
        <v>2240</v>
      </c>
      <c r="E564" s="1565" t="s">
        <v>2241</v>
      </c>
      <c r="F564" s="1565"/>
      <c r="G564" s="544" t="s">
        <v>1191</v>
      </c>
      <c r="H564" s="545">
        <v>1.9</v>
      </c>
      <c r="I564" s="545">
        <f t="shared" si="17"/>
        <v>1.9</v>
      </c>
      <c r="J564" s="546">
        <f t="shared" si="16"/>
        <v>2.1800000000000002</v>
      </c>
    </row>
    <row r="565" spans="1:10" ht="39" customHeight="1" x14ac:dyDescent="0.2">
      <c r="A565" s="543" t="s">
        <v>1157</v>
      </c>
      <c r="B565" s="1565" t="s">
        <v>1116</v>
      </c>
      <c r="C565" s="1565"/>
      <c r="D565" s="543" t="s">
        <v>2242</v>
      </c>
      <c r="E565" s="1565" t="s">
        <v>2243</v>
      </c>
      <c r="F565" s="1565"/>
      <c r="G565" s="544" t="s">
        <v>646</v>
      </c>
      <c r="H565" s="545">
        <v>76.709999999999994</v>
      </c>
      <c r="I565" s="545">
        <f t="shared" si="17"/>
        <v>76.709999999999994</v>
      </c>
      <c r="J565" s="546">
        <f t="shared" si="16"/>
        <v>88.18</v>
      </c>
    </row>
    <row r="566" spans="1:10" ht="39" customHeight="1" x14ac:dyDescent="0.2">
      <c r="A566" s="543" t="s">
        <v>1157</v>
      </c>
      <c r="B566" s="1565" t="s">
        <v>1116</v>
      </c>
      <c r="C566" s="1565"/>
      <c r="D566" s="543" t="s">
        <v>2244</v>
      </c>
      <c r="E566" s="1565" t="s">
        <v>2245</v>
      </c>
      <c r="F566" s="1565"/>
      <c r="G566" s="544" t="s">
        <v>1181</v>
      </c>
      <c r="H566" s="545">
        <v>0.72</v>
      </c>
      <c r="I566" s="545">
        <f t="shared" si="17"/>
        <v>0.72</v>
      </c>
      <c r="J566" s="546">
        <f t="shared" si="16"/>
        <v>0.82</v>
      </c>
    </row>
    <row r="567" spans="1:10" ht="39" customHeight="1" x14ac:dyDescent="0.2">
      <c r="A567" s="543" t="s">
        <v>1157</v>
      </c>
      <c r="B567" s="1565" t="s">
        <v>1116</v>
      </c>
      <c r="C567" s="1565"/>
      <c r="D567" s="543" t="s">
        <v>2246</v>
      </c>
      <c r="E567" s="1565" t="s">
        <v>2247</v>
      </c>
      <c r="F567" s="1565"/>
      <c r="G567" s="544" t="s">
        <v>1181</v>
      </c>
      <c r="H567" s="545">
        <v>7.28</v>
      </c>
      <c r="I567" s="545">
        <f t="shared" si="17"/>
        <v>7.28</v>
      </c>
      <c r="J567" s="546">
        <f t="shared" si="16"/>
        <v>8.36</v>
      </c>
    </row>
    <row r="568" spans="1:10" ht="39" customHeight="1" x14ac:dyDescent="0.2">
      <c r="A568" s="543" t="s">
        <v>1157</v>
      </c>
      <c r="B568" s="1565" t="s">
        <v>1116</v>
      </c>
      <c r="C568" s="1565"/>
      <c r="D568" s="543" t="s">
        <v>2248</v>
      </c>
      <c r="E568" s="1565" t="s">
        <v>2249</v>
      </c>
      <c r="F568" s="1565"/>
      <c r="G568" s="544" t="s">
        <v>646</v>
      </c>
      <c r="H568" s="545">
        <v>42.91</v>
      </c>
      <c r="I568" s="545">
        <f t="shared" si="17"/>
        <v>42.91</v>
      </c>
      <c r="J568" s="546">
        <f t="shared" si="16"/>
        <v>49.32</v>
      </c>
    </row>
    <row r="569" spans="1:10" ht="39" customHeight="1" x14ac:dyDescent="0.2">
      <c r="A569" s="543" t="s">
        <v>1157</v>
      </c>
      <c r="B569" s="1565" t="s">
        <v>1116</v>
      </c>
      <c r="C569" s="1565"/>
      <c r="D569" s="543" t="s">
        <v>2250</v>
      </c>
      <c r="E569" s="1565" t="s">
        <v>2251</v>
      </c>
      <c r="F569" s="1565"/>
      <c r="G569" s="544" t="s">
        <v>646</v>
      </c>
      <c r="H569" s="545">
        <v>42.91</v>
      </c>
      <c r="I569" s="545">
        <f t="shared" si="17"/>
        <v>42.91</v>
      </c>
      <c r="J569" s="546">
        <f t="shared" si="16"/>
        <v>49.32</v>
      </c>
    </row>
    <row r="570" spans="1:10" ht="39" customHeight="1" x14ac:dyDescent="0.2">
      <c r="A570" s="543" t="s">
        <v>1157</v>
      </c>
      <c r="B570" s="1565" t="s">
        <v>1116</v>
      </c>
      <c r="C570" s="1565"/>
      <c r="D570" s="543" t="s">
        <v>2252</v>
      </c>
      <c r="E570" s="1565" t="s">
        <v>2253</v>
      </c>
      <c r="F570" s="1565"/>
      <c r="G570" s="544" t="s">
        <v>1332</v>
      </c>
      <c r="H570" s="545">
        <v>567.39</v>
      </c>
      <c r="I570" s="545">
        <f t="shared" si="17"/>
        <v>567.39</v>
      </c>
      <c r="J570" s="546">
        <f t="shared" si="16"/>
        <v>652.27</v>
      </c>
    </row>
    <row r="571" spans="1:10" ht="39" customHeight="1" x14ac:dyDescent="0.2">
      <c r="A571" s="543" t="s">
        <v>1157</v>
      </c>
      <c r="B571" s="1565" t="s">
        <v>1116</v>
      </c>
      <c r="C571" s="1565"/>
      <c r="D571" s="543" t="s">
        <v>2254</v>
      </c>
      <c r="E571" s="1565" t="s">
        <v>2255</v>
      </c>
      <c r="F571" s="1565"/>
      <c r="G571" s="544" t="s">
        <v>646</v>
      </c>
      <c r="H571" s="545">
        <v>14.77</v>
      </c>
      <c r="I571" s="545">
        <f t="shared" si="17"/>
        <v>14.77</v>
      </c>
      <c r="J571" s="546">
        <f t="shared" si="16"/>
        <v>16.97</v>
      </c>
    </row>
    <row r="572" spans="1:10" ht="39" customHeight="1" x14ac:dyDescent="0.2">
      <c r="A572" s="543" t="s">
        <v>1157</v>
      </c>
      <c r="B572" s="1565" t="s">
        <v>1116</v>
      </c>
      <c r="C572" s="1565"/>
      <c r="D572" s="543" t="s">
        <v>2256</v>
      </c>
      <c r="E572" s="1565" t="s">
        <v>2257</v>
      </c>
      <c r="F572" s="1565"/>
      <c r="G572" s="544" t="s">
        <v>1161</v>
      </c>
      <c r="H572" s="545">
        <v>34.57</v>
      </c>
      <c r="I572" s="545">
        <f t="shared" si="17"/>
        <v>34.57</v>
      </c>
      <c r="J572" s="546">
        <f t="shared" si="16"/>
        <v>39.74</v>
      </c>
    </row>
    <row r="573" spans="1:10" ht="39" customHeight="1" x14ac:dyDescent="0.2">
      <c r="A573" s="543" t="s">
        <v>1157</v>
      </c>
      <c r="B573" s="1565" t="s">
        <v>1116</v>
      </c>
      <c r="C573" s="1565"/>
      <c r="D573" s="543" t="s">
        <v>2258</v>
      </c>
      <c r="E573" s="1565" t="s">
        <v>2259</v>
      </c>
      <c r="F573" s="1565"/>
      <c r="G573" s="544" t="s">
        <v>646</v>
      </c>
      <c r="H573" s="545">
        <v>3.64</v>
      </c>
      <c r="I573" s="545">
        <f t="shared" si="17"/>
        <v>3.64</v>
      </c>
      <c r="J573" s="546">
        <f t="shared" si="16"/>
        <v>4.18</v>
      </c>
    </row>
    <row r="574" spans="1:10" ht="39" customHeight="1" x14ac:dyDescent="0.2">
      <c r="A574" s="543" t="s">
        <v>1157</v>
      </c>
      <c r="B574" s="1565" t="s">
        <v>1116</v>
      </c>
      <c r="C574" s="1565"/>
      <c r="D574" s="543" t="s">
        <v>2260</v>
      </c>
      <c r="E574" s="1565" t="s">
        <v>2261</v>
      </c>
      <c r="F574" s="1565"/>
      <c r="G574" s="544" t="s">
        <v>646</v>
      </c>
      <c r="H574" s="545">
        <v>0.73</v>
      </c>
      <c r="I574" s="545">
        <f t="shared" si="17"/>
        <v>0.73</v>
      </c>
      <c r="J574" s="546">
        <f t="shared" si="16"/>
        <v>0.83</v>
      </c>
    </row>
    <row r="575" spans="1:10" ht="39" customHeight="1" x14ac:dyDescent="0.2">
      <c r="A575" s="543" t="s">
        <v>1157</v>
      </c>
      <c r="B575" s="1565" t="s">
        <v>1116</v>
      </c>
      <c r="C575" s="1565"/>
      <c r="D575" s="543" t="s">
        <v>2262</v>
      </c>
      <c r="E575" s="1565" t="s">
        <v>2263</v>
      </c>
      <c r="F575" s="1565"/>
      <c r="G575" s="544" t="s">
        <v>1161</v>
      </c>
      <c r="H575" s="545">
        <v>28.43</v>
      </c>
      <c r="I575" s="545">
        <f t="shared" si="17"/>
        <v>28.43</v>
      </c>
      <c r="J575" s="546">
        <f t="shared" si="16"/>
        <v>32.68</v>
      </c>
    </row>
    <row r="576" spans="1:10" ht="39" customHeight="1" x14ac:dyDescent="0.2">
      <c r="A576" s="543" t="s">
        <v>1157</v>
      </c>
      <c r="B576" s="1565" t="s">
        <v>1116</v>
      </c>
      <c r="C576" s="1565"/>
      <c r="D576" s="543" t="s">
        <v>2264</v>
      </c>
      <c r="E576" s="1565" t="s">
        <v>2265</v>
      </c>
      <c r="F576" s="1565"/>
      <c r="G576" s="544" t="s">
        <v>1161</v>
      </c>
      <c r="H576" s="545">
        <v>26.93</v>
      </c>
      <c r="I576" s="545">
        <f t="shared" si="17"/>
        <v>26.93</v>
      </c>
      <c r="J576" s="546">
        <f t="shared" si="16"/>
        <v>30.95</v>
      </c>
    </row>
    <row r="577" spans="1:10" ht="39" customHeight="1" x14ac:dyDescent="0.2">
      <c r="A577" s="543" t="s">
        <v>1157</v>
      </c>
      <c r="B577" s="1565" t="s">
        <v>1116</v>
      </c>
      <c r="C577" s="1565"/>
      <c r="D577" s="543" t="s">
        <v>2266</v>
      </c>
      <c r="E577" s="1565" t="s">
        <v>2267</v>
      </c>
      <c r="F577" s="1565"/>
      <c r="G577" s="544" t="s">
        <v>1161</v>
      </c>
      <c r="H577" s="545">
        <v>21.02</v>
      </c>
      <c r="I577" s="545">
        <f t="shared" si="17"/>
        <v>21.02</v>
      </c>
      <c r="J577" s="546">
        <f t="shared" si="16"/>
        <v>24.16</v>
      </c>
    </row>
    <row r="578" spans="1:10" ht="39" customHeight="1" x14ac:dyDescent="0.2">
      <c r="A578" s="543" t="s">
        <v>1157</v>
      </c>
      <c r="B578" s="1565" t="s">
        <v>1116</v>
      </c>
      <c r="C578" s="1565"/>
      <c r="D578" s="543" t="s">
        <v>2268</v>
      </c>
      <c r="E578" s="1565" t="s">
        <v>2269</v>
      </c>
      <c r="F578" s="1565"/>
      <c r="G578" s="544" t="s">
        <v>1191</v>
      </c>
      <c r="H578" s="545">
        <v>0.33</v>
      </c>
      <c r="I578" s="545">
        <f t="shared" si="17"/>
        <v>0.33</v>
      </c>
      <c r="J578" s="546">
        <f t="shared" si="16"/>
        <v>0.37</v>
      </c>
    </row>
    <row r="579" spans="1:10" ht="39" customHeight="1" x14ac:dyDescent="0.2">
      <c r="A579" s="543" t="s">
        <v>1157</v>
      </c>
      <c r="B579" s="1565" t="s">
        <v>1116</v>
      </c>
      <c r="C579" s="1565"/>
      <c r="D579" s="543" t="s">
        <v>2270</v>
      </c>
      <c r="E579" s="1565" t="s">
        <v>2271</v>
      </c>
      <c r="F579" s="1565"/>
      <c r="G579" s="544" t="s">
        <v>1191</v>
      </c>
      <c r="H579" s="545">
        <v>2.91</v>
      </c>
      <c r="I579" s="545">
        <f t="shared" si="17"/>
        <v>2.91</v>
      </c>
      <c r="J579" s="546">
        <f t="shared" si="16"/>
        <v>3.34</v>
      </c>
    </row>
    <row r="580" spans="1:10" ht="39" customHeight="1" x14ac:dyDescent="0.2">
      <c r="A580" s="543" t="s">
        <v>1157</v>
      </c>
      <c r="B580" s="1565" t="s">
        <v>1116</v>
      </c>
      <c r="C580" s="1565"/>
      <c r="D580" s="543" t="s">
        <v>2272</v>
      </c>
      <c r="E580" s="1565" t="s">
        <v>2273</v>
      </c>
      <c r="F580" s="1565"/>
      <c r="G580" s="544" t="s">
        <v>646</v>
      </c>
      <c r="H580" s="545">
        <v>5</v>
      </c>
      <c r="I580" s="545">
        <f t="shared" si="17"/>
        <v>5</v>
      </c>
      <c r="J580" s="546">
        <f t="shared" si="16"/>
        <v>5.74</v>
      </c>
    </row>
    <row r="581" spans="1:10" ht="39" customHeight="1" x14ac:dyDescent="0.2">
      <c r="A581" s="543" t="s">
        <v>1157</v>
      </c>
      <c r="B581" s="1565" t="s">
        <v>1116</v>
      </c>
      <c r="C581" s="1565"/>
      <c r="D581" s="543" t="s">
        <v>2274</v>
      </c>
      <c r="E581" s="1565" t="s">
        <v>2275</v>
      </c>
      <c r="F581" s="1565"/>
      <c r="G581" s="544" t="s">
        <v>646</v>
      </c>
      <c r="H581" s="545">
        <v>6.15</v>
      </c>
      <c r="I581" s="545">
        <f t="shared" si="17"/>
        <v>6.15</v>
      </c>
      <c r="J581" s="546">
        <f t="shared" si="16"/>
        <v>7.07</v>
      </c>
    </row>
    <row r="582" spans="1:10" ht="39" customHeight="1" x14ac:dyDescent="0.2">
      <c r="A582" s="543" t="s">
        <v>1157</v>
      </c>
      <c r="B582" s="1565" t="s">
        <v>1116</v>
      </c>
      <c r="C582" s="1565"/>
      <c r="D582" s="543" t="s">
        <v>2276</v>
      </c>
      <c r="E582" s="1565" t="s">
        <v>2277</v>
      </c>
      <c r="F582" s="1565"/>
      <c r="G582" s="544" t="s">
        <v>1181</v>
      </c>
      <c r="H582" s="545">
        <v>3.64</v>
      </c>
      <c r="I582" s="545">
        <f t="shared" si="17"/>
        <v>3.64</v>
      </c>
      <c r="J582" s="546">
        <f t="shared" si="16"/>
        <v>4.18</v>
      </c>
    </row>
    <row r="583" spans="1:10" ht="39" customHeight="1" x14ac:dyDescent="0.2">
      <c r="A583" s="543" t="s">
        <v>1157</v>
      </c>
      <c r="B583" s="1565" t="s">
        <v>1116</v>
      </c>
      <c r="C583" s="1565"/>
      <c r="D583" s="543" t="s">
        <v>2278</v>
      </c>
      <c r="E583" s="1565" t="s">
        <v>2279</v>
      </c>
      <c r="F583" s="1565"/>
      <c r="G583" s="544" t="s">
        <v>646</v>
      </c>
      <c r="H583" s="545">
        <v>20.34</v>
      </c>
      <c r="I583" s="545">
        <f t="shared" si="17"/>
        <v>20.34</v>
      </c>
      <c r="J583" s="546">
        <f t="shared" si="16"/>
        <v>23.38</v>
      </c>
    </row>
    <row r="584" spans="1:10" ht="39" customHeight="1" x14ac:dyDescent="0.2">
      <c r="A584" s="543" t="s">
        <v>1157</v>
      </c>
      <c r="B584" s="1565" t="s">
        <v>1116</v>
      </c>
      <c r="C584" s="1565"/>
      <c r="D584" s="543" t="s">
        <v>2280</v>
      </c>
      <c r="E584" s="1565" t="s">
        <v>2281</v>
      </c>
      <c r="F584" s="1565"/>
      <c r="G584" s="544" t="s">
        <v>1774</v>
      </c>
      <c r="H584" s="545">
        <v>146.76</v>
      </c>
      <c r="I584" s="545">
        <f t="shared" si="17"/>
        <v>146.76</v>
      </c>
      <c r="J584" s="546">
        <f t="shared" si="16"/>
        <v>168.71</v>
      </c>
    </row>
    <row r="585" spans="1:10" ht="39" customHeight="1" x14ac:dyDescent="0.2">
      <c r="A585" s="543" t="s">
        <v>1157</v>
      </c>
      <c r="B585" s="1565" t="s">
        <v>1116</v>
      </c>
      <c r="C585" s="1565"/>
      <c r="D585" s="543" t="s">
        <v>2282</v>
      </c>
      <c r="E585" s="1565" t="s">
        <v>2283</v>
      </c>
      <c r="F585" s="1565"/>
      <c r="G585" s="544" t="s">
        <v>1181</v>
      </c>
      <c r="H585" s="545">
        <v>17.55</v>
      </c>
      <c r="I585" s="545">
        <f t="shared" si="17"/>
        <v>17.55</v>
      </c>
      <c r="J585" s="546">
        <f t="shared" si="16"/>
        <v>20.170000000000002</v>
      </c>
    </row>
    <row r="586" spans="1:10" ht="39" customHeight="1" x14ac:dyDescent="0.2">
      <c r="A586" s="543" t="s">
        <v>1157</v>
      </c>
      <c r="B586" s="1565" t="s">
        <v>1116</v>
      </c>
      <c r="C586" s="1565"/>
      <c r="D586" s="543" t="s">
        <v>2284</v>
      </c>
      <c r="E586" s="1565" t="s">
        <v>2285</v>
      </c>
      <c r="F586" s="1565"/>
      <c r="G586" s="544" t="s">
        <v>1161</v>
      </c>
      <c r="H586" s="545">
        <v>123.9</v>
      </c>
      <c r="I586" s="545">
        <f t="shared" si="17"/>
        <v>123.9</v>
      </c>
      <c r="J586" s="546">
        <f t="shared" si="16"/>
        <v>142.43</v>
      </c>
    </row>
    <row r="587" spans="1:10" ht="39" customHeight="1" x14ac:dyDescent="0.2">
      <c r="A587" s="543" t="s">
        <v>1157</v>
      </c>
      <c r="B587" s="1565" t="s">
        <v>1116</v>
      </c>
      <c r="C587" s="1565"/>
      <c r="D587" s="543" t="s">
        <v>2286</v>
      </c>
      <c r="E587" s="1565" t="s">
        <v>2287</v>
      </c>
      <c r="F587" s="1565"/>
      <c r="G587" s="544" t="s">
        <v>646</v>
      </c>
      <c r="H587" s="545">
        <v>0.13</v>
      </c>
      <c r="I587" s="545">
        <f t="shared" si="17"/>
        <v>0.13</v>
      </c>
      <c r="J587" s="546">
        <f t="shared" si="16"/>
        <v>0.14000000000000001</v>
      </c>
    </row>
    <row r="588" spans="1:10" ht="39" customHeight="1" x14ac:dyDescent="0.2">
      <c r="A588" s="543" t="s">
        <v>1157</v>
      </c>
      <c r="B588" s="1565" t="s">
        <v>1116</v>
      </c>
      <c r="C588" s="1565"/>
      <c r="D588" s="543" t="s">
        <v>2288</v>
      </c>
      <c r="E588" s="1565" t="s">
        <v>2289</v>
      </c>
      <c r="F588" s="1565"/>
      <c r="G588" s="544" t="s">
        <v>646</v>
      </c>
      <c r="H588" s="545">
        <v>0.32</v>
      </c>
      <c r="I588" s="545">
        <f t="shared" si="17"/>
        <v>0.32</v>
      </c>
      <c r="J588" s="546">
        <f t="shared" si="16"/>
        <v>0.36</v>
      </c>
    </row>
    <row r="589" spans="1:10" ht="39" customHeight="1" x14ac:dyDescent="0.2">
      <c r="A589" s="543" t="s">
        <v>1157</v>
      </c>
      <c r="B589" s="1565" t="s">
        <v>1116</v>
      </c>
      <c r="C589" s="1565"/>
      <c r="D589" s="543" t="s">
        <v>2290</v>
      </c>
      <c r="E589" s="1565" t="s">
        <v>2291</v>
      </c>
      <c r="F589" s="1565"/>
      <c r="G589" s="544" t="s">
        <v>646</v>
      </c>
      <c r="H589" s="545">
        <v>0.4</v>
      </c>
      <c r="I589" s="545">
        <f t="shared" si="17"/>
        <v>0.4</v>
      </c>
      <c r="J589" s="546">
        <f t="shared" ref="J589:J652" si="18">TRUNC((H589*($J$11))*(1+$J$8),2)</f>
        <v>0.45</v>
      </c>
    </row>
    <row r="590" spans="1:10" ht="39" customHeight="1" x14ac:dyDescent="0.2">
      <c r="A590" s="543" t="s">
        <v>1157</v>
      </c>
      <c r="B590" s="1565" t="s">
        <v>1116</v>
      </c>
      <c r="C590" s="1565"/>
      <c r="D590" s="543" t="s">
        <v>708</v>
      </c>
      <c r="E590" s="1565" t="s">
        <v>2292</v>
      </c>
      <c r="F590" s="1565"/>
      <c r="G590" s="544" t="s">
        <v>646</v>
      </c>
      <c r="H590" s="545">
        <v>15.06</v>
      </c>
      <c r="I590" s="545">
        <f t="shared" ref="I590:I653" si="19">(H590*($J$11))</f>
        <v>15.06</v>
      </c>
      <c r="J590" s="546">
        <f t="shared" si="18"/>
        <v>17.309999999999999</v>
      </c>
    </row>
    <row r="591" spans="1:10" ht="39" customHeight="1" x14ac:dyDescent="0.2">
      <c r="A591" s="543" t="s">
        <v>1157</v>
      </c>
      <c r="B591" s="1565" t="s">
        <v>1116</v>
      </c>
      <c r="C591" s="1565"/>
      <c r="D591" s="543" t="s">
        <v>2293</v>
      </c>
      <c r="E591" s="1565" t="s">
        <v>2294</v>
      </c>
      <c r="F591" s="1565"/>
      <c r="G591" s="544" t="s">
        <v>646</v>
      </c>
      <c r="H591" s="545">
        <v>144.06</v>
      </c>
      <c r="I591" s="545">
        <f t="shared" si="19"/>
        <v>144.06</v>
      </c>
      <c r="J591" s="546">
        <f t="shared" si="18"/>
        <v>165.61</v>
      </c>
    </row>
    <row r="592" spans="1:10" ht="39" customHeight="1" x14ac:dyDescent="0.2">
      <c r="A592" s="543" t="s">
        <v>1157</v>
      </c>
      <c r="B592" s="1565" t="s">
        <v>1116</v>
      </c>
      <c r="C592" s="1565"/>
      <c r="D592" s="543" t="s">
        <v>2295</v>
      </c>
      <c r="E592" s="1565" t="s">
        <v>2296</v>
      </c>
      <c r="F592" s="1565"/>
      <c r="G592" s="544" t="s">
        <v>646</v>
      </c>
      <c r="H592" s="545">
        <v>208.43</v>
      </c>
      <c r="I592" s="545">
        <f t="shared" si="19"/>
        <v>208.43</v>
      </c>
      <c r="J592" s="546">
        <f t="shared" si="18"/>
        <v>239.61</v>
      </c>
    </row>
    <row r="593" spans="1:10" ht="39" customHeight="1" x14ac:dyDescent="0.2">
      <c r="A593" s="543" t="s">
        <v>1157</v>
      </c>
      <c r="B593" s="1565" t="s">
        <v>1116</v>
      </c>
      <c r="C593" s="1565"/>
      <c r="D593" s="543" t="s">
        <v>2297</v>
      </c>
      <c r="E593" s="1565" t="s">
        <v>2298</v>
      </c>
      <c r="F593" s="1565"/>
      <c r="G593" s="544" t="s">
        <v>646</v>
      </c>
      <c r="H593" s="545">
        <v>147.5</v>
      </c>
      <c r="I593" s="545">
        <f t="shared" si="19"/>
        <v>147.5</v>
      </c>
      <c r="J593" s="546">
        <f t="shared" si="18"/>
        <v>169.56</v>
      </c>
    </row>
    <row r="594" spans="1:10" ht="39" customHeight="1" x14ac:dyDescent="0.2">
      <c r="A594" s="543" t="s">
        <v>1157</v>
      </c>
      <c r="B594" s="1565" t="s">
        <v>1116</v>
      </c>
      <c r="C594" s="1565"/>
      <c r="D594" s="543" t="s">
        <v>2299</v>
      </c>
      <c r="E594" s="1565" t="s">
        <v>2300</v>
      </c>
      <c r="F594" s="1565"/>
      <c r="G594" s="544" t="s">
        <v>646</v>
      </c>
      <c r="H594" s="545">
        <v>169.44</v>
      </c>
      <c r="I594" s="545">
        <f t="shared" si="19"/>
        <v>169.44</v>
      </c>
      <c r="J594" s="546">
        <f t="shared" si="18"/>
        <v>194.78</v>
      </c>
    </row>
    <row r="595" spans="1:10" ht="39" customHeight="1" x14ac:dyDescent="0.2">
      <c r="A595" s="543" t="s">
        <v>1157</v>
      </c>
      <c r="B595" s="1565" t="s">
        <v>1123</v>
      </c>
      <c r="C595" s="1565"/>
      <c r="D595" s="543" t="s">
        <v>2301</v>
      </c>
      <c r="E595" s="1565" t="s">
        <v>2302</v>
      </c>
      <c r="F595" s="1565"/>
      <c r="G595" s="544" t="s">
        <v>1168</v>
      </c>
      <c r="H595" s="545">
        <v>15</v>
      </c>
      <c r="I595" s="545">
        <f t="shared" si="19"/>
        <v>15</v>
      </c>
      <c r="J595" s="546">
        <f t="shared" si="18"/>
        <v>17.239999999999998</v>
      </c>
    </row>
    <row r="596" spans="1:10" ht="39" customHeight="1" x14ac:dyDescent="0.2">
      <c r="A596" s="543" t="s">
        <v>1157</v>
      </c>
      <c r="B596" s="1565" t="s">
        <v>1123</v>
      </c>
      <c r="C596" s="1565"/>
      <c r="D596" s="543" t="s">
        <v>2303</v>
      </c>
      <c r="E596" s="1565" t="s">
        <v>2304</v>
      </c>
      <c r="F596" s="1565"/>
      <c r="G596" s="544" t="s">
        <v>1168</v>
      </c>
      <c r="H596" s="545">
        <v>6.78</v>
      </c>
      <c r="I596" s="545">
        <f t="shared" si="19"/>
        <v>6.78</v>
      </c>
      <c r="J596" s="546">
        <f t="shared" si="18"/>
        <v>7.79</v>
      </c>
    </row>
    <row r="597" spans="1:10" ht="39" customHeight="1" x14ac:dyDescent="0.2">
      <c r="A597" s="543" t="s">
        <v>1157</v>
      </c>
      <c r="B597" s="1565" t="s">
        <v>1123</v>
      </c>
      <c r="C597" s="1565"/>
      <c r="D597" s="543" t="s">
        <v>2305</v>
      </c>
      <c r="E597" s="1565" t="s">
        <v>2306</v>
      </c>
      <c r="F597" s="1565"/>
      <c r="G597" s="544" t="s">
        <v>1168</v>
      </c>
      <c r="H597" s="545">
        <v>3.6</v>
      </c>
      <c r="I597" s="545">
        <f t="shared" si="19"/>
        <v>3.6</v>
      </c>
      <c r="J597" s="546">
        <f t="shared" si="18"/>
        <v>4.13</v>
      </c>
    </row>
    <row r="598" spans="1:10" ht="39" customHeight="1" x14ac:dyDescent="0.2">
      <c r="A598" s="543" t="s">
        <v>1157</v>
      </c>
      <c r="B598" s="1565" t="s">
        <v>1123</v>
      </c>
      <c r="C598" s="1565"/>
      <c r="D598" s="543" t="s">
        <v>2307</v>
      </c>
      <c r="E598" s="1565" t="s">
        <v>2308</v>
      </c>
      <c r="F598" s="1565"/>
      <c r="G598" s="544" t="s">
        <v>1168</v>
      </c>
      <c r="H598" s="545">
        <v>9.1</v>
      </c>
      <c r="I598" s="545">
        <f t="shared" si="19"/>
        <v>9.1</v>
      </c>
      <c r="J598" s="546">
        <f t="shared" si="18"/>
        <v>10.46</v>
      </c>
    </row>
    <row r="599" spans="1:10" ht="39" customHeight="1" x14ac:dyDescent="0.2">
      <c r="A599" s="543" t="s">
        <v>1157</v>
      </c>
      <c r="B599" s="1565" t="s">
        <v>1123</v>
      </c>
      <c r="C599" s="1565"/>
      <c r="D599" s="543" t="s">
        <v>2309</v>
      </c>
      <c r="E599" s="1565" t="s">
        <v>2310</v>
      </c>
      <c r="F599" s="1565"/>
      <c r="G599" s="544" t="s">
        <v>1168</v>
      </c>
      <c r="H599" s="545">
        <v>3.13</v>
      </c>
      <c r="I599" s="545">
        <f t="shared" si="19"/>
        <v>3.13</v>
      </c>
      <c r="J599" s="546">
        <f t="shared" si="18"/>
        <v>3.59</v>
      </c>
    </row>
    <row r="600" spans="1:10" ht="39" customHeight="1" x14ac:dyDescent="0.2">
      <c r="A600" s="543" t="s">
        <v>1157</v>
      </c>
      <c r="B600" s="1565" t="s">
        <v>1123</v>
      </c>
      <c r="C600" s="1565"/>
      <c r="D600" s="543" t="s">
        <v>2311</v>
      </c>
      <c r="E600" s="1565" t="s">
        <v>2312</v>
      </c>
      <c r="F600" s="1565"/>
      <c r="G600" s="544" t="s">
        <v>1168</v>
      </c>
      <c r="H600" s="545">
        <v>0.19</v>
      </c>
      <c r="I600" s="545">
        <f t="shared" si="19"/>
        <v>0.19</v>
      </c>
      <c r="J600" s="546">
        <f t="shared" si="18"/>
        <v>0.21</v>
      </c>
    </row>
    <row r="601" spans="1:10" ht="39" customHeight="1" x14ac:dyDescent="0.2">
      <c r="A601" s="543" t="s">
        <v>1157</v>
      </c>
      <c r="B601" s="1565" t="s">
        <v>1123</v>
      </c>
      <c r="C601" s="1565"/>
      <c r="D601" s="543" t="s">
        <v>2313</v>
      </c>
      <c r="E601" s="1565" t="s">
        <v>2314</v>
      </c>
      <c r="F601" s="1565"/>
      <c r="G601" s="544" t="s">
        <v>1541</v>
      </c>
      <c r="H601" s="545">
        <v>0.40770000000000001</v>
      </c>
      <c r="I601" s="545">
        <f t="shared" si="19"/>
        <v>0.40770000000000001</v>
      </c>
      <c r="J601" s="546">
        <f t="shared" si="18"/>
        <v>0.46</v>
      </c>
    </row>
    <row r="602" spans="1:10" ht="39" customHeight="1" x14ac:dyDescent="0.2">
      <c r="A602" s="543" t="s">
        <v>1157</v>
      </c>
      <c r="B602" s="1565" t="s">
        <v>1123</v>
      </c>
      <c r="C602" s="1565"/>
      <c r="D602" s="543" t="s">
        <v>2315</v>
      </c>
      <c r="E602" s="1565" t="s">
        <v>2316</v>
      </c>
      <c r="F602" s="1565"/>
      <c r="G602" s="544" t="s">
        <v>1541</v>
      </c>
      <c r="H602" s="545">
        <v>3.0608</v>
      </c>
      <c r="I602" s="545">
        <f t="shared" si="19"/>
        <v>3.0608</v>
      </c>
      <c r="J602" s="546">
        <f t="shared" si="18"/>
        <v>3.51</v>
      </c>
    </row>
    <row r="603" spans="1:10" ht="39" customHeight="1" x14ac:dyDescent="0.2">
      <c r="A603" s="543" t="s">
        <v>1157</v>
      </c>
      <c r="B603" s="1565" t="s">
        <v>1123</v>
      </c>
      <c r="C603" s="1565"/>
      <c r="D603" s="543" t="s">
        <v>2317</v>
      </c>
      <c r="E603" s="1565" t="s">
        <v>2318</v>
      </c>
      <c r="F603" s="1565"/>
      <c r="G603" s="544" t="s">
        <v>1541</v>
      </c>
      <c r="H603" s="545">
        <v>1.77E-2</v>
      </c>
      <c r="I603" s="545">
        <f t="shared" si="19"/>
        <v>1.77E-2</v>
      </c>
      <c r="J603" s="546">
        <f t="shared" si="18"/>
        <v>0.02</v>
      </c>
    </row>
    <row r="604" spans="1:10" ht="39" customHeight="1" x14ac:dyDescent="0.2">
      <c r="A604" s="543" t="s">
        <v>1157</v>
      </c>
      <c r="B604" s="1565" t="s">
        <v>1123</v>
      </c>
      <c r="C604" s="1565"/>
      <c r="D604" s="543" t="s">
        <v>2319</v>
      </c>
      <c r="E604" s="1565" t="s">
        <v>2320</v>
      </c>
      <c r="F604" s="1565"/>
      <c r="G604" s="544" t="s">
        <v>1541</v>
      </c>
      <c r="H604" s="545">
        <v>4.53E-2</v>
      </c>
      <c r="I604" s="545">
        <f t="shared" si="19"/>
        <v>4.53E-2</v>
      </c>
      <c r="J604" s="546">
        <f t="shared" si="18"/>
        <v>0.05</v>
      </c>
    </row>
    <row r="605" spans="1:10" ht="39" customHeight="1" x14ac:dyDescent="0.2">
      <c r="A605" s="543" t="s">
        <v>1157</v>
      </c>
      <c r="B605" s="1565" t="s">
        <v>1123</v>
      </c>
      <c r="C605" s="1565"/>
      <c r="D605" s="543" t="s">
        <v>2321</v>
      </c>
      <c r="E605" s="1565" t="s">
        <v>2322</v>
      </c>
      <c r="F605" s="1565"/>
      <c r="G605" s="544" t="s">
        <v>1541</v>
      </c>
      <c r="H605" s="545">
        <v>1.3557999999999999</v>
      </c>
      <c r="I605" s="545">
        <f t="shared" si="19"/>
        <v>1.3557999999999999</v>
      </c>
      <c r="J605" s="546">
        <f t="shared" si="18"/>
        <v>1.55</v>
      </c>
    </row>
    <row r="606" spans="1:10" ht="39" customHeight="1" x14ac:dyDescent="0.2">
      <c r="A606" s="543" t="s">
        <v>1157</v>
      </c>
      <c r="B606" s="1565" t="s">
        <v>1123</v>
      </c>
      <c r="C606" s="1565"/>
      <c r="D606" s="543" t="s">
        <v>2323</v>
      </c>
      <c r="E606" s="1565" t="s">
        <v>2324</v>
      </c>
      <c r="F606" s="1565"/>
      <c r="G606" s="544" t="s">
        <v>1168</v>
      </c>
      <c r="H606" s="545">
        <v>5.75</v>
      </c>
      <c r="I606" s="545">
        <f t="shared" si="19"/>
        <v>5.75</v>
      </c>
      <c r="J606" s="546">
        <f t="shared" si="18"/>
        <v>6.61</v>
      </c>
    </row>
    <row r="607" spans="1:10" ht="39" customHeight="1" x14ac:dyDescent="0.2">
      <c r="A607" s="543" t="s">
        <v>1157</v>
      </c>
      <c r="B607" s="1565" t="s">
        <v>1116</v>
      </c>
      <c r="C607" s="1565"/>
      <c r="D607" s="543" t="s">
        <v>2325</v>
      </c>
      <c r="E607" s="1565" t="s">
        <v>2326</v>
      </c>
      <c r="F607" s="1565"/>
      <c r="G607" s="544" t="s">
        <v>1878</v>
      </c>
      <c r="H607" s="545">
        <v>30.52</v>
      </c>
      <c r="I607" s="545">
        <f t="shared" si="19"/>
        <v>30.52</v>
      </c>
      <c r="J607" s="546">
        <f t="shared" si="18"/>
        <v>35.08</v>
      </c>
    </row>
    <row r="608" spans="1:10" ht="39" customHeight="1" x14ac:dyDescent="0.2">
      <c r="A608" s="543" t="s">
        <v>1157</v>
      </c>
      <c r="B608" s="1565" t="s">
        <v>1116</v>
      </c>
      <c r="C608" s="1565"/>
      <c r="D608" s="543" t="s">
        <v>2327</v>
      </c>
      <c r="E608" s="1565" t="s">
        <v>2328</v>
      </c>
      <c r="F608" s="1565"/>
      <c r="G608" s="544" t="s">
        <v>646</v>
      </c>
      <c r="H608" s="545">
        <v>158.61000000000001</v>
      </c>
      <c r="I608" s="545">
        <f t="shared" si="19"/>
        <v>158.61000000000001</v>
      </c>
      <c r="J608" s="546">
        <f t="shared" si="18"/>
        <v>182.33</v>
      </c>
    </row>
    <row r="609" spans="1:10" ht="39" customHeight="1" x14ac:dyDescent="0.2">
      <c r="A609" s="543" t="s">
        <v>1157</v>
      </c>
      <c r="B609" s="1565" t="s">
        <v>1116</v>
      </c>
      <c r="C609" s="1565"/>
      <c r="D609" s="543" t="s">
        <v>2329</v>
      </c>
      <c r="E609" s="1565" t="s">
        <v>2330</v>
      </c>
      <c r="F609" s="1565"/>
      <c r="G609" s="544" t="s">
        <v>1774</v>
      </c>
      <c r="H609" s="545">
        <v>88.53</v>
      </c>
      <c r="I609" s="545">
        <f t="shared" si="19"/>
        <v>88.53</v>
      </c>
      <c r="J609" s="546">
        <f t="shared" si="18"/>
        <v>101.77</v>
      </c>
    </row>
    <row r="610" spans="1:10" ht="39" customHeight="1" x14ac:dyDescent="0.2">
      <c r="A610" s="543" t="s">
        <v>1157</v>
      </c>
      <c r="B610" s="1565" t="s">
        <v>1116</v>
      </c>
      <c r="C610" s="1565"/>
      <c r="D610" s="543" t="s">
        <v>2331</v>
      </c>
      <c r="E610" s="1565" t="s">
        <v>2332</v>
      </c>
      <c r="F610" s="1565"/>
      <c r="G610" s="544" t="s">
        <v>646</v>
      </c>
      <c r="H610" s="545">
        <v>51.88</v>
      </c>
      <c r="I610" s="545">
        <f t="shared" si="19"/>
        <v>51.88</v>
      </c>
      <c r="J610" s="546">
        <f t="shared" si="18"/>
        <v>59.64</v>
      </c>
    </row>
    <row r="611" spans="1:10" ht="39" customHeight="1" x14ac:dyDescent="0.2">
      <c r="A611" s="543" t="s">
        <v>1157</v>
      </c>
      <c r="B611" s="1565" t="s">
        <v>1116</v>
      </c>
      <c r="C611" s="1565"/>
      <c r="D611" s="543" t="s">
        <v>2333</v>
      </c>
      <c r="E611" s="1565" t="s">
        <v>2334</v>
      </c>
      <c r="F611" s="1565"/>
      <c r="G611" s="544" t="s">
        <v>1181</v>
      </c>
      <c r="H611" s="545">
        <v>19.75</v>
      </c>
      <c r="I611" s="545">
        <f t="shared" si="19"/>
        <v>19.75</v>
      </c>
      <c r="J611" s="546">
        <f t="shared" si="18"/>
        <v>22.7</v>
      </c>
    </row>
    <row r="612" spans="1:10" ht="39" customHeight="1" x14ac:dyDescent="0.2">
      <c r="A612" s="543" t="s">
        <v>1157</v>
      </c>
      <c r="B612" s="1565" t="s">
        <v>1116</v>
      </c>
      <c r="C612" s="1565"/>
      <c r="D612" s="543" t="s">
        <v>2335</v>
      </c>
      <c r="E612" s="1565" t="s">
        <v>2336</v>
      </c>
      <c r="F612" s="1565"/>
      <c r="G612" s="544" t="s">
        <v>1191</v>
      </c>
      <c r="H612" s="545">
        <v>4.57</v>
      </c>
      <c r="I612" s="545">
        <f t="shared" si="19"/>
        <v>4.57</v>
      </c>
      <c r="J612" s="546">
        <f t="shared" si="18"/>
        <v>5.25</v>
      </c>
    </row>
    <row r="613" spans="1:10" ht="39" customHeight="1" x14ac:dyDescent="0.2">
      <c r="A613" s="543" t="s">
        <v>1157</v>
      </c>
      <c r="B613" s="1565" t="s">
        <v>1116</v>
      </c>
      <c r="C613" s="1565"/>
      <c r="D613" s="543" t="s">
        <v>2337</v>
      </c>
      <c r="E613" s="1565" t="s">
        <v>2338</v>
      </c>
      <c r="F613" s="1565"/>
      <c r="G613" s="544" t="s">
        <v>1191</v>
      </c>
      <c r="H613" s="545">
        <v>8.7899999999999991</v>
      </c>
      <c r="I613" s="545">
        <f t="shared" si="19"/>
        <v>8.7899999999999991</v>
      </c>
      <c r="J613" s="546">
        <f t="shared" si="18"/>
        <v>10.1</v>
      </c>
    </row>
    <row r="614" spans="1:10" ht="39" customHeight="1" x14ac:dyDescent="0.2">
      <c r="A614" s="543" t="s">
        <v>1157</v>
      </c>
      <c r="B614" s="1565" t="s">
        <v>1116</v>
      </c>
      <c r="C614" s="1565"/>
      <c r="D614" s="543" t="s">
        <v>2339</v>
      </c>
      <c r="E614" s="1565" t="s">
        <v>2340</v>
      </c>
      <c r="F614" s="1565"/>
      <c r="G614" s="544" t="s">
        <v>646</v>
      </c>
      <c r="H614" s="545">
        <v>128.97</v>
      </c>
      <c r="I614" s="545">
        <f t="shared" si="19"/>
        <v>128.97</v>
      </c>
      <c r="J614" s="546">
        <f t="shared" si="18"/>
        <v>148.26</v>
      </c>
    </row>
    <row r="615" spans="1:10" ht="39" customHeight="1" x14ac:dyDescent="0.2">
      <c r="A615" s="543" t="s">
        <v>1157</v>
      </c>
      <c r="B615" s="1565" t="s">
        <v>1116</v>
      </c>
      <c r="C615" s="1565"/>
      <c r="D615" s="543" t="s">
        <v>2341</v>
      </c>
      <c r="E615" s="1565" t="s">
        <v>2342</v>
      </c>
      <c r="F615" s="1565"/>
      <c r="G615" s="544" t="s">
        <v>1181</v>
      </c>
      <c r="H615" s="545">
        <v>21.68</v>
      </c>
      <c r="I615" s="545">
        <f t="shared" si="19"/>
        <v>21.68</v>
      </c>
      <c r="J615" s="546">
        <f t="shared" si="18"/>
        <v>24.92</v>
      </c>
    </row>
    <row r="616" spans="1:10" ht="39" customHeight="1" x14ac:dyDescent="0.2">
      <c r="A616" s="543" t="s">
        <v>1157</v>
      </c>
      <c r="B616" s="1565" t="s">
        <v>1116</v>
      </c>
      <c r="C616" s="1565"/>
      <c r="D616" s="543" t="s">
        <v>2343</v>
      </c>
      <c r="E616" s="1565" t="s">
        <v>2344</v>
      </c>
      <c r="F616" s="1565"/>
      <c r="G616" s="544" t="s">
        <v>1191</v>
      </c>
      <c r="H616" s="545">
        <v>93.41</v>
      </c>
      <c r="I616" s="545">
        <f t="shared" si="19"/>
        <v>93.41</v>
      </c>
      <c r="J616" s="546">
        <f t="shared" si="18"/>
        <v>107.38</v>
      </c>
    </row>
    <row r="617" spans="1:10" ht="39" customHeight="1" x14ac:dyDescent="0.2">
      <c r="A617" s="543" t="s">
        <v>1157</v>
      </c>
      <c r="B617" s="1565" t="s">
        <v>1116</v>
      </c>
      <c r="C617" s="1565"/>
      <c r="D617" s="543" t="s">
        <v>2345</v>
      </c>
      <c r="E617" s="1565" t="s">
        <v>2346</v>
      </c>
      <c r="F617" s="1565"/>
      <c r="G617" s="544" t="s">
        <v>646</v>
      </c>
      <c r="H617" s="545">
        <v>33.35</v>
      </c>
      <c r="I617" s="545">
        <f t="shared" si="19"/>
        <v>33.35</v>
      </c>
      <c r="J617" s="546">
        <f t="shared" si="18"/>
        <v>38.33</v>
      </c>
    </row>
    <row r="618" spans="1:10" ht="39" customHeight="1" x14ac:dyDescent="0.2">
      <c r="A618" s="543" t="s">
        <v>1157</v>
      </c>
      <c r="B618" s="1565" t="s">
        <v>1116</v>
      </c>
      <c r="C618" s="1565"/>
      <c r="D618" s="543" t="s">
        <v>2347</v>
      </c>
      <c r="E618" s="1565" t="s">
        <v>2348</v>
      </c>
      <c r="F618" s="1565"/>
      <c r="G618" s="544" t="s">
        <v>646</v>
      </c>
      <c r="H618" s="545">
        <v>14.72</v>
      </c>
      <c r="I618" s="545">
        <f t="shared" si="19"/>
        <v>14.72</v>
      </c>
      <c r="J618" s="546">
        <f t="shared" si="18"/>
        <v>16.920000000000002</v>
      </c>
    </row>
    <row r="619" spans="1:10" ht="39" customHeight="1" x14ac:dyDescent="0.2">
      <c r="A619" s="543" t="s">
        <v>1157</v>
      </c>
      <c r="B619" s="1565" t="s">
        <v>1116</v>
      </c>
      <c r="C619" s="1565"/>
      <c r="D619" s="543" t="s">
        <v>2349</v>
      </c>
      <c r="E619" s="1565" t="s">
        <v>2350</v>
      </c>
      <c r="F619" s="1565"/>
      <c r="G619" s="544" t="s">
        <v>646</v>
      </c>
      <c r="H619" s="545">
        <v>22.45</v>
      </c>
      <c r="I619" s="545">
        <f t="shared" si="19"/>
        <v>22.45</v>
      </c>
      <c r="J619" s="546">
        <f t="shared" si="18"/>
        <v>25.8</v>
      </c>
    </row>
    <row r="620" spans="1:10" ht="39" customHeight="1" x14ac:dyDescent="0.2">
      <c r="A620" s="543" t="s">
        <v>1157</v>
      </c>
      <c r="B620" s="1565" t="s">
        <v>1116</v>
      </c>
      <c r="C620" s="1565"/>
      <c r="D620" s="543" t="s">
        <v>2351</v>
      </c>
      <c r="E620" s="1565" t="s">
        <v>2352</v>
      </c>
      <c r="F620" s="1565"/>
      <c r="G620" s="544" t="s">
        <v>1161</v>
      </c>
      <c r="H620" s="545">
        <v>34.03</v>
      </c>
      <c r="I620" s="545">
        <f t="shared" si="19"/>
        <v>34.03</v>
      </c>
      <c r="J620" s="546">
        <f t="shared" si="18"/>
        <v>39.119999999999997</v>
      </c>
    </row>
    <row r="621" spans="1:10" ht="39" customHeight="1" x14ac:dyDescent="0.2">
      <c r="A621" s="543" t="s">
        <v>1157</v>
      </c>
      <c r="B621" s="1565" t="s">
        <v>1116</v>
      </c>
      <c r="C621" s="1565"/>
      <c r="D621" s="543" t="s">
        <v>2353</v>
      </c>
      <c r="E621" s="1565" t="s">
        <v>2354</v>
      </c>
      <c r="F621" s="1565"/>
      <c r="G621" s="544" t="s">
        <v>1161</v>
      </c>
      <c r="H621" s="545">
        <v>392.67</v>
      </c>
      <c r="I621" s="545">
        <f t="shared" si="19"/>
        <v>392.67</v>
      </c>
      <c r="J621" s="546">
        <f t="shared" si="18"/>
        <v>451.41</v>
      </c>
    </row>
    <row r="622" spans="1:10" ht="39" customHeight="1" x14ac:dyDescent="0.2">
      <c r="A622" s="543" t="s">
        <v>1157</v>
      </c>
      <c r="B622" s="1565" t="s">
        <v>1116</v>
      </c>
      <c r="C622" s="1565"/>
      <c r="D622" s="543" t="s">
        <v>2355</v>
      </c>
      <c r="E622" s="1565" t="s">
        <v>2356</v>
      </c>
      <c r="F622" s="1565"/>
      <c r="G622" s="544" t="s">
        <v>646</v>
      </c>
      <c r="H622" s="545">
        <v>2.61</v>
      </c>
      <c r="I622" s="545">
        <f t="shared" si="19"/>
        <v>2.61</v>
      </c>
      <c r="J622" s="546">
        <f t="shared" si="18"/>
        <v>3</v>
      </c>
    </row>
    <row r="623" spans="1:10" ht="39" customHeight="1" x14ac:dyDescent="0.2">
      <c r="A623" s="543" t="s">
        <v>1157</v>
      </c>
      <c r="B623" s="1565" t="s">
        <v>1116</v>
      </c>
      <c r="C623" s="1565"/>
      <c r="D623" s="543" t="s">
        <v>2357</v>
      </c>
      <c r="E623" s="1565" t="s">
        <v>2358</v>
      </c>
      <c r="F623" s="1565"/>
      <c r="G623" s="544" t="s">
        <v>646</v>
      </c>
      <c r="H623" s="545">
        <v>8.8800000000000008</v>
      </c>
      <c r="I623" s="545">
        <f t="shared" si="19"/>
        <v>8.8800000000000008</v>
      </c>
      <c r="J623" s="546">
        <f t="shared" si="18"/>
        <v>10.199999999999999</v>
      </c>
    </row>
    <row r="624" spans="1:10" ht="39" customHeight="1" x14ac:dyDescent="0.2">
      <c r="A624" s="543" t="s">
        <v>1157</v>
      </c>
      <c r="B624" s="1565" t="s">
        <v>1116</v>
      </c>
      <c r="C624" s="1565"/>
      <c r="D624" s="543" t="s">
        <v>2359</v>
      </c>
      <c r="E624" s="1565" t="s">
        <v>2360</v>
      </c>
      <c r="F624" s="1565"/>
      <c r="G624" s="544" t="s">
        <v>646</v>
      </c>
      <c r="H624" s="545">
        <v>14.15</v>
      </c>
      <c r="I624" s="545">
        <f t="shared" si="19"/>
        <v>14.15</v>
      </c>
      <c r="J624" s="546">
        <f t="shared" si="18"/>
        <v>16.260000000000002</v>
      </c>
    </row>
    <row r="625" spans="1:10" ht="39" customHeight="1" x14ac:dyDescent="0.2">
      <c r="A625" s="543" t="s">
        <v>1157</v>
      </c>
      <c r="B625" s="1565" t="s">
        <v>1116</v>
      </c>
      <c r="C625" s="1565"/>
      <c r="D625" s="543" t="s">
        <v>2361</v>
      </c>
      <c r="E625" s="1565" t="s">
        <v>2362</v>
      </c>
      <c r="F625" s="1565"/>
      <c r="G625" s="544" t="s">
        <v>2233</v>
      </c>
      <c r="H625" s="545">
        <v>35.979999999999997</v>
      </c>
      <c r="I625" s="545">
        <f t="shared" si="19"/>
        <v>35.979999999999997</v>
      </c>
      <c r="J625" s="546">
        <f t="shared" si="18"/>
        <v>41.36</v>
      </c>
    </row>
    <row r="626" spans="1:10" ht="39" customHeight="1" x14ac:dyDescent="0.2">
      <c r="A626" s="543" t="s">
        <v>1157</v>
      </c>
      <c r="B626" s="1565" t="s">
        <v>1116</v>
      </c>
      <c r="C626" s="1565"/>
      <c r="D626" s="543" t="s">
        <v>2363</v>
      </c>
      <c r="E626" s="1565" t="s">
        <v>2364</v>
      </c>
      <c r="F626" s="1565"/>
      <c r="G626" s="544" t="s">
        <v>2233</v>
      </c>
      <c r="H626" s="545">
        <v>61.68</v>
      </c>
      <c r="I626" s="545">
        <f t="shared" si="19"/>
        <v>61.68</v>
      </c>
      <c r="J626" s="546">
        <f t="shared" si="18"/>
        <v>70.900000000000006</v>
      </c>
    </row>
    <row r="627" spans="1:10" ht="39" customHeight="1" x14ac:dyDescent="0.2">
      <c r="A627" s="543" t="s">
        <v>1157</v>
      </c>
      <c r="B627" s="1565" t="s">
        <v>1116</v>
      </c>
      <c r="C627" s="1565"/>
      <c r="D627" s="543" t="s">
        <v>2365</v>
      </c>
      <c r="E627" s="1565" t="s">
        <v>2366</v>
      </c>
      <c r="F627" s="1565"/>
      <c r="G627" s="544" t="s">
        <v>646</v>
      </c>
      <c r="H627" s="545">
        <v>7.23</v>
      </c>
      <c r="I627" s="545">
        <f t="shared" si="19"/>
        <v>7.23</v>
      </c>
      <c r="J627" s="546">
        <f t="shared" si="18"/>
        <v>8.31</v>
      </c>
    </row>
    <row r="628" spans="1:10" ht="39" customHeight="1" x14ac:dyDescent="0.2">
      <c r="A628" s="543" t="s">
        <v>1157</v>
      </c>
      <c r="B628" s="1565" t="s">
        <v>1116</v>
      </c>
      <c r="C628" s="1565"/>
      <c r="D628" s="543" t="s">
        <v>2367</v>
      </c>
      <c r="E628" s="1565" t="s">
        <v>2368</v>
      </c>
      <c r="F628" s="1565"/>
      <c r="G628" s="544" t="s">
        <v>646</v>
      </c>
      <c r="H628" s="545">
        <v>20.190000000000001</v>
      </c>
      <c r="I628" s="545">
        <f t="shared" si="19"/>
        <v>20.190000000000001</v>
      </c>
      <c r="J628" s="546">
        <f t="shared" si="18"/>
        <v>23.21</v>
      </c>
    </row>
    <row r="629" spans="1:10" ht="39" customHeight="1" x14ac:dyDescent="0.2">
      <c r="A629" s="543" t="s">
        <v>1157</v>
      </c>
      <c r="B629" s="1565" t="s">
        <v>1116</v>
      </c>
      <c r="C629" s="1565"/>
      <c r="D629" s="543" t="s">
        <v>2369</v>
      </c>
      <c r="E629" s="1565" t="s">
        <v>2370</v>
      </c>
      <c r="F629" s="1565"/>
      <c r="G629" s="544" t="s">
        <v>646</v>
      </c>
      <c r="H629" s="545">
        <v>16.5</v>
      </c>
      <c r="I629" s="545">
        <f t="shared" si="19"/>
        <v>16.5</v>
      </c>
      <c r="J629" s="546">
        <f t="shared" si="18"/>
        <v>18.96</v>
      </c>
    </row>
    <row r="630" spans="1:10" ht="39" customHeight="1" x14ac:dyDescent="0.2">
      <c r="A630" s="543" t="s">
        <v>1157</v>
      </c>
      <c r="B630" s="1565" t="s">
        <v>1116</v>
      </c>
      <c r="C630" s="1565"/>
      <c r="D630" s="543" t="s">
        <v>2371</v>
      </c>
      <c r="E630" s="1565" t="s">
        <v>2372</v>
      </c>
      <c r="F630" s="1565"/>
      <c r="G630" s="544" t="s">
        <v>646</v>
      </c>
      <c r="H630" s="545">
        <v>23.52</v>
      </c>
      <c r="I630" s="545">
        <f t="shared" si="19"/>
        <v>23.52</v>
      </c>
      <c r="J630" s="546">
        <f t="shared" si="18"/>
        <v>27.03</v>
      </c>
    </row>
    <row r="631" spans="1:10" ht="39" customHeight="1" x14ac:dyDescent="0.2">
      <c r="A631" s="543" t="s">
        <v>1157</v>
      </c>
      <c r="B631" s="1565" t="s">
        <v>1116</v>
      </c>
      <c r="C631" s="1565"/>
      <c r="D631" s="543" t="s">
        <v>2373</v>
      </c>
      <c r="E631" s="1565" t="s">
        <v>2374</v>
      </c>
      <c r="F631" s="1565"/>
      <c r="G631" s="544" t="s">
        <v>1191</v>
      </c>
      <c r="H631" s="545">
        <v>6</v>
      </c>
      <c r="I631" s="545">
        <f t="shared" si="19"/>
        <v>6</v>
      </c>
      <c r="J631" s="546">
        <f t="shared" si="18"/>
        <v>6.89</v>
      </c>
    </row>
    <row r="632" spans="1:10" ht="39" customHeight="1" x14ac:dyDescent="0.2">
      <c r="A632" s="543" t="s">
        <v>1157</v>
      </c>
      <c r="B632" s="1565" t="s">
        <v>1116</v>
      </c>
      <c r="C632" s="1565"/>
      <c r="D632" s="543" t="s">
        <v>2375</v>
      </c>
      <c r="E632" s="1565" t="s">
        <v>2376</v>
      </c>
      <c r="F632" s="1565"/>
      <c r="G632" s="544" t="s">
        <v>646</v>
      </c>
      <c r="H632" s="545">
        <v>1.75</v>
      </c>
      <c r="I632" s="545">
        <f t="shared" si="19"/>
        <v>1.75</v>
      </c>
      <c r="J632" s="546">
        <f t="shared" si="18"/>
        <v>2.0099999999999998</v>
      </c>
    </row>
    <row r="633" spans="1:10" ht="39" customHeight="1" x14ac:dyDescent="0.2">
      <c r="A633" s="543" t="s">
        <v>1157</v>
      </c>
      <c r="B633" s="1565" t="s">
        <v>1116</v>
      </c>
      <c r="C633" s="1565"/>
      <c r="D633" s="543" t="s">
        <v>2377</v>
      </c>
      <c r="E633" s="1565" t="s">
        <v>2378</v>
      </c>
      <c r="F633" s="1565"/>
      <c r="G633" s="544" t="s">
        <v>1191</v>
      </c>
      <c r="H633" s="545">
        <v>4.6399999999999997</v>
      </c>
      <c r="I633" s="545">
        <f t="shared" si="19"/>
        <v>4.6399999999999997</v>
      </c>
      <c r="J633" s="546">
        <f t="shared" si="18"/>
        <v>5.33</v>
      </c>
    </row>
    <row r="634" spans="1:10" ht="39" customHeight="1" x14ac:dyDescent="0.2">
      <c r="A634" s="543" t="s">
        <v>1157</v>
      </c>
      <c r="B634" s="1565" t="s">
        <v>1116</v>
      </c>
      <c r="C634" s="1565"/>
      <c r="D634" s="543" t="s">
        <v>2379</v>
      </c>
      <c r="E634" s="1565" t="s">
        <v>2380</v>
      </c>
      <c r="F634" s="1565"/>
      <c r="G634" s="544" t="s">
        <v>1191</v>
      </c>
      <c r="H634" s="545">
        <v>6.31</v>
      </c>
      <c r="I634" s="545">
        <f t="shared" si="19"/>
        <v>6.31</v>
      </c>
      <c r="J634" s="546">
        <f t="shared" si="18"/>
        <v>7.25</v>
      </c>
    </row>
    <row r="635" spans="1:10" ht="39" customHeight="1" x14ac:dyDescent="0.2">
      <c r="A635" s="543" t="s">
        <v>1157</v>
      </c>
      <c r="B635" s="1565" t="s">
        <v>1116</v>
      </c>
      <c r="C635" s="1565"/>
      <c r="D635" s="543" t="s">
        <v>2381</v>
      </c>
      <c r="E635" s="1565" t="s">
        <v>2382</v>
      </c>
      <c r="F635" s="1565"/>
      <c r="G635" s="544" t="s">
        <v>1191</v>
      </c>
      <c r="H635" s="545">
        <v>7.16</v>
      </c>
      <c r="I635" s="545">
        <f t="shared" si="19"/>
        <v>7.16</v>
      </c>
      <c r="J635" s="546">
        <f t="shared" si="18"/>
        <v>8.23</v>
      </c>
    </row>
    <row r="636" spans="1:10" ht="39" customHeight="1" x14ac:dyDescent="0.2">
      <c r="A636" s="543" t="s">
        <v>1157</v>
      </c>
      <c r="B636" s="1565" t="s">
        <v>1116</v>
      </c>
      <c r="C636" s="1565"/>
      <c r="D636" s="543" t="s">
        <v>2383</v>
      </c>
      <c r="E636" s="1565" t="s">
        <v>2384</v>
      </c>
      <c r="F636" s="1565"/>
      <c r="G636" s="544" t="s">
        <v>1191</v>
      </c>
      <c r="H636" s="545">
        <v>5.89</v>
      </c>
      <c r="I636" s="545">
        <f t="shared" si="19"/>
        <v>5.89</v>
      </c>
      <c r="J636" s="546">
        <f t="shared" si="18"/>
        <v>6.77</v>
      </c>
    </row>
    <row r="637" spans="1:10" ht="39" customHeight="1" x14ac:dyDescent="0.2">
      <c r="A637" s="543" t="s">
        <v>1157</v>
      </c>
      <c r="B637" s="1565" t="s">
        <v>1116</v>
      </c>
      <c r="C637" s="1565"/>
      <c r="D637" s="543" t="s">
        <v>2385</v>
      </c>
      <c r="E637" s="1565" t="s">
        <v>2386</v>
      </c>
      <c r="F637" s="1565"/>
      <c r="G637" s="544" t="s">
        <v>1191</v>
      </c>
      <c r="H637" s="545">
        <v>4.5</v>
      </c>
      <c r="I637" s="545">
        <f t="shared" si="19"/>
        <v>4.5</v>
      </c>
      <c r="J637" s="546">
        <f t="shared" si="18"/>
        <v>5.17</v>
      </c>
    </row>
    <row r="638" spans="1:10" ht="39" customHeight="1" x14ac:dyDescent="0.2">
      <c r="A638" s="543" t="s">
        <v>1157</v>
      </c>
      <c r="B638" s="1565" t="s">
        <v>1116</v>
      </c>
      <c r="C638" s="1565"/>
      <c r="D638" s="543" t="s">
        <v>2387</v>
      </c>
      <c r="E638" s="1565" t="s">
        <v>2388</v>
      </c>
      <c r="F638" s="1565"/>
      <c r="G638" s="544" t="s">
        <v>1191</v>
      </c>
      <c r="H638" s="545">
        <v>7.68</v>
      </c>
      <c r="I638" s="545">
        <f t="shared" si="19"/>
        <v>7.68</v>
      </c>
      <c r="J638" s="546">
        <f t="shared" si="18"/>
        <v>8.82</v>
      </c>
    </row>
    <row r="639" spans="1:10" ht="39" customHeight="1" x14ac:dyDescent="0.2">
      <c r="A639" s="543" t="s">
        <v>1157</v>
      </c>
      <c r="B639" s="1565" t="s">
        <v>1116</v>
      </c>
      <c r="C639" s="1565"/>
      <c r="D639" s="543" t="s">
        <v>2389</v>
      </c>
      <c r="E639" s="1565" t="s">
        <v>2390</v>
      </c>
      <c r="F639" s="1565"/>
      <c r="G639" s="544" t="s">
        <v>646</v>
      </c>
      <c r="H639" s="545">
        <v>69.44</v>
      </c>
      <c r="I639" s="545">
        <f t="shared" si="19"/>
        <v>69.44</v>
      </c>
      <c r="J639" s="546">
        <f t="shared" si="18"/>
        <v>79.819999999999993</v>
      </c>
    </row>
    <row r="640" spans="1:10" ht="39" customHeight="1" x14ac:dyDescent="0.2">
      <c r="A640" s="543" t="s">
        <v>1157</v>
      </c>
      <c r="B640" s="1565" t="s">
        <v>1116</v>
      </c>
      <c r="C640" s="1565"/>
      <c r="D640" s="543" t="s">
        <v>2391</v>
      </c>
      <c r="E640" s="1565" t="s">
        <v>2392</v>
      </c>
      <c r="F640" s="1565"/>
      <c r="G640" s="544" t="s">
        <v>646</v>
      </c>
      <c r="H640" s="545">
        <v>48.44</v>
      </c>
      <c r="I640" s="545">
        <f t="shared" si="19"/>
        <v>48.44</v>
      </c>
      <c r="J640" s="546">
        <f t="shared" si="18"/>
        <v>55.68</v>
      </c>
    </row>
    <row r="641" spans="1:10" ht="39" customHeight="1" x14ac:dyDescent="0.2">
      <c r="A641" s="543" t="s">
        <v>1157</v>
      </c>
      <c r="B641" s="1565" t="s">
        <v>1116</v>
      </c>
      <c r="C641" s="1565"/>
      <c r="D641" s="543" t="s">
        <v>2393</v>
      </c>
      <c r="E641" s="1565" t="s">
        <v>2394</v>
      </c>
      <c r="F641" s="1565"/>
      <c r="G641" s="544" t="s">
        <v>646</v>
      </c>
      <c r="H641" s="545">
        <v>0.21</v>
      </c>
      <c r="I641" s="545">
        <f t="shared" si="19"/>
        <v>0.21</v>
      </c>
      <c r="J641" s="546">
        <f t="shared" si="18"/>
        <v>0.24</v>
      </c>
    </row>
    <row r="642" spans="1:10" ht="39" customHeight="1" x14ac:dyDescent="0.2">
      <c r="A642" s="543" t="s">
        <v>1157</v>
      </c>
      <c r="B642" s="1565" t="s">
        <v>1116</v>
      </c>
      <c r="C642" s="1565"/>
      <c r="D642" s="543" t="s">
        <v>2395</v>
      </c>
      <c r="E642" s="1565" t="s">
        <v>2396</v>
      </c>
      <c r="F642" s="1565"/>
      <c r="G642" s="544" t="s">
        <v>1161</v>
      </c>
      <c r="H642" s="545">
        <v>136.97</v>
      </c>
      <c r="I642" s="545">
        <f t="shared" si="19"/>
        <v>136.97</v>
      </c>
      <c r="J642" s="546">
        <f t="shared" si="18"/>
        <v>157.46</v>
      </c>
    </row>
    <row r="643" spans="1:10" ht="39" customHeight="1" x14ac:dyDescent="0.2">
      <c r="A643" s="543" t="s">
        <v>1157</v>
      </c>
      <c r="B643" s="1565" t="s">
        <v>1116</v>
      </c>
      <c r="C643" s="1565"/>
      <c r="D643" s="543" t="s">
        <v>2397</v>
      </c>
      <c r="E643" s="1565" t="s">
        <v>2398</v>
      </c>
      <c r="F643" s="1565"/>
      <c r="G643" s="544" t="s">
        <v>1161</v>
      </c>
      <c r="H643" s="545">
        <v>160.24</v>
      </c>
      <c r="I643" s="545">
        <f t="shared" si="19"/>
        <v>160.24</v>
      </c>
      <c r="J643" s="546">
        <f t="shared" si="18"/>
        <v>184.21</v>
      </c>
    </row>
    <row r="644" spans="1:10" ht="39" customHeight="1" x14ac:dyDescent="0.2">
      <c r="A644" s="543" t="s">
        <v>1157</v>
      </c>
      <c r="B644" s="1565" t="s">
        <v>1116</v>
      </c>
      <c r="C644" s="1565"/>
      <c r="D644" s="543" t="s">
        <v>2399</v>
      </c>
      <c r="E644" s="1565" t="s">
        <v>2400</v>
      </c>
      <c r="F644" s="1565"/>
      <c r="G644" s="544" t="s">
        <v>646</v>
      </c>
      <c r="H644" s="545">
        <v>63.45</v>
      </c>
      <c r="I644" s="545">
        <f t="shared" si="19"/>
        <v>63.45</v>
      </c>
      <c r="J644" s="546">
        <f t="shared" si="18"/>
        <v>72.94</v>
      </c>
    </row>
    <row r="645" spans="1:10" ht="39" customHeight="1" x14ac:dyDescent="0.2">
      <c r="A645" s="543" t="s">
        <v>1157</v>
      </c>
      <c r="B645" s="1565" t="s">
        <v>1116</v>
      </c>
      <c r="C645" s="1565"/>
      <c r="D645" s="543" t="s">
        <v>2401</v>
      </c>
      <c r="E645" s="1565" t="s">
        <v>2402</v>
      </c>
      <c r="F645" s="1565"/>
      <c r="G645" s="544" t="s">
        <v>646</v>
      </c>
      <c r="H645" s="545">
        <v>53.49</v>
      </c>
      <c r="I645" s="545">
        <f t="shared" si="19"/>
        <v>53.49</v>
      </c>
      <c r="J645" s="546">
        <f t="shared" si="18"/>
        <v>61.49</v>
      </c>
    </row>
    <row r="646" spans="1:10" ht="39" customHeight="1" x14ac:dyDescent="0.2">
      <c r="A646" s="543" t="s">
        <v>1157</v>
      </c>
      <c r="B646" s="1565" t="s">
        <v>1116</v>
      </c>
      <c r="C646" s="1565"/>
      <c r="D646" s="543" t="s">
        <v>2403</v>
      </c>
      <c r="E646" s="1565" t="s">
        <v>2404</v>
      </c>
      <c r="F646" s="1565"/>
      <c r="G646" s="544" t="s">
        <v>1191</v>
      </c>
      <c r="H646" s="545">
        <v>52.63</v>
      </c>
      <c r="I646" s="545">
        <f t="shared" si="19"/>
        <v>52.63</v>
      </c>
      <c r="J646" s="546">
        <f t="shared" si="18"/>
        <v>60.5</v>
      </c>
    </row>
    <row r="647" spans="1:10" ht="39" customHeight="1" x14ac:dyDescent="0.2">
      <c r="A647" s="543" t="s">
        <v>1157</v>
      </c>
      <c r="B647" s="1565" t="s">
        <v>1116</v>
      </c>
      <c r="C647" s="1565"/>
      <c r="D647" s="543" t="s">
        <v>2405</v>
      </c>
      <c r="E647" s="1565" t="s">
        <v>2406</v>
      </c>
      <c r="F647" s="1565"/>
      <c r="G647" s="544" t="s">
        <v>1191</v>
      </c>
      <c r="H647" s="545">
        <v>90.48</v>
      </c>
      <c r="I647" s="545">
        <f t="shared" si="19"/>
        <v>90.48</v>
      </c>
      <c r="J647" s="546">
        <f t="shared" si="18"/>
        <v>104.01</v>
      </c>
    </row>
    <row r="648" spans="1:10" ht="39" customHeight="1" x14ac:dyDescent="0.2">
      <c r="A648" s="543" t="s">
        <v>1157</v>
      </c>
      <c r="B648" s="1565" t="s">
        <v>1116</v>
      </c>
      <c r="C648" s="1565"/>
      <c r="D648" s="543" t="s">
        <v>2407</v>
      </c>
      <c r="E648" s="1565" t="s">
        <v>2408</v>
      </c>
      <c r="F648" s="1565"/>
      <c r="G648" s="544" t="s">
        <v>1191</v>
      </c>
      <c r="H648" s="545">
        <v>7.39</v>
      </c>
      <c r="I648" s="545">
        <f t="shared" si="19"/>
        <v>7.39</v>
      </c>
      <c r="J648" s="546">
        <f t="shared" si="18"/>
        <v>8.49</v>
      </c>
    </row>
    <row r="649" spans="1:10" ht="39" customHeight="1" x14ac:dyDescent="0.2">
      <c r="A649" s="543" t="s">
        <v>1157</v>
      </c>
      <c r="B649" s="1565" t="s">
        <v>1116</v>
      </c>
      <c r="C649" s="1565"/>
      <c r="D649" s="543" t="s">
        <v>2409</v>
      </c>
      <c r="E649" s="1565" t="s">
        <v>2410</v>
      </c>
      <c r="F649" s="1565"/>
      <c r="G649" s="544" t="s">
        <v>646</v>
      </c>
      <c r="H649" s="545">
        <v>30.81</v>
      </c>
      <c r="I649" s="545">
        <f t="shared" si="19"/>
        <v>30.81</v>
      </c>
      <c r="J649" s="546">
        <f t="shared" si="18"/>
        <v>35.409999999999997</v>
      </c>
    </row>
    <row r="650" spans="1:10" ht="39" customHeight="1" x14ac:dyDescent="0.2">
      <c r="A650" s="543" t="s">
        <v>1157</v>
      </c>
      <c r="B650" s="1565" t="s">
        <v>1116</v>
      </c>
      <c r="C650" s="1565"/>
      <c r="D650" s="543" t="s">
        <v>2411</v>
      </c>
      <c r="E650" s="1565" t="s">
        <v>2412</v>
      </c>
      <c r="F650" s="1565"/>
      <c r="G650" s="544" t="s">
        <v>646</v>
      </c>
      <c r="H650" s="545">
        <v>3.28</v>
      </c>
      <c r="I650" s="545">
        <f t="shared" si="19"/>
        <v>3.28</v>
      </c>
      <c r="J650" s="546">
        <f t="shared" si="18"/>
        <v>3.77</v>
      </c>
    </row>
    <row r="651" spans="1:10" ht="39" customHeight="1" x14ac:dyDescent="0.2">
      <c r="A651" s="543" t="s">
        <v>1157</v>
      </c>
      <c r="B651" s="1565" t="s">
        <v>1116</v>
      </c>
      <c r="C651" s="1565"/>
      <c r="D651" s="543" t="s">
        <v>2413</v>
      </c>
      <c r="E651" s="1565" t="s">
        <v>2414</v>
      </c>
      <c r="F651" s="1565"/>
      <c r="G651" s="544" t="s">
        <v>646</v>
      </c>
      <c r="H651" s="545">
        <v>31.59</v>
      </c>
      <c r="I651" s="545">
        <f t="shared" si="19"/>
        <v>31.59</v>
      </c>
      <c r="J651" s="546">
        <f t="shared" si="18"/>
        <v>36.31</v>
      </c>
    </row>
    <row r="652" spans="1:10" ht="39" customHeight="1" x14ac:dyDescent="0.2">
      <c r="A652" s="543" t="s">
        <v>1157</v>
      </c>
      <c r="B652" s="1565" t="s">
        <v>1116</v>
      </c>
      <c r="C652" s="1565"/>
      <c r="D652" s="543" t="s">
        <v>2415</v>
      </c>
      <c r="E652" s="1565" t="s">
        <v>2416</v>
      </c>
      <c r="F652" s="1565"/>
      <c r="G652" s="544" t="s">
        <v>646</v>
      </c>
      <c r="H652" s="545">
        <v>913.2</v>
      </c>
      <c r="I652" s="545">
        <f t="shared" si="19"/>
        <v>913.2</v>
      </c>
      <c r="J652" s="546">
        <f t="shared" si="18"/>
        <v>1049.81</v>
      </c>
    </row>
    <row r="653" spans="1:10" ht="39" customHeight="1" x14ac:dyDescent="0.2">
      <c r="A653" s="543" t="s">
        <v>1157</v>
      </c>
      <c r="B653" s="1565" t="s">
        <v>1116</v>
      </c>
      <c r="C653" s="1565"/>
      <c r="D653" s="543" t="s">
        <v>2417</v>
      </c>
      <c r="E653" s="1565" t="s">
        <v>2418</v>
      </c>
      <c r="F653" s="1565"/>
      <c r="G653" s="544" t="s">
        <v>1126</v>
      </c>
      <c r="H653" s="545">
        <v>1.43</v>
      </c>
      <c r="I653" s="545">
        <f t="shared" si="19"/>
        <v>1.43</v>
      </c>
      <c r="J653" s="546">
        <f t="shared" ref="J653:J716" si="20">TRUNC((H653*($J$11))*(1+$J$8),2)</f>
        <v>1.64</v>
      </c>
    </row>
    <row r="654" spans="1:10" ht="39" customHeight="1" x14ac:dyDescent="0.2">
      <c r="A654" s="543" t="s">
        <v>1157</v>
      </c>
      <c r="B654" s="1565" t="s">
        <v>1116</v>
      </c>
      <c r="C654" s="1565"/>
      <c r="D654" s="543" t="s">
        <v>2419</v>
      </c>
      <c r="E654" s="1565" t="s">
        <v>2420</v>
      </c>
      <c r="F654" s="1565"/>
      <c r="G654" s="544" t="s">
        <v>1126</v>
      </c>
      <c r="H654" s="545">
        <v>1.26</v>
      </c>
      <c r="I654" s="545">
        <f t="shared" ref="I654:I717" si="21">(H654*($J$11))</f>
        <v>1.26</v>
      </c>
      <c r="J654" s="546">
        <f t="shared" si="20"/>
        <v>1.44</v>
      </c>
    </row>
    <row r="655" spans="1:10" ht="39" customHeight="1" x14ac:dyDescent="0.2">
      <c r="A655" s="543" t="s">
        <v>1157</v>
      </c>
      <c r="B655" s="1565" t="s">
        <v>1116</v>
      </c>
      <c r="C655" s="1565"/>
      <c r="D655" s="543" t="s">
        <v>2421</v>
      </c>
      <c r="E655" s="1565" t="s">
        <v>2422</v>
      </c>
      <c r="F655" s="1565"/>
      <c r="G655" s="544" t="s">
        <v>1126</v>
      </c>
      <c r="H655" s="545">
        <v>1.1299999999999999</v>
      </c>
      <c r="I655" s="545">
        <f t="shared" si="21"/>
        <v>1.1299999999999999</v>
      </c>
      <c r="J655" s="546">
        <f t="shared" si="20"/>
        <v>1.29</v>
      </c>
    </row>
    <row r="656" spans="1:10" ht="39" customHeight="1" x14ac:dyDescent="0.2">
      <c r="A656" s="543" t="s">
        <v>1157</v>
      </c>
      <c r="B656" s="1565" t="s">
        <v>1116</v>
      </c>
      <c r="C656" s="1565"/>
      <c r="D656" s="543" t="s">
        <v>2423</v>
      </c>
      <c r="E656" s="1565" t="s">
        <v>2424</v>
      </c>
      <c r="F656" s="1565"/>
      <c r="G656" s="544" t="s">
        <v>1126</v>
      </c>
      <c r="H656" s="545">
        <v>0.89</v>
      </c>
      <c r="I656" s="545">
        <f t="shared" si="21"/>
        <v>0.89</v>
      </c>
      <c r="J656" s="546">
        <f t="shared" si="20"/>
        <v>1.02</v>
      </c>
    </row>
    <row r="657" spans="1:10" ht="39" customHeight="1" x14ac:dyDescent="0.2">
      <c r="A657" s="543" t="s">
        <v>1157</v>
      </c>
      <c r="B657" s="1565" t="s">
        <v>1116</v>
      </c>
      <c r="C657" s="1565"/>
      <c r="D657" s="543" t="s">
        <v>2425</v>
      </c>
      <c r="E657" s="1565" t="s">
        <v>2426</v>
      </c>
      <c r="F657" s="1565"/>
      <c r="G657" s="544" t="s">
        <v>1126</v>
      </c>
      <c r="H657" s="545">
        <v>1.31</v>
      </c>
      <c r="I657" s="545">
        <f t="shared" si="21"/>
        <v>1.31</v>
      </c>
      <c r="J657" s="546">
        <f t="shared" si="20"/>
        <v>1.5</v>
      </c>
    </row>
    <row r="658" spans="1:10" ht="39" customHeight="1" x14ac:dyDescent="0.2">
      <c r="A658" s="543" t="s">
        <v>1157</v>
      </c>
      <c r="B658" s="1565" t="s">
        <v>1116</v>
      </c>
      <c r="C658" s="1565"/>
      <c r="D658" s="543" t="s">
        <v>2427</v>
      </c>
      <c r="E658" s="1565" t="s">
        <v>2428</v>
      </c>
      <c r="F658" s="1565"/>
      <c r="G658" s="544" t="s">
        <v>1126</v>
      </c>
      <c r="H658" s="545">
        <v>1.85</v>
      </c>
      <c r="I658" s="545">
        <f t="shared" si="21"/>
        <v>1.85</v>
      </c>
      <c r="J658" s="546">
        <f t="shared" si="20"/>
        <v>2.12</v>
      </c>
    </row>
    <row r="659" spans="1:10" ht="39" customHeight="1" x14ac:dyDescent="0.2">
      <c r="A659" s="543" t="s">
        <v>1157</v>
      </c>
      <c r="B659" s="1565" t="s">
        <v>1116</v>
      </c>
      <c r="C659" s="1565"/>
      <c r="D659" s="543" t="s">
        <v>2429</v>
      </c>
      <c r="E659" s="1565" t="s">
        <v>2430</v>
      </c>
      <c r="F659" s="1565"/>
      <c r="G659" s="544" t="s">
        <v>1126</v>
      </c>
      <c r="H659" s="545">
        <v>1.39</v>
      </c>
      <c r="I659" s="545">
        <f t="shared" si="21"/>
        <v>1.39</v>
      </c>
      <c r="J659" s="546">
        <f t="shared" si="20"/>
        <v>1.59</v>
      </c>
    </row>
    <row r="660" spans="1:10" ht="39" customHeight="1" x14ac:dyDescent="0.2">
      <c r="A660" s="543" t="s">
        <v>1157</v>
      </c>
      <c r="B660" s="1565" t="s">
        <v>1116</v>
      </c>
      <c r="C660" s="1565"/>
      <c r="D660" s="543" t="s">
        <v>2431</v>
      </c>
      <c r="E660" s="1565" t="s">
        <v>2432</v>
      </c>
      <c r="F660" s="1565"/>
      <c r="G660" s="544" t="s">
        <v>1126</v>
      </c>
      <c r="H660" s="545">
        <v>1.82</v>
      </c>
      <c r="I660" s="545">
        <f t="shared" si="21"/>
        <v>1.82</v>
      </c>
      <c r="J660" s="546">
        <f t="shared" si="20"/>
        <v>2.09</v>
      </c>
    </row>
    <row r="661" spans="1:10" ht="39" customHeight="1" x14ac:dyDescent="0.2">
      <c r="A661" s="543" t="s">
        <v>1157</v>
      </c>
      <c r="B661" s="1565" t="s">
        <v>1116</v>
      </c>
      <c r="C661" s="1565"/>
      <c r="D661" s="543" t="s">
        <v>2433</v>
      </c>
      <c r="E661" s="1565" t="s">
        <v>2434</v>
      </c>
      <c r="F661" s="1565"/>
      <c r="G661" s="544" t="s">
        <v>1126</v>
      </c>
      <c r="H661" s="545">
        <v>0.44</v>
      </c>
      <c r="I661" s="545">
        <f t="shared" si="21"/>
        <v>0.44</v>
      </c>
      <c r="J661" s="546">
        <f t="shared" si="20"/>
        <v>0.5</v>
      </c>
    </row>
    <row r="662" spans="1:10" ht="39" customHeight="1" x14ac:dyDescent="0.2">
      <c r="A662" s="543" t="s">
        <v>1157</v>
      </c>
      <c r="B662" s="1565" t="s">
        <v>1116</v>
      </c>
      <c r="C662" s="1565"/>
      <c r="D662" s="543" t="s">
        <v>2435</v>
      </c>
      <c r="E662" s="1565" t="s">
        <v>2436</v>
      </c>
      <c r="F662" s="1565"/>
      <c r="G662" s="544" t="s">
        <v>1126</v>
      </c>
      <c r="H662" s="545">
        <v>0.86</v>
      </c>
      <c r="I662" s="545">
        <f t="shared" si="21"/>
        <v>0.86</v>
      </c>
      <c r="J662" s="546">
        <f t="shared" si="20"/>
        <v>0.98</v>
      </c>
    </row>
    <row r="663" spans="1:10" ht="39" customHeight="1" x14ac:dyDescent="0.2">
      <c r="A663" s="543" t="s">
        <v>1157</v>
      </c>
      <c r="B663" s="1565" t="s">
        <v>1116</v>
      </c>
      <c r="C663" s="1565"/>
      <c r="D663" s="543" t="s">
        <v>2437</v>
      </c>
      <c r="E663" s="1565" t="s">
        <v>2438</v>
      </c>
      <c r="F663" s="1565"/>
      <c r="G663" s="544" t="s">
        <v>1126</v>
      </c>
      <c r="H663" s="545">
        <v>0.31</v>
      </c>
      <c r="I663" s="545">
        <f t="shared" si="21"/>
        <v>0.31</v>
      </c>
      <c r="J663" s="546">
        <f t="shared" si="20"/>
        <v>0.35</v>
      </c>
    </row>
    <row r="664" spans="1:10" ht="39" customHeight="1" x14ac:dyDescent="0.2">
      <c r="A664" s="543" t="s">
        <v>1157</v>
      </c>
      <c r="B664" s="1565" t="s">
        <v>1116</v>
      </c>
      <c r="C664" s="1565"/>
      <c r="D664" s="543" t="s">
        <v>2439</v>
      </c>
      <c r="E664" s="1565" t="s">
        <v>2440</v>
      </c>
      <c r="F664" s="1565"/>
      <c r="G664" s="544" t="s">
        <v>1126</v>
      </c>
      <c r="H664" s="545">
        <v>0.01</v>
      </c>
      <c r="I664" s="545">
        <f t="shared" si="21"/>
        <v>0.01</v>
      </c>
      <c r="J664" s="546">
        <f t="shared" si="20"/>
        <v>0.01</v>
      </c>
    </row>
    <row r="665" spans="1:10" ht="39" customHeight="1" x14ac:dyDescent="0.2">
      <c r="A665" s="543" t="s">
        <v>1157</v>
      </c>
      <c r="B665" s="1565" t="s">
        <v>1116</v>
      </c>
      <c r="C665" s="1565"/>
      <c r="D665" s="543" t="s">
        <v>2441</v>
      </c>
      <c r="E665" s="1565" t="s">
        <v>2442</v>
      </c>
      <c r="F665" s="1565"/>
      <c r="G665" s="544" t="s">
        <v>1126</v>
      </c>
      <c r="H665" s="545">
        <v>0.78</v>
      </c>
      <c r="I665" s="545">
        <f t="shared" si="21"/>
        <v>0.78</v>
      </c>
      <c r="J665" s="546">
        <f t="shared" si="20"/>
        <v>0.89</v>
      </c>
    </row>
    <row r="666" spans="1:10" ht="39" customHeight="1" x14ac:dyDescent="0.2">
      <c r="A666" s="543" t="s">
        <v>1157</v>
      </c>
      <c r="B666" s="1565" t="s">
        <v>1116</v>
      </c>
      <c r="C666" s="1565"/>
      <c r="D666" s="543" t="s">
        <v>2443</v>
      </c>
      <c r="E666" s="1565" t="s">
        <v>2444</v>
      </c>
      <c r="F666" s="1565"/>
      <c r="G666" s="544" t="s">
        <v>1126</v>
      </c>
      <c r="H666" s="545">
        <v>2.0499999999999998</v>
      </c>
      <c r="I666" s="545">
        <f t="shared" si="21"/>
        <v>2.0499999999999998</v>
      </c>
      <c r="J666" s="546">
        <f t="shared" si="20"/>
        <v>2.35</v>
      </c>
    </row>
    <row r="667" spans="1:10" ht="39" customHeight="1" x14ac:dyDescent="0.2">
      <c r="A667" s="543" t="s">
        <v>1157</v>
      </c>
      <c r="B667" s="1565" t="s">
        <v>1116</v>
      </c>
      <c r="C667" s="1565"/>
      <c r="D667" s="543" t="s">
        <v>2445</v>
      </c>
      <c r="E667" s="1565" t="s">
        <v>2446</v>
      </c>
      <c r="F667" s="1565"/>
      <c r="G667" s="544" t="s">
        <v>1126</v>
      </c>
      <c r="H667" s="545">
        <v>0.61</v>
      </c>
      <c r="I667" s="545">
        <f t="shared" si="21"/>
        <v>0.61</v>
      </c>
      <c r="J667" s="546">
        <f t="shared" si="20"/>
        <v>0.7</v>
      </c>
    </row>
    <row r="668" spans="1:10" ht="39" customHeight="1" x14ac:dyDescent="0.2">
      <c r="A668" s="543" t="s">
        <v>1157</v>
      </c>
      <c r="B668" s="1565" t="s">
        <v>1116</v>
      </c>
      <c r="C668" s="1565"/>
      <c r="D668" s="543" t="s">
        <v>2447</v>
      </c>
      <c r="E668" s="1565" t="s">
        <v>2448</v>
      </c>
      <c r="F668" s="1565"/>
      <c r="G668" s="544" t="s">
        <v>1126</v>
      </c>
      <c r="H668" s="545">
        <v>1.21</v>
      </c>
      <c r="I668" s="545">
        <f t="shared" si="21"/>
        <v>1.21</v>
      </c>
      <c r="J668" s="546">
        <f t="shared" si="20"/>
        <v>1.39</v>
      </c>
    </row>
    <row r="669" spans="1:10" ht="39" customHeight="1" x14ac:dyDescent="0.2">
      <c r="A669" s="543" t="s">
        <v>1157</v>
      </c>
      <c r="B669" s="1565" t="s">
        <v>1116</v>
      </c>
      <c r="C669" s="1565"/>
      <c r="D669" s="543" t="s">
        <v>2449</v>
      </c>
      <c r="E669" s="1565" t="s">
        <v>2450</v>
      </c>
      <c r="F669" s="1565"/>
      <c r="G669" s="544" t="s">
        <v>1181</v>
      </c>
      <c r="H669" s="545">
        <v>8.4499999999999993</v>
      </c>
      <c r="I669" s="545">
        <f t="shared" si="21"/>
        <v>8.4499999999999993</v>
      </c>
      <c r="J669" s="546">
        <f t="shared" si="20"/>
        <v>9.7100000000000009</v>
      </c>
    </row>
    <row r="670" spans="1:10" ht="39" customHeight="1" x14ac:dyDescent="0.2">
      <c r="A670" s="543" t="s">
        <v>1157</v>
      </c>
      <c r="B670" s="1565" t="s">
        <v>1116</v>
      </c>
      <c r="C670" s="1565"/>
      <c r="D670" s="543" t="s">
        <v>2451</v>
      </c>
      <c r="E670" s="1565" t="s">
        <v>2452</v>
      </c>
      <c r="F670" s="1565"/>
      <c r="G670" s="544" t="s">
        <v>1181</v>
      </c>
      <c r="H670" s="545">
        <v>7.54</v>
      </c>
      <c r="I670" s="545">
        <f t="shared" si="21"/>
        <v>7.54</v>
      </c>
      <c r="J670" s="546">
        <f t="shared" si="20"/>
        <v>8.66</v>
      </c>
    </row>
    <row r="671" spans="1:10" ht="39" customHeight="1" x14ac:dyDescent="0.2">
      <c r="A671" s="543" t="s">
        <v>1157</v>
      </c>
      <c r="B671" s="1565" t="s">
        <v>1116</v>
      </c>
      <c r="C671" s="1565"/>
      <c r="D671" s="543" t="s">
        <v>2453</v>
      </c>
      <c r="E671" s="1565" t="s">
        <v>2454</v>
      </c>
      <c r="F671" s="1565"/>
      <c r="G671" s="544" t="s">
        <v>1181</v>
      </c>
      <c r="H671" s="545">
        <v>6.81</v>
      </c>
      <c r="I671" s="545">
        <f t="shared" si="21"/>
        <v>6.81</v>
      </c>
      <c r="J671" s="546">
        <f t="shared" si="20"/>
        <v>7.82</v>
      </c>
    </row>
    <row r="672" spans="1:10" ht="39" customHeight="1" x14ac:dyDescent="0.2">
      <c r="A672" s="543" t="s">
        <v>1157</v>
      </c>
      <c r="B672" s="1565" t="s">
        <v>1116</v>
      </c>
      <c r="C672" s="1565"/>
      <c r="D672" s="543" t="s">
        <v>2455</v>
      </c>
      <c r="E672" s="1565" t="s">
        <v>2456</v>
      </c>
      <c r="F672" s="1565"/>
      <c r="G672" s="544" t="s">
        <v>1181</v>
      </c>
      <c r="H672" s="545">
        <v>7.85</v>
      </c>
      <c r="I672" s="545">
        <f t="shared" si="21"/>
        <v>7.85</v>
      </c>
      <c r="J672" s="546">
        <f t="shared" si="20"/>
        <v>9.02</v>
      </c>
    </row>
    <row r="673" spans="1:10" ht="39" customHeight="1" x14ac:dyDescent="0.2">
      <c r="A673" s="543" t="s">
        <v>1157</v>
      </c>
      <c r="B673" s="1565" t="s">
        <v>1116</v>
      </c>
      <c r="C673" s="1565"/>
      <c r="D673" s="543" t="s">
        <v>2457</v>
      </c>
      <c r="E673" s="1565" t="s">
        <v>2458</v>
      </c>
      <c r="F673" s="1565"/>
      <c r="G673" s="544" t="s">
        <v>1181</v>
      </c>
      <c r="H673" s="545">
        <v>7.44</v>
      </c>
      <c r="I673" s="545">
        <f t="shared" si="21"/>
        <v>7.44</v>
      </c>
      <c r="J673" s="546">
        <f t="shared" si="20"/>
        <v>8.5500000000000007</v>
      </c>
    </row>
    <row r="674" spans="1:10" ht="39" customHeight="1" x14ac:dyDescent="0.2">
      <c r="A674" s="543" t="s">
        <v>1157</v>
      </c>
      <c r="B674" s="1565" t="s">
        <v>1116</v>
      </c>
      <c r="C674" s="1565"/>
      <c r="D674" s="543" t="s">
        <v>2459</v>
      </c>
      <c r="E674" s="1565" t="s">
        <v>2460</v>
      </c>
      <c r="F674" s="1565"/>
      <c r="G674" s="544" t="s">
        <v>1181</v>
      </c>
      <c r="H674" s="545">
        <v>23.81</v>
      </c>
      <c r="I674" s="545">
        <f t="shared" si="21"/>
        <v>23.81</v>
      </c>
      <c r="J674" s="546">
        <f t="shared" si="20"/>
        <v>27.37</v>
      </c>
    </row>
    <row r="675" spans="1:10" ht="39" customHeight="1" x14ac:dyDescent="0.2">
      <c r="A675" s="543" t="s">
        <v>1157</v>
      </c>
      <c r="B675" s="1565" t="s">
        <v>1116</v>
      </c>
      <c r="C675" s="1565"/>
      <c r="D675" s="543" t="s">
        <v>2461</v>
      </c>
      <c r="E675" s="1565" t="s">
        <v>2462</v>
      </c>
      <c r="F675" s="1565"/>
      <c r="G675" s="544" t="s">
        <v>1181</v>
      </c>
      <c r="H675" s="545">
        <v>20.5</v>
      </c>
      <c r="I675" s="545">
        <f t="shared" si="21"/>
        <v>20.5</v>
      </c>
      <c r="J675" s="546">
        <f t="shared" si="20"/>
        <v>23.56</v>
      </c>
    </row>
    <row r="676" spans="1:10" ht="39" customHeight="1" x14ac:dyDescent="0.2">
      <c r="A676" s="543" t="s">
        <v>1157</v>
      </c>
      <c r="B676" s="1565" t="s">
        <v>1116</v>
      </c>
      <c r="C676" s="1565"/>
      <c r="D676" s="543" t="s">
        <v>2463</v>
      </c>
      <c r="E676" s="1565" t="s">
        <v>2464</v>
      </c>
      <c r="F676" s="1565"/>
      <c r="G676" s="544" t="s">
        <v>1181</v>
      </c>
      <c r="H676" s="545">
        <v>64.849999999999994</v>
      </c>
      <c r="I676" s="545">
        <f t="shared" si="21"/>
        <v>64.849999999999994</v>
      </c>
      <c r="J676" s="546">
        <f t="shared" si="20"/>
        <v>74.55</v>
      </c>
    </row>
    <row r="677" spans="1:10" ht="39" customHeight="1" x14ac:dyDescent="0.2">
      <c r="A677" s="543" t="s">
        <v>1157</v>
      </c>
      <c r="B677" s="1565" t="s">
        <v>1116</v>
      </c>
      <c r="C677" s="1565"/>
      <c r="D677" s="543" t="s">
        <v>2465</v>
      </c>
      <c r="E677" s="1565" t="s">
        <v>2466</v>
      </c>
      <c r="F677" s="1565"/>
      <c r="G677" s="544" t="s">
        <v>1181</v>
      </c>
      <c r="H677" s="545">
        <v>10</v>
      </c>
      <c r="I677" s="545">
        <f t="shared" si="21"/>
        <v>10</v>
      </c>
      <c r="J677" s="546">
        <f t="shared" si="20"/>
        <v>11.49</v>
      </c>
    </row>
    <row r="678" spans="1:10" ht="39" customHeight="1" x14ac:dyDescent="0.2">
      <c r="A678" s="543" t="s">
        <v>1157</v>
      </c>
      <c r="B678" s="1565" t="s">
        <v>1116</v>
      </c>
      <c r="C678" s="1565"/>
      <c r="D678" s="543" t="s">
        <v>2467</v>
      </c>
      <c r="E678" s="1565" t="s">
        <v>2468</v>
      </c>
      <c r="F678" s="1565"/>
      <c r="G678" s="544" t="s">
        <v>1191</v>
      </c>
      <c r="H678" s="545">
        <v>233.83</v>
      </c>
      <c r="I678" s="545">
        <f t="shared" si="21"/>
        <v>233.83</v>
      </c>
      <c r="J678" s="546">
        <f t="shared" si="20"/>
        <v>268.81</v>
      </c>
    </row>
    <row r="679" spans="1:10" ht="39" customHeight="1" x14ac:dyDescent="0.2">
      <c r="A679" s="543" t="s">
        <v>1157</v>
      </c>
      <c r="B679" s="1565" t="s">
        <v>1116</v>
      </c>
      <c r="C679" s="1565"/>
      <c r="D679" s="543" t="s">
        <v>2469</v>
      </c>
      <c r="E679" s="1565" t="s">
        <v>2470</v>
      </c>
      <c r="F679" s="1565"/>
      <c r="G679" s="544" t="s">
        <v>1774</v>
      </c>
      <c r="H679" s="545">
        <v>84.36</v>
      </c>
      <c r="I679" s="545">
        <f t="shared" si="21"/>
        <v>84.36</v>
      </c>
      <c r="J679" s="546">
        <f t="shared" si="20"/>
        <v>96.98</v>
      </c>
    </row>
    <row r="680" spans="1:10" ht="39" customHeight="1" x14ac:dyDescent="0.2">
      <c r="A680" s="543" t="s">
        <v>1157</v>
      </c>
      <c r="B680" s="1565" t="s">
        <v>1116</v>
      </c>
      <c r="C680" s="1565"/>
      <c r="D680" s="543" t="s">
        <v>2471</v>
      </c>
      <c r="E680" s="1565" t="s">
        <v>2472</v>
      </c>
      <c r="F680" s="1565"/>
      <c r="G680" s="544" t="s">
        <v>646</v>
      </c>
      <c r="H680" s="545">
        <v>1018.02</v>
      </c>
      <c r="I680" s="545">
        <f t="shared" si="21"/>
        <v>1018.02</v>
      </c>
      <c r="J680" s="546">
        <f t="shared" si="20"/>
        <v>1170.31</v>
      </c>
    </row>
    <row r="681" spans="1:10" ht="39" customHeight="1" x14ac:dyDescent="0.2">
      <c r="A681" s="543" t="s">
        <v>1157</v>
      </c>
      <c r="B681" s="1565" t="s">
        <v>1116</v>
      </c>
      <c r="C681" s="1565"/>
      <c r="D681" s="543" t="s">
        <v>2473</v>
      </c>
      <c r="E681" s="1565" t="s">
        <v>2474</v>
      </c>
      <c r="F681" s="1565"/>
      <c r="G681" s="544" t="s">
        <v>1181</v>
      </c>
      <c r="H681" s="545">
        <v>48.36</v>
      </c>
      <c r="I681" s="545">
        <f t="shared" si="21"/>
        <v>48.36</v>
      </c>
      <c r="J681" s="546">
        <f t="shared" si="20"/>
        <v>55.59</v>
      </c>
    </row>
    <row r="682" spans="1:10" ht="39" customHeight="1" x14ac:dyDescent="0.2">
      <c r="A682" s="543" t="s">
        <v>1157</v>
      </c>
      <c r="B682" s="1565" t="s">
        <v>1116</v>
      </c>
      <c r="C682" s="1565"/>
      <c r="D682" s="543" t="s">
        <v>2475</v>
      </c>
      <c r="E682" s="1565" t="s">
        <v>2476</v>
      </c>
      <c r="F682" s="1565"/>
      <c r="G682" s="544" t="s">
        <v>646</v>
      </c>
      <c r="H682" s="545">
        <v>12.32</v>
      </c>
      <c r="I682" s="545">
        <f t="shared" si="21"/>
        <v>12.32</v>
      </c>
      <c r="J682" s="546">
        <f t="shared" si="20"/>
        <v>14.16</v>
      </c>
    </row>
    <row r="683" spans="1:10" ht="39" customHeight="1" x14ac:dyDescent="0.2">
      <c r="A683" s="543" t="s">
        <v>1157</v>
      </c>
      <c r="B683" s="1565" t="s">
        <v>1116</v>
      </c>
      <c r="C683" s="1565"/>
      <c r="D683" s="543" t="s">
        <v>2477</v>
      </c>
      <c r="E683" s="1565" t="s">
        <v>2478</v>
      </c>
      <c r="F683" s="1565"/>
      <c r="G683" s="544" t="s">
        <v>1248</v>
      </c>
      <c r="H683" s="545">
        <v>17.09</v>
      </c>
      <c r="I683" s="545">
        <f t="shared" si="21"/>
        <v>17.09</v>
      </c>
      <c r="J683" s="546">
        <f t="shared" si="20"/>
        <v>19.64</v>
      </c>
    </row>
    <row r="684" spans="1:10" ht="39" customHeight="1" x14ac:dyDescent="0.2">
      <c r="A684" s="543" t="s">
        <v>1157</v>
      </c>
      <c r="B684" s="1565" t="s">
        <v>1116</v>
      </c>
      <c r="C684" s="1565"/>
      <c r="D684" s="543" t="s">
        <v>2479</v>
      </c>
      <c r="E684" s="1565" t="s">
        <v>2480</v>
      </c>
      <c r="F684" s="1565"/>
      <c r="G684" s="544" t="s">
        <v>1248</v>
      </c>
      <c r="H684" s="545">
        <v>151.03</v>
      </c>
      <c r="I684" s="545">
        <f t="shared" si="21"/>
        <v>151.03</v>
      </c>
      <c r="J684" s="546">
        <f t="shared" si="20"/>
        <v>173.62</v>
      </c>
    </row>
    <row r="685" spans="1:10" ht="39" customHeight="1" x14ac:dyDescent="0.2">
      <c r="A685" s="543" t="s">
        <v>1157</v>
      </c>
      <c r="B685" s="1565" t="s">
        <v>1116</v>
      </c>
      <c r="C685" s="1565"/>
      <c r="D685" s="543" t="s">
        <v>2481</v>
      </c>
      <c r="E685" s="1565" t="s">
        <v>2482</v>
      </c>
      <c r="F685" s="1565"/>
      <c r="G685" s="544" t="s">
        <v>1161</v>
      </c>
      <c r="H685" s="545">
        <v>32.85</v>
      </c>
      <c r="I685" s="545">
        <f t="shared" si="21"/>
        <v>32.85</v>
      </c>
      <c r="J685" s="546">
        <f t="shared" si="20"/>
        <v>37.76</v>
      </c>
    </row>
    <row r="686" spans="1:10" ht="39" customHeight="1" x14ac:dyDescent="0.2">
      <c r="A686" s="543" t="s">
        <v>1157</v>
      </c>
      <c r="B686" s="1565" t="s">
        <v>1116</v>
      </c>
      <c r="C686" s="1565"/>
      <c r="D686" s="543" t="s">
        <v>2483</v>
      </c>
      <c r="E686" s="1565" t="s">
        <v>2484</v>
      </c>
      <c r="F686" s="1565"/>
      <c r="G686" s="544" t="s">
        <v>1161</v>
      </c>
      <c r="H686" s="545">
        <v>521.62</v>
      </c>
      <c r="I686" s="545">
        <f t="shared" si="21"/>
        <v>521.62</v>
      </c>
      <c r="J686" s="546">
        <f t="shared" si="20"/>
        <v>599.65</v>
      </c>
    </row>
    <row r="687" spans="1:10" ht="39" customHeight="1" x14ac:dyDescent="0.2">
      <c r="A687" s="543" t="s">
        <v>1157</v>
      </c>
      <c r="B687" s="1565" t="s">
        <v>1116</v>
      </c>
      <c r="C687" s="1565"/>
      <c r="D687" s="543" t="s">
        <v>2485</v>
      </c>
      <c r="E687" s="1565" t="s">
        <v>2486</v>
      </c>
      <c r="F687" s="1565"/>
      <c r="G687" s="544" t="s">
        <v>1181</v>
      </c>
      <c r="H687" s="545">
        <v>15.47</v>
      </c>
      <c r="I687" s="545">
        <f t="shared" si="21"/>
        <v>15.47</v>
      </c>
      <c r="J687" s="546">
        <f t="shared" si="20"/>
        <v>17.78</v>
      </c>
    </row>
    <row r="688" spans="1:10" ht="39" customHeight="1" x14ac:dyDescent="0.2">
      <c r="A688" s="543" t="s">
        <v>1157</v>
      </c>
      <c r="B688" s="1565" t="s">
        <v>1116</v>
      </c>
      <c r="C688" s="1565"/>
      <c r="D688" s="543" t="s">
        <v>2487</v>
      </c>
      <c r="E688" s="1565" t="s">
        <v>2488</v>
      </c>
      <c r="F688" s="1565"/>
      <c r="G688" s="544" t="s">
        <v>1161</v>
      </c>
      <c r="H688" s="545">
        <v>57.34</v>
      </c>
      <c r="I688" s="545">
        <f t="shared" si="21"/>
        <v>57.34</v>
      </c>
      <c r="J688" s="546">
        <f t="shared" si="20"/>
        <v>65.91</v>
      </c>
    </row>
    <row r="689" spans="1:10" ht="39" customHeight="1" x14ac:dyDescent="0.2">
      <c r="A689" s="543" t="s">
        <v>1157</v>
      </c>
      <c r="B689" s="1565" t="s">
        <v>1116</v>
      </c>
      <c r="C689" s="1565"/>
      <c r="D689" s="543" t="s">
        <v>2489</v>
      </c>
      <c r="E689" s="1565" t="s">
        <v>2490</v>
      </c>
      <c r="F689" s="1565"/>
      <c r="G689" s="544" t="s">
        <v>1161</v>
      </c>
      <c r="H689" s="545">
        <v>300.68</v>
      </c>
      <c r="I689" s="545">
        <f t="shared" si="21"/>
        <v>300.68</v>
      </c>
      <c r="J689" s="546">
        <f t="shared" si="20"/>
        <v>345.66</v>
      </c>
    </row>
    <row r="690" spans="1:10" ht="39" customHeight="1" x14ac:dyDescent="0.2">
      <c r="A690" s="543" t="s">
        <v>1157</v>
      </c>
      <c r="B690" s="1565" t="s">
        <v>1116</v>
      </c>
      <c r="C690" s="1565"/>
      <c r="D690" s="543" t="s">
        <v>2491</v>
      </c>
      <c r="E690" s="1565" t="s">
        <v>2492</v>
      </c>
      <c r="F690" s="1565"/>
      <c r="G690" s="544" t="s">
        <v>646</v>
      </c>
      <c r="H690" s="545">
        <v>1363.71</v>
      </c>
      <c r="I690" s="545">
        <f t="shared" si="21"/>
        <v>1363.71</v>
      </c>
      <c r="J690" s="546">
        <f t="shared" si="20"/>
        <v>1567.72</v>
      </c>
    </row>
    <row r="691" spans="1:10" ht="39" customHeight="1" x14ac:dyDescent="0.2">
      <c r="A691" s="543" t="s">
        <v>1157</v>
      </c>
      <c r="B691" s="1565" t="s">
        <v>1158</v>
      </c>
      <c r="C691" s="1565"/>
      <c r="D691" s="543" t="s">
        <v>2493</v>
      </c>
      <c r="E691" s="1565" t="s">
        <v>2494</v>
      </c>
      <c r="F691" s="1565"/>
      <c r="G691" s="544" t="s">
        <v>646</v>
      </c>
      <c r="H691" s="545">
        <v>69.44</v>
      </c>
      <c r="I691" s="545">
        <f t="shared" si="21"/>
        <v>69.44</v>
      </c>
      <c r="J691" s="546">
        <f t="shared" si="20"/>
        <v>79.819999999999993</v>
      </c>
    </row>
    <row r="692" spans="1:10" ht="39" customHeight="1" x14ac:dyDescent="0.2">
      <c r="A692" s="543" t="s">
        <v>1157</v>
      </c>
      <c r="B692" s="1565" t="s">
        <v>1158</v>
      </c>
      <c r="C692" s="1565"/>
      <c r="D692" s="543" t="s">
        <v>2495</v>
      </c>
      <c r="E692" s="1565" t="s">
        <v>2496</v>
      </c>
      <c r="F692" s="1565"/>
      <c r="G692" s="544" t="s">
        <v>1181</v>
      </c>
      <c r="H692" s="545">
        <v>33.29</v>
      </c>
      <c r="I692" s="545">
        <f t="shared" si="21"/>
        <v>33.29</v>
      </c>
      <c r="J692" s="546">
        <f t="shared" si="20"/>
        <v>38.270000000000003</v>
      </c>
    </row>
    <row r="693" spans="1:10" ht="39" customHeight="1" x14ac:dyDescent="0.2">
      <c r="A693" s="543" t="s">
        <v>1157</v>
      </c>
      <c r="B693" s="1565" t="s">
        <v>1158</v>
      </c>
      <c r="C693" s="1565"/>
      <c r="D693" s="543" t="s">
        <v>2497</v>
      </c>
      <c r="E693" s="1565" t="s">
        <v>2498</v>
      </c>
      <c r="F693" s="1565"/>
      <c r="G693" s="544" t="s">
        <v>1181</v>
      </c>
      <c r="H693" s="545">
        <v>14.98</v>
      </c>
      <c r="I693" s="545">
        <f t="shared" si="21"/>
        <v>14.98</v>
      </c>
      <c r="J693" s="546">
        <f t="shared" si="20"/>
        <v>17.22</v>
      </c>
    </row>
    <row r="694" spans="1:10" ht="39" customHeight="1" x14ac:dyDescent="0.2">
      <c r="A694" s="543" t="s">
        <v>1157</v>
      </c>
      <c r="B694" s="1565" t="s">
        <v>1158</v>
      </c>
      <c r="C694" s="1565"/>
      <c r="D694" s="543" t="s">
        <v>2499</v>
      </c>
      <c r="E694" s="1565" t="s">
        <v>2500</v>
      </c>
      <c r="F694" s="1565"/>
      <c r="G694" s="544" t="s">
        <v>646</v>
      </c>
      <c r="H694" s="545">
        <v>5000</v>
      </c>
      <c r="I694" s="545">
        <f t="shared" si="21"/>
        <v>5000</v>
      </c>
      <c r="J694" s="546">
        <f t="shared" si="20"/>
        <v>5748</v>
      </c>
    </row>
    <row r="695" spans="1:10" ht="39" customHeight="1" x14ac:dyDescent="0.2">
      <c r="A695" s="543" t="s">
        <v>1157</v>
      </c>
      <c r="B695" s="1565" t="s">
        <v>1158</v>
      </c>
      <c r="C695" s="1565"/>
      <c r="D695" s="543" t="s">
        <v>2501</v>
      </c>
      <c r="E695" s="1565" t="s">
        <v>2502</v>
      </c>
      <c r="F695" s="1565"/>
      <c r="G695" s="544" t="s">
        <v>646</v>
      </c>
      <c r="H695" s="545">
        <v>5000</v>
      </c>
      <c r="I695" s="545">
        <f t="shared" si="21"/>
        <v>5000</v>
      </c>
      <c r="J695" s="546">
        <f t="shared" si="20"/>
        <v>5748</v>
      </c>
    </row>
    <row r="696" spans="1:10" ht="39" customHeight="1" x14ac:dyDescent="0.2">
      <c r="A696" s="543" t="s">
        <v>1157</v>
      </c>
      <c r="B696" s="1565" t="s">
        <v>1158</v>
      </c>
      <c r="C696" s="1565"/>
      <c r="D696" s="543" t="s">
        <v>2503</v>
      </c>
      <c r="E696" s="1565" t="s">
        <v>2504</v>
      </c>
      <c r="F696" s="1565"/>
      <c r="G696" s="544" t="s">
        <v>646</v>
      </c>
      <c r="H696" s="545">
        <v>5000</v>
      </c>
      <c r="I696" s="545">
        <f t="shared" si="21"/>
        <v>5000</v>
      </c>
      <c r="J696" s="546">
        <f t="shared" si="20"/>
        <v>5748</v>
      </c>
    </row>
    <row r="697" spans="1:10" ht="39" customHeight="1" x14ac:dyDescent="0.2">
      <c r="A697" s="543" t="s">
        <v>1157</v>
      </c>
      <c r="B697" s="1565" t="s">
        <v>1158</v>
      </c>
      <c r="C697" s="1565"/>
      <c r="D697" s="543" t="s">
        <v>2505</v>
      </c>
      <c r="E697" s="1565" t="s">
        <v>2506</v>
      </c>
      <c r="F697" s="1565"/>
      <c r="G697" s="544" t="s">
        <v>646</v>
      </c>
      <c r="H697" s="545">
        <v>5000</v>
      </c>
      <c r="I697" s="545">
        <f t="shared" si="21"/>
        <v>5000</v>
      </c>
      <c r="J697" s="546">
        <f t="shared" si="20"/>
        <v>5748</v>
      </c>
    </row>
    <row r="698" spans="1:10" ht="39" customHeight="1" x14ac:dyDescent="0.2">
      <c r="A698" s="543" t="s">
        <v>1157</v>
      </c>
      <c r="B698" s="1565" t="s">
        <v>1158</v>
      </c>
      <c r="C698" s="1565"/>
      <c r="D698" s="543" t="s">
        <v>2507</v>
      </c>
      <c r="E698" s="1565" t="s">
        <v>2508</v>
      </c>
      <c r="F698" s="1565"/>
      <c r="G698" s="544" t="s">
        <v>646</v>
      </c>
      <c r="H698" s="545">
        <v>664.06</v>
      </c>
      <c r="I698" s="545">
        <f t="shared" si="21"/>
        <v>664.06</v>
      </c>
      <c r="J698" s="546">
        <f t="shared" si="20"/>
        <v>763.4</v>
      </c>
    </row>
    <row r="699" spans="1:10" ht="39" customHeight="1" x14ac:dyDescent="0.2">
      <c r="A699" s="543" t="s">
        <v>1157</v>
      </c>
      <c r="B699" s="1565" t="s">
        <v>1158</v>
      </c>
      <c r="C699" s="1565"/>
      <c r="D699" s="543" t="s">
        <v>2509</v>
      </c>
      <c r="E699" s="1565" t="s">
        <v>2510</v>
      </c>
      <c r="F699" s="1565"/>
      <c r="G699" s="544" t="s">
        <v>646</v>
      </c>
      <c r="H699" s="545">
        <v>323.24</v>
      </c>
      <c r="I699" s="545">
        <f t="shared" si="21"/>
        <v>323.24</v>
      </c>
      <c r="J699" s="546">
        <f t="shared" si="20"/>
        <v>371.59</v>
      </c>
    </row>
    <row r="700" spans="1:10" ht="39" customHeight="1" x14ac:dyDescent="0.2">
      <c r="A700" s="543" t="s">
        <v>1157</v>
      </c>
      <c r="B700" s="1565" t="s">
        <v>1158</v>
      </c>
      <c r="C700" s="1565"/>
      <c r="D700" s="543" t="s">
        <v>2511</v>
      </c>
      <c r="E700" s="1565" t="s">
        <v>2512</v>
      </c>
      <c r="F700" s="1565"/>
      <c r="G700" s="544" t="s">
        <v>646</v>
      </c>
      <c r="H700" s="545">
        <v>302.5</v>
      </c>
      <c r="I700" s="545">
        <f t="shared" si="21"/>
        <v>302.5</v>
      </c>
      <c r="J700" s="546">
        <f t="shared" si="20"/>
        <v>347.75</v>
      </c>
    </row>
    <row r="701" spans="1:10" ht="39" customHeight="1" x14ac:dyDescent="0.2">
      <c r="A701" s="543" t="s">
        <v>1157</v>
      </c>
      <c r="B701" s="1565" t="s">
        <v>1158</v>
      </c>
      <c r="C701" s="1565"/>
      <c r="D701" s="543" t="s">
        <v>2513</v>
      </c>
      <c r="E701" s="1565" t="s">
        <v>2514</v>
      </c>
      <c r="F701" s="1565"/>
      <c r="G701" s="544" t="s">
        <v>646</v>
      </c>
      <c r="H701" s="545">
        <v>477.62</v>
      </c>
      <c r="I701" s="545">
        <f t="shared" si="21"/>
        <v>477.62</v>
      </c>
      <c r="J701" s="546">
        <f t="shared" si="20"/>
        <v>549.07000000000005</v>
      </c>
    </row>
    <row r="702" spans="1:10" ht="39" customHeight="1" x14ac:dyDescent="0.2">
      <c r="A702" s="543" t="s">
        <v>1157</v>
      </c>
      <c r="B702" s="1565" t="s">
        <v>1158</v>
      </c>
      <c r="C702" s="1565"/>
      <c r="D702" s="543" t="s">
        <v>2515</v>
      </c>
      <c r="E702" s="1565" t="s">
        <v>2516</v>
      </c>
      <c r="F702" s="1565"/>
      <c r="G702" s="544" t="s">
        <v>646</v>
      </c>
      <c r="H702" s="545">
        <v>306.66000000000003</v>
      </c>
      <c r="I702" s="545">
        <f t="shared" si="21"/>
        <v>306.66000000000003</v>
      </c>
      <c r="J702" s="546">
        <f t="shared" si="20"/>
        <v>352.53</v>
      </c>
    </row>
    <row r="703" spans="1:10" ht="39" customHeight="1" x14ac:dyDescent="0.2">
      <c r="A703" s="543" t="s">
        <v>1157</v>
      </c>
      <c r="B703" s="1565" t="s">
        <v>1158</v>
      </c>
      <c r="C703" s="1565"/>
      <c r="D703" s="543" t="s">
        <v>2517</v>
      </c>
      <c r="E703" s="1565" t="s">
        <v>2518</v>
      </c>
      <c r="F703" s="1565"/>
      <c r="G703" s="544" t="s">
        <v>646</v>
      </c>
      <c r="H703" s="545">
        <v>521.77</v>
      </c>
      <c r="I703" s="545">
        <f t="shared" si="21"/>
        <v>521.77</v>
      </c>
      <c r="J703" s="546">
        <f t="shared" si="20"/>
        <v>599.82000000000005</v>
      </c>
    </row>
    <row r="704" spans="1:10" ht="39" customHeight="1" x14ac:dyDescent="0.2">
      <c r="A704" s="543" t="s">
        <v>1157</v>
      </c>
      <c r="B704" s="1565" t="s">
        <v>1158</v>
      </c>
      <c r="C704" s="1565"/>
      <c r="D704" s="543" t="s">
        <v>2519</v>
      </c>
      <c r="E704" s="1565" t="s">
        <v>2520</v>
      </c>
      <c r="F704" s="1565"/>
      <c r="G704" s="544" t="s">
        <v>646</v>
      </c>
      <c r="H704" s="545">
        <v>288.37</v>
      </c>
      <c r="I704" s="545">
        <f t="shared" si="21"/>
        <v>288.37</v>
      </c>
      <c r="J704" s="546">
        <f t="shared" si="20"/>
        <v>331.51</v>
      </c>
    </row>
    <row r="705" spans="1:10" ht="39" customHeight="1" x14ac:dyDescent="0.2">
      <c r="A705" s="543" t="s">
        <v>1157</v>
      </c>
      <c r="B705" s="1565" t="s">
        <v>1158</v>
      </c>
      <c r="C705" s="1565"/>
      <c r="D705" s="543" t="s">
        <v>2521</v>
      </c>
      <c r="E705" s="1565" t="s">
        <v>2522</v>
      </c>
      <c r="F705" s="1565"/>
      <c r="G705" s="544" t="s">
        <v>646</v>
      </c>
      <c r="H705" s="545">
        <v>265.42</v>
      </c>
      <c r="I705" s="545">
        <f t="shared" si="21"/>
        <v>265.42</v>
      </c>
      <c r="J705" s="546">
        <f t="shared" si="20"/>
        <v>305.12</v>
      </c>
    </row>
    <row r="706" spans="1:10" ht="39" customHeight="1" x14ac:dyDescent="0.2">
      <c r="A706" s="543" t="s">
        <v>1157</v>
      </c>
      <c r="B706" s="1565" t="s">
        <v>1158</v>
      </c>
      <c r="C706" s="1565"/>
      <c r="D706" s="543" t="s">
        <v>2523</v>
      </c>
      <c r="E706" s="1565" t="s">
        <v>2524</v>
      </c>
      <c r="F706" s="1565"/>
      <c r="G706" s="544" t="s">
        <v>646</v>
      </c>
      <c r="H706" s="545">
        <v>187.18</v>
      </c>
      <c r="I706" s="545">
        <f t="shared" si="21"/>
        <v>187.18</v>
      </c>
      <c r="J706" s="546">
        <f t="shared" si="20"/>
        <v>215.18</v>
      </c>
    </row>
    <row r="707" spans="1:10" ht="39" customHeight="1" x14ac:dyDescent="0.2">
      <c r="A707" s="543" t="s">
        <v>1157</v>
      </c>
      <c r="B707" s="1565" t="s">
        <v>1158</v>
      </c>
      <c r="C707" s="1565"/>
      <c r="D707" s="543" t="s">
        <v>2525</v>
      </c>
      <c r="E707" s="1565" t="s">
        <v>2526</v>
      </c>
      <c r="F707" s="1565"/>
      <c r="G707" s="544" t="s">
        <v>646</v>
      </c>
      <c r="H707" s="545">
        <v>10.84</v>
      </c>
      <c r="I707" s="545">
        <f t="shared" si="21"/>
        <v>10.84</v>
      </c>
      <c r="J707" s="546">
        <f t="shared" si="20"/>
        <v>12.46</v>
      </c>
    </row>
    <row r="708" spans="1:10" ht="39" customHeight="1" x14ac:dyDescent="0.2">
      <c r="A708" s="543" t="s">
        <v>1157</v>
      </c>
      <c r="B708" s="1565" t="s">
        <v>1158</v>
      </c>
      <c r="C708" s="1565"/>
      <c r="D708" s="543" t="s">
        <v>2527</v>
      </c>
      <c r="E708" s="1565" t="s">
        <v>2528</v>
      </c>
      <c r="F708" s="1565"/>
      <c r="G708" s="544" t="s">
        <v>646</v>
      </c>
      <c r="H708" s="545">
        <v>129.22999999999999</v>
      </c>
      <c r="I708" s="545">
        <f t="shared" si="21"/>
        <v>129.22999999999999</v>
      </c>
      <c r="J708" s="546">
        <f t="shared" si="20"/>
        <v>148.56</v>
      </c>
    </row>
    <row r="709" spans="1:10" ht="39" customHeight="1" x14ac:dyDescent="0.2">
      <c r="A709" s="543" t="s">
        <v>1157</v>
      </c>
      <c r="B709" s="1565" t="s">
        <v>1158</v>
      </c>
      <c r="C709" s="1565"/>
      <c r="D709" s="543" t="s">
        <v>2529</v>
      </c>
      <c r="E709" s="1565" t="s">
        <v>2530</v>
      </c>
      <c r="F709" s="1565"/>
      <c r="G709" s="544" t="s">
        <v>646</v>
      </c>
      <c r="H709" s="545">
        <v>136.37</v>
      </c>
      <c r="I709" s="545">
        <f t="shared" si="21"/>
        <v>136.37</v>
      </c>
      <c r="J709" s="546">
        <f t="shared" si="20"/>
        <v>156.77000000000001</v>
      </c>
    </row>
    <row r="710" spans="1:10" ht="39" customHeight="1" x14ac:dyDescent="0.2">
      <c r="A710" s="543" t="s">
        <v>1157</v>
      </c>
      <c r="B710" s="1565" t="s">
        <v>1158</v>
      </c>
      <c r="C710" s="1565"/>
      <c r="D710" s="543" t="s">
        <v>2531</v>
      </c>
      <c r="E710" s="1565" t="s">
        <v>2532</v>
      </c>
      <c r="F710" s="1565"/>
      <c r="G710" s="544" t="s">
        <v>646</v>
      </c>
      <c r="H710" s="545">
        <v>544.63</v>
      </c>
      <c r="I710" s="545">
        <f t="shared" si="21"/>
        <v>544.63</v>
      </c>
      <c r="J710" s="546">
        <f t="shared" si="20"/>
        <v>626.1</v>
      </c>
    </row>
    <row r="711" spans="1:10" ht="39" customHeight="1" x14ac:dyDescent="0.2">
      <c r="A711" s="543" t="s">
        <v>1157</v>
      </c>
      <c r="B711" s="1565" t="s">
        <v>1158</v>
      </c>
      <c r="C711" s="1565"/>
      <c r="D711" s="543" t="s">
        <v>2533</v>
      </c>
      <c r="E711" s="1565" t="s">
        <v>2534</v>
      </c>
      <c r="F711" s="1565"/>
      <c r="G711" s="544" t="s">
        <v>646</v>
      </c>
      <c r="H711" s="545">
        <v>15.71</v>
      </c>
      <c r="I711" s="545">
        <f t="shared" si="21"/>
        <v>15.71</v>
      </c>
      <c r="J711" s="546">
        <f t="shared" si="20"/>
        <v>18.059999999999999</v>
      </c>
    </row>
    <row r="712" spans="1:10" ht="39" customHeight="1" x14ac:dyDescent="0.2">
      <c r="A712" s="543" t="s">
        <v>1157</v>
      </c>
      <c r="B712" s="1565" t="s">
        <v>1158</v>
      </c>
      <c r="C712" s="1565"/>
      <c r="D712" s="543" t="s">
        <v>2535</v>
      </c>
      <c r="E712" s="1565" t="s">
        <v>2536</v>
      </c>
      <c r="F712" s="1565"/>
      <c r="G712" s="544" t="s">
        <v>646</v>
      </c>
      <c r="H712" s="545">
        <v>285.66000000000003</v>
      </c>
      <c r="I712" s="545">
        <f t="shared" si="21"/>
        <v>285.66000000000003</v>
      </c>
      <c r="J712" s="546">
        <f t="shared" si="20"/>
        <v>328.39</v>
      </c>
    </row>
    <row r="713" spans="1:10" ht="39" customHeight="1" x14ac:dyDescent="0.2">
      <c r="A713" s="543" t="s">
        <v>1157</v>
      </c>
      <c r="B713" s="1565" t="s">
        <v>1158</v>
      </c>
      <c r="C713" s="1565"/>
      <c r="D713" s="543" t="s">
        <v>2537</v>
      </c>
      <c r="E713" s="1565" t="s">
        <v>2538</v>
      </c>
      <c r="F713" s="1565"/>
      <c r="G713" s="544" t="s">
        <v>646</v>
      </c>
      <c r="H713" s="545">
        <v>114.69</v>
      </c>
      <c r="I713" s="545">
        <f t="shared" si="21"/>
        <v>114.69</v>
      </c>
      <c r="J713" s="546">
        <f t="shared" si="20"/>
        <v>131.84</v>
      </c>
    </row>
    <row r="714" spans="1:10" ht="39" customHeight="1" x14ac:dyDescent="0.2">
      <c r="A714" s="543" t="s">
        <v>1157</v>
      </c>
      <c r="B714" s="1565" t="s">
        <v>1158</v>
      </c>
      <c r="C714" s="1565"/>
      <c r="D714" s="543" t="s">
        <v>2539</v>
      </c>
      <c r="E714" s="1565" t="s">
        <v>2540</v>
      </c>
      <c r="F714" s="1565"/>
      <c r="G714" s="544" t="s">
        <v>646</v>
      </c>
      <c r="H714" s="545">
        <v>250.92</v>
      </c>
      <c r="I714" s="545">
        <f t="shared" si="21"/>
        <v>250.92</v>
      </c>
      <c r="J714" s="546">
        <f t="shared" si="20"/>
        <v>288.45</v>
      </c>
    </row>
    <row r="715" spans="1:10" ht="39" customHeight="1" x14ac:dyDescent="0.2">
      <c r="A715" s="543" t="s">
        <v>1157</v>
      </c>
      <c r="B715" s="1565" t="s">
        <v>1158</v>
      </c>
      <c r="C715" s="1565"/>
      <c r="D715" s="543" t="s">
        <v>2541</v>
      </c>
      <c r="E715" s="1565" t="s">
        <v>2542</v>
      </c>
      <c r="F715" s="1565"/>
      <c r="G715" s="544" t="s">
        <v>646</v>
      </c>
      <c r="H715" s="545">
        <v>13.93</v>
      </c>
      <c r="I715" s="545">
        <f t="shared" si="21"/>
        <v>13.93</v>
      </c>
      <c r="J715" s="546">
        <f t="shared" si="20"/>
        <v>16.010000000000002</v>
      </c>
    </row>
    <row r="716" spans="1:10" ht="39" customHeight="1" x14ac:dyDescent="0.2">
      <c r="A716" s="543" t="s">
        <v>1157</v>
      </c>
      <c r="B716" s="1565" t="s">
        <v>1158</v>
      </c>
      <c r="C716" s="1565"/>
      <c r="D716" s="543" t="s">
        <v>2543</v>
      </c>
      <c r="E716" s="1565" t="s">
        <v>2544</v>
      </c>
      <c r="F716" s="1565"/>
      <c r="G716" s="544" t="s">
        <v>646</v>
      </c>
      <c r="H716" s="545">
        <v>2.17</v>
      </c>
      <c r="I716" s="545">
        <f t="shared" si="21"/>
        <v>2.17</v>
      </c>
      <c r="J716" s="546">
        <f t="shared" si="20"/>
        <v>2.4900000000000002</v>
      </c>
    </row>
    <row r="717" spans="1:10" ht="39" customHeight="1" x14ac:dyDescent="0.2">
      <c r="A717" s="543" t="s">
        <v>1157</v>
      </c>
      <c r="B717" s="1565" t="s">
        <v>1158</v>
      </c>
      <c r="C717" s="1565"/>
      <c r="D717" s="543" t="s">
        <v>2545</v>
      </c>
      <c r="E717" s="1565" t="s">
        <v>2546</v>
      </c>
      <c r="F717" s="1565"/>
      <c r="G717" s="544" t="s">
        <v>646</v>
      </c>
      <c r="H717" s="545">
        <v>187.29</v>
      </c>
      <c r="I717" s="545">
        <f t="shared" si="21"/>
        <v>187.29</v>
      </c>
      <c r="J717" s="546">
        <f t="shared" ref="J717:J780" si="22">TRUNC((H717*($J$11))*(1+$J$8),2)</f>
        <v>215.3</v>
      </c>
    </row>
    <row r="718" spans="1:10" ht="39" customHeight="1" x14ac:dyDescent="0.2">
      <c r="A718" s="543" t="s">
        <v>1157</v>
      </c>
      <c r="B718" s="1565" t="s">
        <v>1158</v>
      </c>
      <c r="C718" s="1565"/>
      <c r="D718" s="543" t="s">
        <v>2547</v>
      </c>
      <c r="E718" s="1565" t="s">
        <v>2548</v>
      </c>
      <c r="F718" s="1565"/>
      <c r="G718" s="544" t="s">
        <v>646</v>
      </c>
      <c r="H718" s="545">
        <v>56.26</v>
      </c>
      <c r="I718" s="545">
        <f t="shared" ref="I718:I780" si="23">(H718*($J$11))</f>
        <v>56.26</v>
      </c>
      <c r="J718" s="546">
        <f t="shared" si="22"/>
        <v>64.67</v>
      </c>
    </row>
    <row r="719" spans="1:10" ht="39" customHeight="1" x14ac:dyDescent="0.2">
      <c r="A719" s="543" t="s">
        <v>1157</v>
      </c>
      <c r="B719" s="1565" t="s">
        <v>1158</v>
      </c>
      <c r="C719" s="1565"/>
      <c r="D719" s="543" t="s">
        <v>2549</v>
      </c>
      <c r="E719" s="1565" t="s">
        <v>2550</v>
      </c>
      <c r="F719" s="1565"/>
      <c r="G719" s="544" t="s">
        <v>646</v>
      </c>
      <c r="H719" s="545">
        <v>10.17</v>
      </c>
      <c r="I719" s="545">
        <f t="shared" si="23"/>
        <v>10.17</v>
      </c>
      <c r="J719" s="546">
        <f t="shared" si="22"/>
        <v>11.69</v>
      </c>
    </row>
    <row r="720" spans="1:10" ht="39" customHeight="1" x14ac:dyDescent="0.2">
      <c r="A720" s="543" t="s">
        <v>1157</v>
      </c>
      <c r="B720" s="1565" t="s">
        <v>1158</v>
      </c>
      <c r="C720" s="1565"/>
      <c r="D720" s="543" t="s">
        <v>2551</v>
      </c>
      <c r="E720" s="1565" t="s">
        <v>2552</v>
      </c>
      <c r="F720" s="1565"/>
      <c r="G720" s="544" t="s">
        <v>646</v>
      </c>
      <c r="H720" s="545">
        <v>9.11</v>
      </c>
      <c r="I720" s="545">
        <f t="shared" si="23"/>
        <v>9.11</v>
      </c>
      <c r="J720" s="546">
        <f t="shared" si="22"/>
        <v>10.47</v>
      </c>
    </row>
    <row r="721" spans="1:10" ht="39" customHeight="1" x14ac:dyDescent="0.2">
      <c r="A721" s="543" t="s">
        <v>1157</v>
      </c>
      <c r="B721" s="1565" t="s">
        <v>1158</v>
      </c>
      <c r="C721" s="1565"/>
      <c r="D721" s="543" t="s">
        <v>2553</v>
      </c>
      <c r="E721" s="1565" t="s">
        <v>2554</v>
      </c>
      <c r="F721" s="1565"/>
      <c r="G721" s="544" t="s">
        <v>1161</v>
      </c>
      <c r="H721" s="545">
        <v>42.87</v>
      </c>
      <c r="I721" s="545">
        <f t="shared" si="23"/>
        <v>42.87</v>
      </c>
      <c r="J721" s="546">
        <f t="shared" si="22"/>
        <v>49.28</v>
      </c>
    </row>
    <row r="722" spans="1:10" ht="39" customHeight="1" x14ac:dyDescent="0.2">
      <c r="A722" s="543" t="s">
        <v>1157</v>
      </c>
      <c r="B722" s="1565" t="s">
        <v>1158</v>
      </c>
      <c r="C722" s="1565"/>
      <c r="D722" s="543" t="s">
        <v>2555</v>
      </c>
      <c r="E722" s="1565" t="s">
        <v>2556</v>
      </c>
      <c r="F722" s="1565"/>
      <c r="G722" s="544" t="s">
        <v>1161</v>
      </c>
      <c r="H722" s="545">
        <v>2072.5500000000002</v>
      </c>
      <c r="I722" s="545">
        <f t="shared" si="23"/>
        <v>2072.5500000000002</v>
      </c>
      <c r="J722" s="546">
        <f t="shared" si="22"/>
        <v>2382.6</v>
      </c>
    </row>
    <row r="723" spans="1:10" ht="39" customHeight="1" x14ac:dyDescent="0.2">
      <c r="A723" s="543" t="s">
        <v>1157</v>
      </c>
      <c r="B723" s="1565" t="s">
        <v>1158</v>
      </c>
      <c r="C723" s="1565"/>
      <c r="D723" s="543" t="s">
        <v>2557</v>
      </c>
      <c r="E723" s="1565" t="s">
        <v>2558</v>
      </c>
      <c r="F723" s="1565"/>
      <c r="G723" s="544" t="s">
        <v>646</v>
      </c>
      <c r="H723" s="545">
        <v>1.99</v>
      </c>
      <c r="I723" s="545">
        <f t="shared" si="23"/>
        <v>1.99</v>
      </c>
      <c r="J723" s="546">
        <f t="shared" si="22"/>
        <v>2.2799999999999998</v>
      </c>
    </row>
    <row r="724" spans="1:10" ht="39" customHeight="1" x14ac:dyDescent="0.2">
      <c r="A724" s="543" t="s">
        <v>1157</v>
      </c>
      <c r="B724" s="1565" t="s">
        <v>1158</v>
      </c>
      <c r="C724" s="1565"/>
      <c r="D724" s="543" t="s">
        <v>2559</v>
      </c>
      <c r="E724" s="1565" t="s">
        <v>2560</v>
      </c>
      <c r="F724" s="1565"/>
      <c r="G724" s="544" t="s">
        <v>646</v>
      </c>
      <c r="H724" s="545">
        <v>18.28</v>
      </c>
      <c r="I724" s="545">
        <f t="shared" si="23"/>
        <v>18.28</v>
      </c>
      <c r="J724" s="546">
        <f t="shared" si="22"/>
        <v>21.01</v>
      </c>
    </row>
    <row r="725" spans="1:10" ht="39" customHeight="1" x14ac:dyDescent="0.2">
      <c r="A725" s="543" t="s">
        <v>1157</v>
      </c>
      <c r="B725" s="1565" t="s">
        <v>1158</v>
      </c>
      <c r="C725" s="1565"/>
      <c r="D725" s="543" t="s">
        <v>2561</v>
      </c>
      <c r="E725" s="1565" t="s">
        <v>2562</v>
      </c>
      <c r="F725" s="1565"/>
      <c r="G725" s="544" t="s">
        <v>646</v>
      </c>
      <c r="H725" s="545">
        <v>0</v>
      </c>
      <c r="I725" s="545">
        <f t="shared" si="23"/>
        <v>0</v>
      </c>
      <c r="J725" s="546">
        <f t="shared" si="22"/>
        <v>0</v>
      </c>
    </row>
    <row r="726" spans="1:10" ht="39" customHeight="1" x14ac:dyDescent="0.2">
      <c r="A726" s="543" t="s">
        <v>1157</v>
      </c>
      <c r="B726" s="1565" t="s">
        <v>1158</v>
      </c>
      <c r="C726" s="1565"/>
      <c r="D726" s="543" t="s">
        <v>2563</v>
      </c>
      <c r="E726" s="1565" t="s">
        <v>2564</v>
      </c>
      <c r="F726" s="1565"/>
      <c r="G726" s="544" t="s">
        <v>646</v>
      </c>
      <c r="H726" s="545">
        <v>386.39</v>
      </c>
      <c r="I726" s="545">
        <f t="shared" si="23"/>
        <v>386.39</v>
      </c>
      <c r="J726" s="546">
        <f t="shared" si="22"/>
        <v>444.19</v>
      </c>
    </row>
    <row r="727" spans="1:10" ht="39" customHeight="1" x14ac:dyDescent="0.2">
      <c r="A727" s="543" t="s">
        <v>1157</v>
      </c>
      <c r="B727" s="1565" t="s">
        <v>1158</v>
      </c>
      <c r="C727" s="1565"/>
      <c r="D727" s="543" t="s">
        <v>2565</v>
      </c>
      <c r="E727" s="1565" t="s">
        <v>2566</v>
      </c>
      <c r="F727" s="1565"/>
      <c r="G727" s="544" t="s">
        <v>1181</v>
      </c>
      <c r="H727" s="545">
        <v>43.65</v>
      </c>
      <c r="I727" s="545">
        <f t="shared" si="23"/>
        <v>43.65</v>
      </c>
      <c r="J727" s="546">
        <f t="shared" si="22"/>
        <v>50.18</v>
      </c>
    </row>
    <row r="728" spans="1:10" ht="39" customHeight="1" x14ac:dyDescent="0.2">
      <c r="A728" s="543" t="s">
        <v>1157</v>
      </c>
      <c r="B728" s="1565" t="s">
        <v>1158</v>
      </c>
      <c r="C728" s="1565"/>
      <c r="D728" s="543" t="s">
        <v>2567</v>
      </c>
      <c r="E728" s="1565" t="s">
        <v>2568</v>
      </c>
      <c r="F728" s="1565"/>
      <c r="G728" s="544" t="s">
        <v>1161</v>
      </c>
      <c r="H728" s="545">
        <v>502.19</v>
      </c>
      <c r="I728" s="545">
        <f t="shared" si="23"/>
        <v>502.19</v>
      </c>
      <c r="J728" s="546">
        <f t="shared" si="22"/>
        <v>577.30999999999995</v>
      </c>
    </row>
    <row r="729" spans="1:10" ht="39" customHeight="1" x14ac:dyDescent="0.2">
      <c r="A729" s="543" t="s">
        <v>1157</v>
      </c>
      <c r="B729" s="1565" t="s">
        <v>1158</v>
      </c>
      <c r="C729" s="1565"/>
      <c r="D729" s="543" t="s">
        <v>2569</v>
      </c>
      <c r="E729" s="1565" t="s">
        <v>2570</v>
      </c>
      <c r="F729" s="1565"/>
      <c r="G729" s="544" t="s">
        <v>1161</v>
      </c>
      <c r="H729" s="545">
        <v>74.540000000000006</v>
      </c>
      <c r="I729" s="545">
        <f t="shared" si="23"/>
        <v>74.540000000000006</v>
      </c>
      <c r="J729" s="546">
        <f t="shared" si="22"/>
        <v>85.69</v>
      </c>
    </row>
    <row r="730" spans="1:10" ht="39" customHeight="1" x14ac:dyDescent="0.2">
      <c r="A730" s="543" t="s">
        <v>1157</v>
      </c>
      <c r="B730" s="1565" t="s">
        <v>1158</v>
      </c>
      <c r="C730" s="1565"/>
      <c r="D730" s="543" t="s">
        <v>2571</v>
      </c>
      <c r="E730" s="1565" t="s">
        <v>2572</v>
      </c>
      <c r="F730" s="1565"/>
      <c r="G730" s="544" t="s">
        <v>1161</v>
      </c>
      <c r="H730" s="545">
        <v>568.61</v>
      </c>
      <c r="I730" s="545">
        <f t="shared" si="23"/>
        <v>568.61</v>
      </c>
      <c r="J730" s="546">
        <f t="shared" si="22"/>
        <v>653.66999999999996</v>
      </c>
    </row>
    <row r="731" spans="1:10" ht="39" customHeight="1" x14ac:dyDescent="0.2">
      <c r="A731" s="543" t="s">
        <v>1157</v>
      </c>
      <c r="B731" s="1565" t="s">
        <v>1158</v>
      </c>
      <c r="C731" s="1565"/>
      <c r="D731" s="543" t="s">
        <v>2573</v>
      </c>
      <c r="E731" s="1565" t="s">
        <v>2574</v>
      </c>
      <c r="F731" s="1565"/>
      <c r="G731" s="544" t="s">
        <v>1161</v>
      </c>
      <c r="H731" s="545">
        <v>456.33</v>
      </c>
      <c r="I731" s="545">
        <f t="shared" si="23"/>
        <v>456.33</v>
      </c>
      <c r="J731" s="546">
        <f t="shared" si="22"/>
        <v>524.59</v>
      </c>
    </row>
    <row r="732" spans="1:10" ht="39" customHeight="1" x14ac:dyDescent="0.2">
      <c r="A732" s="543" t="s">
        <v>1157</v>
      </c>
      <c r="B732" s="1565" t="s">
        <v>1158</v>
      </c>
      <c r="C732" s="1565"/>
      <c r="D732" s="543" t="s">
        <v>2575</v>
      </c>
      <c r="E732" s="1565" t="s">
        <v>2576</v>
      </c>
      <c r="F732" s="1565"/>
      <c r="G732" s="544" t="s">
        <v>1161</v>
      </c>
      <c r="H732" s="545">
        <v>568.61</v>
      </c>
      <c r="I732" s="545">
        <f t="shared" si="23"/>
        <v>568.61</v>
      </c>
      <c r="J732" s="546">
        <f t="shared" si="22"/>
        <v>653.66999999999996</v>
      </c>
    </row>
    <row r="733" spans="1:10" ht="39" customHeight="1" x14ac:dyDescent="0.2">
      <c r="A733" s="543" t="s">
        <v>1157</v>
      </c>
      <c r="B733" s="1565" t="s">
        <v>1158</v>
      </c>
      <c r="C733" s="1565"/>
      <c r="D733" s="543" t="s">
        <v>2577</v>
      </c>
      <c r="E733" s="1565" t="s">
        <v>2578</v>
      </c>
      <c r="F733" s="1565"/>
      <c r="G733" s="544" t="s">
        <v>1191</v>
      </c>
      <c r="H733" s="545">
        <v>67.78</v>
      </c>
      <c r="I733" s="545">
        <f t="shared" si="23"/>
        <v>67.78</v>
      </c>
      <c r="J733" s="546">
        <f t="shared" si="22"/>
        <v>77.91</v>
      </c>
    </row>
    <row r="734" spans="1:10" ht="39" customHeight="1" x14ac:dyDescent="0.2">
      <c r="A734" s="543" t="s">
        <v>1157</v>
      </c>
      <c r="B734" s="1565" t="s">
        <v>1158</v>
      </c>
      <c r="C734" s="1565"/>
      <c r="D734" s="543" t="s">
        <v>2579</v>
      </c>
      <c r="E734" s="1565" t="s">
        <v>2580</v>
      </c>
      <c r="F734" s="1565"/>
      <c r="G734" s="544" t="s">
        <v>1191</v>
      </c>
      <c r="H734" s="545">
        <v>38.42</v>
      </c>
      <c r="I734" s="545">
        <f t="shared" si="23"/>
        <v>38.42</v>
      </c>
      <c r="J734" s="546">
        <f t="shared" si="22"/>
        <v>44.16</v>
      </c>
    </row>
    <row r="735" spans="1:10" ht="39" customHeight="1" x14ac:dyDescent="0.2">
      <c r="A735" s="543" t="s">
        <v>1157</v>
      </c>
      <c r="B735" s="1565" t="s">
        <v>1158</v>
      </c>
      <c r="C735" s="1565"/>
      <c r="D735" s="543" t="s">
        <v>2581</v>
      </c>
      <c r="E735" s="1565" t="s">
        <v>2582</v>
      </c>
      <c r="F735" s="1565"/>
      <c r="G735" s="544" t="s">
        <v>1191</v>
      </c>
      <c r="H735" s="545">
        <v>70</v>
      </c>
      <c r="I735" s="545">
        <f t="shared" si="23"/>
        <v>70</v>
      </c>
      <c r="J735" s="546">
        <f t="shared" si="22"/>
        <v>80.47</v>
      </c>
    </row>
    <row r="736" spans="1:10" ht="39" customHeight="1" x14ac:dyDescent="0.2">
      <c r="A736" s="543" t="s">
        <v>1157</v>
      </c>
      <c r="B736" s="1565" t="s">
        <v>1158</v>
      </c>
      <c r="C736" s="1565"/>
      <c r="D736" s="543" t="s">
        <v>2583</v>
      </c>
      <c r="E736" s="1565" t="s">
        <v>2584</v>
      </c>
      <c r="F736" s="1565"/>
      <c r="G736" s="544" t="s">
        <v>1161</v>
      </c>
      <c r="H736" s="545">
        <v>403.51</v>
      </c>
      <c r="I736" s="545">
        <f t="shared" si="23"/>
        <v>403.51</v>
      </c>
      <c r="J736" s="546">
        <f t="shared" si="22"/>
        <v>463.87</v>
      </c>
    </row>
    <row r="737" spans="1:10" ht="39" customHeight="1" x14ac:dyDescent="0.2">
      <c r="A737" s="543" t="s">
        <v>1157</v>
      </c>
      <c r="B737" s="1565" t="s">
        <v>1158</v>
      </c>
      <c r="C737" s="1565"/>
      <c r="D737" s="543" t="s">
        <v>2585</v>
      </c>
      <c r="E737" s="1565" t="s">
        <v>2586</v>
      </c>
      <c r="F737" s="1565"/>
      <c r="G737" s="544" t="s">
        <v>1161</v>
      </c>
      <c r="H737" s="545">
        <v>247.02</v>
      </c>
      <c r="I737" s="545">
        <f t="shared" si="23"/>
        <v>247.02</v>
      </c>
      <c r="J737" s="546">
        <f t="shared" si="22"/>
        <v>283.97000000000003</v>
      </c>
    </row>
    <row r="738" spans="1:10" ht="39" customHeight="1" x14ac:dyDescent="0.2">
      <c r="A738" s="543" t="s">
        <v>1157</v>
      </c>
      <c r="B738" s="1565" t="s">
        <v>1158</v>
      </c>
      <c r="C738" s="1565"/>
      <c r="D738" s="543" t="s">
        <v>2587</v>
      </c>
      <c r="E738" s="1565" t="s">
        <v>2588</v>
      </c>
      <c r="F738" s="1565"/>
      <c r="G738" s="544" t="s">
        <v>1248</v>
      </c>
      <c r="H738" s="545">
        <v>138.37</v>
      </c>
      <c r="I738" s="545">
        <f t="shared" si="23"/>
        <v>138.37</v>
      </c>
      <c r="J738" s="546">
        <f t="shared" si="22"/>
        <v>159.07</v>
      </c>
    </row>
    <row r="739" spans="1:10" ht="39" customHeight="1" x14ac:dyDescent="0.2">
      <c r="A739" s="543" t="s">
        <v>1157</v>
      </c>
      <c r="B739" s="1565" t="s">
        <v>1158</v>
      </c>
      <c r="C739" s="1565"/>
      <c r="D739" s="543" t="s">
        <v>2589</v>
      </c>
      <c r="E739" s="1565" t="s">
        <v>2590</v>
      </c>
      <c r="F739" s="1565"/>
      <c r="G739" s="544" t="s">
        <v>646</v>
      </c>
      <c r="H739" s="545">
        <v>1126.03</v>
      </c>
      <c r="I739" s="545">
        <f t="shared" si="23"/>
        <v>1126.03</v>
      </c>
      <c r="J739" s="546">
        <f t="shared" si="22"/>
        <v>1294.48</v>
      </c>
    </row>
    <row r="740" spans="1:10" ht="39" customHeight="1" x14ac:dyDescent="0.2">
      <c r="A740" s="543" t="s">
        <v>1157</v>
      </c>
      <c r="B740" s="1565" t="s">
        <v>1158</v>
      </c>
      <c r="C740" s="1565"/>
      <c r="D740" s="543" t="s">
        <v>2591</v>
      </c>
      <c r="E740" s="1565" t="s">
        <v>2592</v>
      </c>
      <c r="F740" s="1565"/>
      <c r="G740" s="544" t="s">
        <v>646</v>
      </c>
      <c r="H740" s="545">
        <v>200.2</v>
      </c>
      <c r="I740" s="545">
        <f t="shared" si="23"/>
        <v>200.2</v>
      </c>
      <c r="J740" s="546">
        <f t="shared" si="22"/>
        <v>230.14</v>
      </c>
    </row>
    <row r="741" spans="1:10" ht="39" customHeight="1" x14ac:dyDescent="0.2">
      <c r="A741" s="543" t="s">
        <v>1157</v>
      </c>
      <c r="B741" s="1565" t="s">
        <v>1158</v>
      </c>
      <c r="C741" s="1565"/>
      <c r="D741" s="543" t="s">
        <v>2593</v>
      </c>
      <c r="E741" s="1565" t="s">
        <v>2594</v>
      </c>
      <c r="F741" s="1565"/>
      <c r="G741" s="544" t="s">
        <v>646</v>
      </c>
      <c r="H741" s="545">
        <v>189.23</v>
      </c>
      <c r="I741" s="545">
        <f t="shared" si="23"/>
        <v>189.23</v>
      </c>
      <c r="J741" s="546">
        <f t="shared" si="22"/>
        <v>217.53</v>
      </c>
    </row>
    <row r="742" spans="1:10" ht="39" customHeight="1" x14ac:dyDescent="0.2">
      <c r="A742" s="543" t="s">
        <v>1157</v>
      </c>
      <c r="B742" s="1565" t="s">
        <v>1158</v>
      </c>
      <c r="C742" s="1565"/>
      <c r="D742" s="543" t="s">
        <v>2595</v>
      </c>
      <c r="E742" s="1565" t="s">
        <v>2596</v>
      </c>
      <c r="F742" s="1565"/>
      <c r="G742" s="544" t="s">
        <v>646</v>
      </c>
      <c r="H742" s="545">
        <v>135.72999999999999</v>
      </c>
      <c r="I742" s="545">
        <f t="shared" si="23"/>
        <v>135.72999999999999</v>
      </c>
      <c r="J742" s="546">
        <f t="shared" si="22"/>
        <v>156.03</v>
      </c>
    </row>
    <row r="743" spans="1:10" ht="39" customHeight="1" x14ac:dyDescent="0.2">
      <c r="A743" s="543" t="s">
        <v>1157</v>
      </c>
      <c r="B743" s="1565" t="s">
        <v>1158</v>
      </c>
      <c r="C743" s="1565"/>
      <c r="D743" s="543" t="s">
        <v>2597</v>
      </c>
      <c r="E743" s="1565" t="s">
        <v>2598</v>
      </c>
      <c r="F743" s="1565"/>
      <c r="G743" s="544" t="s">
        <v>646</v>
      </c>
      <c r="H743" s="545">
        <v>467.78</v>
      </c>
      <c r="I743" s="545">
        <f t="shared" si="23"/>
        <v>467.78</v>
      </c>
      <c r="J743" s="546">
        <f t="shared" si="22"/>
        <v>537.75</v>
      </c>
    </row>
    <row r="744" spans="1:10" ht="39" customHeight="1" x14ac:dyDescent="0.2">
      <c r="A744" s="543" t="s">
        <v>1157</v>
      </c>
      <c r="B744" s="1565" t="s">
        <v>1158</v>
      </c>
      <c r="C744" s="1565"/>
      <c r="D744" s="543" t="s">
        <v>2599</v>
      </c>
      <c r="E744" s="1565" t="s">
        <v>2600</v>
      </c>
      <c r="F744" s="1565"/>
      <c r="G744" s="544" t="s">
        <v>646</v>
      </c>
      <c r="H744" s="545">
        <v>5000</v>
      </c>
      <c r="I744" s="545">
        <f t="shared" si="23"/>
        <v>5000</v>
      </c>
      <c r="J744" s="546">
        <f t="shared" si="22"/>
        <v>5748</v>
      </c>
    </row>
    <row r="745" spans="1:10" ht="39" customHeight="1" x14ac:dyDescent="0.2">
      <c r="A745" s="543" t="s">
        <v>1157</v>
      </c>
      <c r="B745" s="1565" t="s">
        <v>1158</v>
      </c>
      <c r="C745" s="1565"/>
      <c r="D745" s="543" t="s">
        <v>2601</v>
      </c>
      <c r="E745" s="1565" t="s">
        <v>2602</v>
      </c>
      <c r="F745" s="1565"/>
      <c r="G745" s="544" t="s">
        <v>2603</v>
      </c>
      <c r="H745" s="545">
        <v>118.08</v>
      </c>
      <c r="I745" s="545">
        <f t="shared" si="23"/>
        <v>118.08</v>
      </c>
      <c r="J745" s="546">
        <f t="shared" si="22"/>
        <v>135.74</v>
      </c>
    </row>
    <row r="746" spans="1:10" ht="39" customHeight="1" x14ac:dyDescent="0.2">
      <c r="A746" s="543" t="s">
        <v>1157</v>
      </c>
      <c r="B746" s="1565" t="s">
        <v>1158</v>
      </c>
      <c r="C746" s="1565"/>
      <c r="D746" s="543" t="s">
        <v>2604</v>
      </c>
      <c r="E746" s="1565" t="s">
        <v>2605</v>
      </c>
      <c r="F746" s="1565"/>
      <c r="G746" s="544" t="s">
        <v>2603</v>
      </c>
      <c r="H746" s="545">
        <v>249.5</v>
      </c>
      <c r="I746" s="545">
        <f t="shared" si="23"/>
        <v>249.5</v>
      </c>
      <c r="J746" s="546">
        <f t="shared" si="22"/>
        <v>286.82</v>
      </c>
    </row>
    <row r="747" spans="1:10" ht="39" customHeight="1" x14ac:dyDescent="0.2">
      <c r="A747" s="543" t="s">
        <v>1157</v>
      </c>
      <c r="B747" s="1565" t="s">
        <v>1158</v>
      </c>
      <c r="C747" s="1565"/>
      <c r="D747" s="543" t="s">
        <v>2606</v>
      </c>
      <c r="E747" s="1565" t="s">
        <v>2607</v>
      </c>
      <c r="F747" s="1565"/>
      <c r="G747" s="544" t="s">
        <v>2603</v>
      </c>
      <c r="H747" s="545">
        <v>7.8</v>
      </c>
      <c r="I747" s="545">
        <f t="shared" si="23"/>
        <v>7.8</v>
      </c>
      <c r="J747" s="546">
        <f t="shared" si="22"/>
        <v>8.9600000000000009</v>
      </c>
    </row>
    <row r="748" spans="1:10" ht="39" customHeight="1" x14ac:dyDescent="0.2">
      <c r="A748" s="543" t="s">
        <v>1157</v>
      </c>
      <c r="B748" s="1565" t="s">
        <v>1158</v>
      </c>
      <c r="C748" s="1565"/>
      <c r="D748" s="543" t="s">
        <v>2608</v>
      </c>
      <c r="E748" s="1565" t="s">
        <v>2609</v>
      </c>
      <c r="F748" s="1565"/>
      <c r="G748" s="544" t="s">
        <v>1161</v>
      </c>
      <c r="H748" s="545">
        <v>5.99</v>
      </c>
      <c r="I748" s="545">
        <f t="shared" si="23"/>
        <v>5.99</v>
      </c>
      <c r="J748" s="546">
        <f t="shared" si="22"/>
        <v>6.88</v>
      </c>
    </row>
    <row r="749" spans="1:10" ht="39" customHeight="1" x14ac:dyDescent="0.2">
      <c r="A749" s="543" t="s">
        <v>1157</v>
      </c>
      <c r="B749" s="1565" t="s">
        <v>1158</v>
      </c>
      <c r="C749" s="1565"/>
      <c r="D749" s="543" t="s">
        <v>2610</v>
      </c>
      <c r="E749" s="1565" t="s">
        <v>2611</v>
      </c>
      <c r="F749" s="1565"/>
      <c r="G749" s="544" t="s">
        <v>646</v>
      </c>
      <c r="H749" s="545">
        <v>1073.56</v>
      </c>
      <c r="I749" s="545">
        <f t="shared" si="23"/>
        <v>1073.56</v>
      </c>
      <c r="J749" s="546">
        <f t="shared" si="22"/>
        <v>1234.1600000000001</v>
      </c>
    </row>
    <row r="750" spans="1:10" ht="39" customHeight="1" x14ac:dyDescent="0.2">
      <c r="A750" s="543" t="s">
        <v>1157</v>
      </c>
      <c r="B750" s="1565" t="s">
        <v>1158</v>
      </c>
      <c r="C750" s="1565"/>
      <c r="D750" s="543" t="s">
        <v>2612</v>
      </c>
      <c r="E750" s="1565" t="s">
        <v>2613</v>
      </c>
      <c r="F750" s="1565"/>
      <c r="G750" s="544" t="s">
        <v>646</v>
      </c>
      <c r="H750" s="545">
        <v>1486.07</v>
      </c>
      <c r="I750" s="545">
        <f t="shared" si="23"/>
        <v>1486.07</v>
      </c>
      <c r="J750" s="546">
        <f t="shared" si="22"/>
        <v>1708.38</v>
      </c>
    </row>
    <row r="751" spans="1:10" ht="39" customHeight="1" x14ac:dyDescent="0.2">
      <c r="A751" s="543" t="s">
        <v>1157</v>
      </c>
      <c r="B751" s="1565" t="s">
        <v>1158</v>
      </c>
      <c r="C751" s="1565"/>
      <c r="D751" s="543" t="s">
        <v>2614</v>
      </c>
      <c r="E751" s="1565" t="s">
        <v>2615</v>
      </c>
      <c r="F751" s="1565"/>
      <c r="G751" s="544" t="s">
        <v>646</v>
      </c>
      <c r="H751" s="545">
        <v>2111.02</v>
      </c>
      <c r="I751" s="545">
        <f t="shared" si="23"/>
        <v>2111.02</v>
      </c>
      <c r="J751" s="546">
        <f t="shared" si="22"/>
        <v>2426.8200000000002</v>
      </c>
    </row>
    <row r="752" spans="1:10" ht="39" customHeight="1" x14ac:dyDescent="0.2">
      <c r="A752" s="543" t="s">
        <v>1157</v>
      </c>
      <c r="B752" s="1565" t="s">
        <v>1158</v>
      </c>
      <c r="C752" s="1565"/>
      <c r="D752" s="543" t="s">
        <v>2616</v>
      </c>
      <c r="E752" s="1565" t="s">
        <v>2617</v>
      </c>
      <c r="F752" s="1565"/>
      <c r="G752" s="544" t="s">
        <v>646</v>
      </c>
      <c r="H752" s="545">
        <v>637.33000000000004</v>
      </c>
      <c r="I752" s="545">
        <f t="shared" si="23"/>
        <v>637.33000000000004</v>
      </c>
      <c r="J752" s="546">
        <f t="shared" si="22"/>
        <v>732.67</v>
      </c>
    </row>
    <row r="753" spans="1:10" ht="39" customHeight="1" x14ac:dyDescent="0.2">
      <c r="A753" s="543" t="s">
        <v>1157</v>
      </c>
      <c r="B753" s="1565" t="s">
        <v>1158</v>
      </c>
      <c r="C753" s="1565"/>
      <c r="D753" s="543" t="s">
        <v>2618</v>
      </c>
      <c r="E753" s="1565" t="s">
        <v>2619</v>
      </c>
      <c r="F753" s="1565"/>
      <c r="G753" s="544" t="s">
        <v>646</v>
      </c>
      <c r="H753" s="545">
        <v>728.08</v>
      </c>
      <c r="I753" s="545">
        <f t="shared" si="23"/>
        <v>728.08</v>
      </c>
      <c r="J753" s="546">
        <f t="shared" si="22"/>
        <v>837</v>
      </c>
    </row>
    <row r="754" spans="1:10" ht="39" customHeight="1" x14ac:dyDescent="0.2">
      <c r="A754" s="543" t="s">
        <v>1157</v>
      </c>
      <c r="B754" s="1565" t="s">
        <v>1158</v>
      </c>
      <c r="C754" s="1565"/>
      <c r="D754" s="543" t="s">
        <v>2620</v>
      </c>
      <c r="E754" s="1565" t="s">
        <v>2621</v>
      </c>
      <c r="F754" s="1565"/>
      <c r="G754" s="544" t="s">
        <v>646</v>
      </c>
      <c r="H754" s="545">
        <v>898.24</v>
      </c>
      <c r="I754" s="545">
        <f t="shared" si="23"/>
        <v>898.24</v>
      </c>
      <c r="J754" s="546">
        <f t="shared" si="22"/>
        <v>1032.6099999999999</v>
      </c>
    </row>
    <row r="755" spans="1:10" ht="39" customHeight="1" x14ac:dyDescent="0.2">
      <c r="A755" s="543" t="s">
        <v>1157</v>
      </c>
      <c r="B755" s="1565" t="s">
        <v>1158</v>
      </c>
      <c r="C755" s="1565"/>
      <c r="D755" s="543" t="s">
        <v>2622</v>
      </c>
      <c r="E755" s="1565" t="s">
        <v>2623</v>
      </c>
      <c r="F755" s="1565"/>
      <c r="G755" s="544" t="s">
        <v>646</v>
      </c>
      <c r="H755" s="545">
        <v>1085.93</v>
      </c>
      <c r="I755" s="545">
        <f t="shared" si="23"/>
        <v>1085.93</v>
      </c>
      <c r="J755" s="546">
        <f t="shared" si="22"/>
        <v>1248.3800000000001</v>
      </c>
    </row>
    <row r="756" spans="1:10" ht="39" customHeight="1" x14ac:dyDescent="0.2">
      <c r="A756" s="543" t="s">
        <v>1157</v>
      </c>
      <c r="B756" s="1565" t="s">
        <v>1158</v>
      </c>
      <c r="C756" s="1565"/>
      <c r="D756" s="543" t="s">
        <v>2624</v>
      </c>
      <c r="E756" s="1565" t="s">
        <v>2625</v>
      </c>
      <c r="F756" s="1565"/>
      <c r="G756" s="544" t="s">
        <v>646</v>
      </c>
      <c r="H756" s="545">
        <v>1340.66</v>
      </c>
      <c r="I756" s="545">
        <f t="shared" si="23"/>
        <v>1340.66</v>
      </c>
      <c r="J756" s="546">
        <f t="shared" si="22"/>
        <v>1541.22</v>
      </c>
    </row>
    <row r="757" spans="1:10" ht="39" customHeight="1" x14ac:dyDescent="0.2">
      <c r="A757" s="543" t="s">
        <v>1157</v>
      </c>
      <c r="B757" s="1565" t="s">
        <v>1158</v>
      </c>
      <c r="C757" s="1565"/>
      <c r="D757" s="543" t="s">
        <v>2626</v>
      </c>
      <c r="E757" s="1565" t="s">
        <v>2627</v>
      </c>
      <c r="F757" s="1565"/>
      <c r="G757" s="544" t="s">
        <v>646</v>
      </c>
      <c r="H757" s="545">
        <v>302.16000000000003</v>
      </c>
      <c r="I757" s="545">
        <f t="shared" si="23"/>
        <v>302.16000000000003</v>
      </c>
      <c r="J757" s="546">
        <f t="shared" si="22"/>
        <v>347.36</v>
      </c>
    </row>
    <row r="758" spans="1:10" ht="39" customHeight="1" x14ac:dyDescent="0.2">
      <c r="A758" s="543" t="s">
        <v>1157</v>
      </c>
      <c r="B758" s="1565" t="s">
        <v>1158</v>
      </c>
      <c r="C758" s="1565"/>
      <c r="D758" s="543" t="s">
        <v>2628</v>
      </c>
      <c r="E758" s="1565" t="s">
        <v>2629</v>
      </c>
      <c r="F758" s="1565"/>
      <c r="G758" s="544" t="s">
        <v>646</v>
      </c>
      <c r="H758" s="545">
        <v>443.45</v>
      </c>
      <c r="I758" s="545">
        <f t="shared" si="23"/>
        <v>443.45</v>
      </c>
      <c r="J758" s="546">
        <f t="shared" si="22"/>
        <v>509.79</v>
      </c>
    </row>
    <row r="759" spans="1:10" ht="39" customHeight="1" x14ac:dyDescent="0.2">
      <c r="A759" s="543" t="s">
        <v>1157</v>
      </c>
      <c r="B759" s="1565" t="s">
        <v>1158</v>
      </c>
      <c r="C759" s="1565"/>
      <c r="D759" s="543" t="s">
        <v>2630</v>
      </c>
      <c r="E759" s="1565" t="s">
        <v>2631</v>
      </c>
      <c r="F759" s="1565"/>
      <c r="G759" s="544" t="s">
        <v>646</v>
      </c>
      <c r="H759" s="545">
        <v>1717.19</v>
      </c>
      <c r="I759" s="545">
        <f t="shared" si="23"/>
        <v>1717.19</v>
      </c>
      <c r="J759" s="546">
        <f t="shared" si="22"/>
        <v>1974.08</v>
      </c>
    </row>
    <row r="760" spans="1:10" ht="39" customHeight="1" x14ac:dyDescent="0.2">
      <c r="A760" s="543" t="s">
        <v>1157</v>
      </c>
      <c r="B760" s="1565" t="s">
        <v>1158</v>
      </c>
      <c r="C760" s="1565"/>
      <c r="D760" s="543" t="s">
        <v>2632</v>
      </c>
      <c r="E760" s="1565" t="s">
        <v>2633</v>
      </c>
      <c r="F760" s="1565"/>
      <c r="G760" s="544" t="s">
        <v>646</v>
      </c>
      <c r="H760" s="545">
        <v>69.540000000000006</v>
      </c>
      <c r="I760" s="545">
        <f t="shared" si="23"/>
        <v>69.540000000000006</v>
      </c>
      <c r="J760" s="546">
        <f t="shared" si="22"/>
        <v>79.94</v>
      </c>
    </row>
    <row r="761" spans="1:10" ht="39" customHeight="1" x14ac:dyDescent="0.2">
      <c r="A761" s="543" t="s">
        <v>1157</v>
      </c>
      <c r="B761" s="1565" t="s">
        <v>1158</v>
      </c>
      <c r="C761" s="1565"/>
      <c r="D761" s="543" t="s">
        <v>2634</v>
      </c>
      <c r="E761" s="1565" t="s">
        <v>2635</v>
      </c>
      <c r="F761" s="1565"/>
      <c r="G761" s="544" t="s">
        <v>646</v>
      </c>
      <c r="H761" s="545">
        <v>462.93</v>
      </c>
      <c r="I761" s="545">
        <f t="shared" si="23"/>
        <v>462.93</v>
      </c>
      <c r="J761" s="546">
        <f t="shared" si="22"/>
        <v>532.17999999999995</v>
      </c>
    </row>
    <row r="762" spans="1:10" ht="39" customHeight="1" x14ac:dyDescent="0.2">
      <c r="A762" s="543" t="s">
        <v>1157</v>
      </c>
      <c r="B762" s="1565" t="s">
        <v>1158</v>
      </c>
      <c r="C762" s="1565"/>
      <c r="D762" s="543" t="s">
        <v>2636</v>
      </c>
      <c r="E762" s="1565" t="s">
        <v>2637</v>
      </c>
      <c r="F762" s="1565"/>
      <c r="G762" s="544" t="s">
        <v>646</v>
      </c>
      <c r="H762" s="545">
        <v>418.45</v>
      </c>
      <c r="I762" s="545">
        <f t="shared" si="23"/>
        <v>418.45</v>
      </c>
      <c r="J762" s="546">
        <f t="shared" si="22"/>
        <v>481.05</v>
      </c>
    </row>
    <row r="763" spans="1:10" ht="39" customHeight="1" x14ac:dyDescent="0.2">
      <c r="A763" s="543" t="s">
        <v>1157</v>
      </c>
      <c r="B763" s="1565" t="s">
        <v>1158</v>
      </c>
      <c r="C763" s="1565"/>
      <c r="D763" s="543" t="s">
        <v>2638</v>
      </c>
      <c r="E763" s="1565" t="s">
        <v>2639</v>
      </c>
      <c r="F763" s="1565"/>
      <c r="G763" s="544" t="s">
        <v>646</v>
      </c>
      <c r="H763" s="545">
        <v>18.05</v>
      </c>
      <c r="I763" s="545">
        <f t="shared" si="23"/>
        <v>18.05</v>
      </c>
      <c r="J763" s="546">
        <f t="shared" si="22"/>
        <v>20.75</v>
      </c>
    </row>
    <row r="764" spans="1:10" ht="39" customHeight="1" x14ac:dyDescent="0.2">
      <c r="A764" s="543" t="s">
        <v>1157</v>
      </c>
      <c r="B764" s="1565" t="s">
        <v>1158</v>
      </c>
      <c r="C764" s="1565"/>
      <c r="D764" s="543" t="s">
        <v>2638</v>
      </c>
      <c r="E764" s="1565" t="s">
        <v>2640</v>
      </c>
      <c r="F764" s="1565"/>
      <c r="G764" s="544" t="s">
        <v>646</v>
      </c>
      <c r="H764" s="545">
        <v>61.24</v>
      </c>
      <c r="I764" s="545">
        <f t="shared" si="23"/>
        <v>61.24</v>
      </c>
      <c r="J764" s="546">
        <f t="shared" si="22"/>
        <v>70.400000000000006</v>
      </c>
    </row>
    <row r="765" spans="1:10" ht="39" customHeight="1" x14ac:dyDescent="0.2">
      <c r="A765" s="543" t="s">
        <v>1157</v>
      </c>
      <c r="B765" s="1565" t="s">
        <v>1158</v>
      </c>
      <c r="C765" s="1565"/>
      <c r="D765" s="543" t="s">
        <v>2641</v>
      </c>
      <c r="E765" s="1565" t="s">
        <v>2642</v>
      </c>
      <c r="F765" s="1565"/>
      <c r="G765" s="544" t="s">
        <v>1191</v>
      </c>
      <c r="H765" s="545">
        <v>12.7</v>
      </c>
      <c r="I765" s="545">
        <f t="shared" si="23"/>
        <v>12.7</v>
      </c>
      <c r="J765" s="546">
        <f t="shared" si="22"/>
        <v>14.59</v>
      </c>
    </row>
    <row r="766" spans="1:10" ht="39" customHeight="1" x14ac:dyDescent="0.2">
      <c r="A766" s="543" t="s">
        <v>1157</v>
      </c>
      <c r="B766" s="1565" t="s">
        <v>1158</v>
      </c>
      <c r="C766" s="1565"/>
      <c r="D766" s="543" t="s">
        <v>2643</v>
      </c>
      <c r="E766" s="1565" t="s">
        <v>2644</v>
      </c>
      <c r="F766" s="1565"/>
      <c r="G766" s="544" t="s">
        <v>1191</v>
      </c>
      <c r="H766" s="545">
        <v>88.74</v>
      </c>
      <c r="I766" s="545">
        <f t="shared" si="23"/>
        <v>88.74</v>
      </c>
      <c r="J766" s="546">
        <f t="shared" si="22"/>
        <v>102.01</v>
      </c>
    </row>
    <row r="767" spans="1:10" ht="39" customHeight="1" x14ac:dyDescent="0.2">
      <c r="A767" s="543" t="s">
        <v>1157</v>
      </c>
      <c r="B767" s="1565" t="s">
        <v>1158</v>
      </c>
      <c r="C767" s="1565"/>
      <c r="D767" s="543" t="s">
        <v>2645</v>
      </c>
      <c r="E767" s="1565" t="s">
        <v>2646</v>
      </c>
      <c r="F767" s="1565"/>
      <c r="G767" s="544" t="s">
        <v>646</v>
      </c>
      <c r="H767" s="545">
        <v>3.13</v>
      </c>
      <c r="I767" s="545">
        <f t="shared" si="23"/>
        <v>3.13</v>
      </c>
      <c r="J767" s="546">
        <f t="shared" si="22"/>
        <v>3.59</v>
      </c>
    </row>
    <row r="768" spans="1:10" ht="39" customHeight="1" x14ac:dyDescent="0.2">
      <c r="A768" s="543" t="s">
        <v>1157</v>
      </c>
      <c r="B768" s="1565" t="s">
        <v>1158</v>
      </c>
      <c r="C768" s="1565"/>
      <c r="D768" s="543" t="s">
        <v>2647</v>
      </c>
      <c r="E768" s="1565" t="s">
        <v>2648</v>
      </c>
      <c r="F768" s="1565"/>
      <c r="G768" s="544" t="s">
        <v>646</v>
      </c>
      <c r="H768" s="545">
        <v>9.25</v>
      </c>
      <c r="I768" s="545">
        <f t="shared" si="23"/>
        <v>9.25</v>
      </c>
      <c r="J768" s="546">
        <f t="shared" si="22"/>
        <v>10.63</v>
      </c>
    </row>
    <row r="769" spans="1:12" ht="39" customHeight="1" x14ac:dyDescent="0.2">
      <c r="A769" s="543" t="s">
        <v>1157</v>
      </c>
      <c r="B769" s="1565" t="s">
        <v>1158</v>
      </c>
      <c r="C769" s="1565"/>
      <c r="D769" s="543" t="s">
        <v>2649</v>
      </c>
      <c r="E769" s="1565" t="s">
        <v>2650</v>
      </c>
      <c r="F769" s="1565"/>
      <c r="G769" s="544" t="s">
        <v>646</v>
      </c>
      <c r="H769" s="545">
        <v>9.25</v>
      </c>
      <c r="I769" s="545">
        <f t="shared" si="23"/>
        <v>9.25</v>
      </c>
      <c r="J769" s="546">
        <f t="shared" si="22"/>
        <v>10.63</v>
      </c>
    </row>
    <row r="770" spans="1:12" ht="39" customHeight="1" x14ac:dyDescent="0.2">
      <c r="A770" s="543" t="s">
        <v>1157</v>
      </c>
      <c r="B770" s="1565" t="s">
        <v>1158</v>
      </c>
      <c r="C770" s="1565"/>
      <c r="D770" s="543" t="s">
        <v>2651</v>
      </c>
      <c r="E770" s="1565" t="s">
        <v>2652</v>
      </c>
      <c r="F770" s="1565"/>
      <c r="G770" s="544" t="s">
        <v>646</v>
      </c>
      <c r="H770" s="545">
        <v>9.25</v>
      </c>
      <c r="I770" s="545">
        <f t="shared" si="23"/>
        <v>9.25</v>
      </c>
      <c r="J770" s="546">
        <f t="shared" si="22"/>
        <v>10.63</v>
      </c>
    </row>
    <row r="771" spans="1:12" ht="39" customHeight="1" x14ac:dyDescent="0.2">
      <c r="A771" s="543" t="s">
        <v>1157</v>
      </c>
      <c r="B771" s="1565" t="s">
        <v>1158</v>
      </c>
      <c r="C771" s="1565"/>
      <c r="D771" s="543" t="s">
        <v>2653</v>
      </c>
      <c r="E771" s="1565" t="s">
        <v>2654</v>
      </c>
      <c r="F771" s="1565"/>
      <c r="G771" s="544" t="s">
        <v>646</v>
      </c>
      <c r="H771" s="545">
        <v>35.07</v>
      </c>
      <c r="I771" s="545">
        <f t="shared" si="23"/>
        <v>35.07</v>
      </c>
      <c r="J771" s="546">
        <f t="shared" si="22"/>
        <v>40.31</v>
      </c>
    </row>
    <row r="772" spans="1:12" ht="39" customHeight="1" x14ac:dyDescent="0.2">
      <c r="A772" s="543" t="s">
        <v>1157</v>
      </c>
      <c r="B772" s="1565" t="s">
        <v>1158</v>
      </c>
      <c r="C772" s="1565"/>
      <c r="D772" s="543" t="s">
        <v>2655</v>
      </c>
      <c r="E772" s="1565" t="s">
        <v>2656</v>
      </c>
      <c r="F772" s="1565"/>
      <c r="G772" s="544" t="s">
        <v>646</v>
      </c>
      <c r="H772" s="545">
        <v>35.07</v>
      </c>
      <c r="I772" s="545">
        <f t="shared" si="23"/>
        <v>35.07</v>
      </c>
      <c r="J772" s="546">
        <f t="shared" si="22"/>
        <v>40.31</v>
      </c>
    </row>
    <row r="773" spans="1:12" ht="39" customHeight="1" x14ac:dyDescent="0.2">
      <c r="A773" s="543" t="s">
        <v>1157</v>
      </c>
      <c r="B773" s="1565" t="s">
        <v>1158</v>
      </c>
      <c r="C773" s="1565"/>
      <c r="D773" s="543" t="s">
        <v>2657</v>
      </c>
      <c r="E773" s="1565" t="s">
        <v>2658</v>
      </c>
      <c r="F773" s="1565"/>
      <c r="G773" s="544" t="s">
        <v>1161</v>
      </c>
      <c r="H773" s="545">
        <v>1113.8399999999999</v>
      </c>
      <c r="I773" s="545">
        <f t="shared" si="23"/>
        <v>1113.8399999999999</v>
      </c>
      <c r="J773" s="546">
        <f t="shared" si="22"/>
        <v>1280.47</v>
      </c>
    </row>
    <row r="774" spans="1:12" ht="39" customHeight="1" x14ac:dyDescent="0.2">
      <c r="A774" s="543" t="s">
        <v>1157</v>
      </c>
      <c r="B774" s="1565" t="s">
        <v>1158</v>
      </c>
      <c r="C774" s="1565"/>
      <c r="D774" s="543" t="s">
        <v>2659</v>
      </c>
      <c r="E774" s="1565" t="s">
        <v>2660</v>
      </c>
      <c r="F774" s="1565"/>
      <c r="G774" s="544" t="s">
        <v>1161</v>
      </c>
      <c r="H774" s="545">
        <v>343.52</v>
      </c>
      <c r="I774" s="545">
        <f t="shared" si="23"/>
        <v>343.52</v>
      </c>
      <c r="J774" s="546">
        <f t="shared" si="22"/>
        <v>394.91</v>
      </c>
      <c r="L774" s="512" t="str">
        <f t="shared" ref="L774:L780" si="24">IF(H774&gt;1000,H774,"")</f>
        <v/>
      </c>
    </row>
    <row r="775" spans="1:12" ht="39" customHeight="1" x14ac:dyDescent="0.2">
      <c r="A775" s="543" t="s">
        <v>1157</v>
      </c>
      <c r="B775" s="1565" t="s">
        <v>1158</v>
      </c>
      <c r="C775" s="1565"/>
      <c r="D775" s="543" t="s">
        <v>2661</v>
      </c>
      <c r="E775" s="1565" t="s">
        <v>2662</v>
      </c>
      <c r="F775" s="1565"/>
      <c r="G775" s="544" t="s">
        <v>646</v>
      </c>
      <c r="H775" s="545">
        <v>279.43</v>
      </c>
      <c r="I775" s="545">
        <f t="shared" si="23"/>
        <v>279.43</v>
      </c>
      <c r="J775" s="546">
        <f t="shared" si="22"/>
        <v>321.23</v>
      </c>
      <c r="L775" s="512" t="str">
        <f t="shared" si="24"/>
        <v/>
      </c>
    </row>
    <row r="776" spans="1:12" ht="39" customHeight="1" x14ac:dyDescent="0.2">
      <c r="A776" s="543" t="s">
        <v>1157</v>
      </c>
      <c r="B776" s="1565" t="s">
        <v>1158</v>
      </c>
      <c r="C776" s="1565"/>
      <c r="D776" s="543" t="s">
        <v>2663</v>
      </c>
      <c r="E776" s="1565" t="s">
        <v>2664</v>
      </c>
      <c r="F776" s="1565"/>
      <c r="G776" s="544" t="s">
        <v>646</v>
      </c>
      <c r="H776" s="545">
        <v>688.26</v>
      </c>
      <c r="I776" s="545">
        <f t="shared" si="23"/>
        <v>688.26</v>
      </c>
      <c r="J776" s="546">
        <f t="shared" si="22"/>
        <v>791.22</v>
      </c>
      <c r="L776" s="512" t="str">
        <f t="shared" si="24"/>
        <v/>
      </c>
    </row>
    <row r="777" spans="1:12" ht="39" customHeight="1" x14ac:dyDescent="0.2">
      <c r="A777" s="543" t="s">
        <v>1157</v>
      </c>
      <c r="B777" s="1565" t="s">
        <v>1158</v>
      </c>
      <c r="C777" s="1565"/>
      <c r="D777" s="543" t="s">
        <v>2665</v>
      </c>
      <c r="E777" s="1565" t="s">
        <v>2666</v>
      </c>
      <c r="F777" s="1565"/>
      <c r="G777" s="544" t="s">
        <v>1161</v>
      </c>
      <c r="H777" s="545">
        <v>152.61000000000001</v>
      </c>
      <c r="I777" s="545">
        <f t="shared" si="23"/>
        <v>152.61000000000001</v>
      </c>
      <c r="J777" s="546">
        <f t="shared" si="22"/>
        <v>175.44</v>
      </c>
      <c r="L777" s="512" t="str">
        <f t="shared" si="24"/>
        <v/>
      </c>
    </row>
    <row r="778" spans="1:12" ht="39" customHeight="1" x14ac:dyDescent="0.2">
      <c r="A778" s="543" t="s">
        <v>1157</v>
      </c>
      <c r="B778" s="1565" t="s">
        <v>1158</v>
      </c>
      <c r="C778" s="1565"/>
      <c r="D778" s="543" t="s">
        <v>2667</v>
      </c>
      <c r="E778" s="1565" t="s">
        <v>2668</v>
      </c>
      <c r="F778" s="1565"/>
      <c r="G778" s="544" t="s">
        <v>646</v>
      </c>
      <c r="H778" s="545">
        <v>263.42</v>
      </c>
      <c r="I778" s="545">
        <f t="shared" si="23"/>
        <v>263.42</v>
      </c>
      <c r="J778" s="546">
        <f t="shared" si="22"/>
        <v>302.82</v>
      </c>
      <c r="L778" s="512" t="str">
        <f t="shared" si="24"/>
        <v/>
      </c>
    </row>
    <row r="779" spans="1:12" ht="39" customHeight="1" x14ac:dyDescent="0.2">
      <c r="A779" s="543" t="s">
        <v>1157</v>
      </c>
      <c r="B779" s="1565" t="s">
        <v>1158</v>
      </c>
      <c r="C779" s="1565"/>
      <c r="D779" s="543" t="s">
        <v>2669</v>
      </c>
      <c r="E779" s="1565" t="s">
        <v>2670</v>
      </c>
      <c r="F779" s="1565"/>
      <c r="G779" s="544" t="s">
        <v>1161</v>
      </c>
      <c r="H779" s="545">
        <v>572.20000000000005</v>
      </c>
      <c r="I779" s="545">
        <f t="shared" si="23"/>
        <v>572.20000000000005</v>
      </c>
      <c r="J779" s="546">
        <f t="shared" si="22"/>
        <v>657.8</v>
      </c>
      <c r="L779" s="512" t="str">
        <f t="shared" si="24"/>
        <v/>
      </c>
    </row>
    <row r="780" spans="1:12" ht="39" customHeight="1" x14ac:dyDescent="0.2">
      <c r="A780" s="543" t="s">
        <v>1157</v>
      </c>
      <c r="B780" s="1565" t="s">
        <v>1158</v>
      </c>
      <c r="C780" s="1565"/>
      <c r="D780" s="543" t="s">
        <v>2671</v>
      </c>
      <c r="E780" s="1565" t="s">
        <v>2672</v>
      </c>
      <c r="F780" s="1565"/>
      <c r="G780" s="544" t="s">
        <v>646</v>
      </c>
      <c r="H780" s="545">
        <v>3.15</v>
      </c>
      <c r="I780" s="545">
        <f t="shared" si="23"/>
        <v>3.15</v>
      </c>
      <c r="J780" s="546">
        <f t="shared" si="22"/>
        <v>3.62</v>
      </c>
      <c r="L780" s="512" t="str">
        <f t="shared" si="24"/>
        <v/>
      </c>
    </row>
    <row r="781" spans="1:12" s="551" customFormat="1" x14ac:dyDescent="0.2">
      <c r="A781" s="547"/>
      <c r="B781" s="1555"/>
      <c r="C781" s="1555"/>
      <c r="D781" s="548"/>
      <c r="E781" s="1556"/>
      <c r="F781" s="1556"/>
      <c r="G781" s="549"/>
      <c r="H781" s="550"/>
      <c r="I781" s="550"/>
      <c r="J781" s="550"/>
      <c r="K781" s="512"/>
    </row>
    <row r="782" spans="1:12" s="551" customFormat="1" x14ac:dyDescent="0.2">
      <c r="A782" s="547"/>
      <c r="B782" s="1555"/>
      <c r="C782" s="1555"/>
      <c r="D782" s="548"/>
      <c r="E782" s="1556"/>
      <c r="F782" s="1556"/>
      <c r="G782" s="549"/>
      <c r="H782" s="550"/>
      <c r="I782" s="550"/>
      <c r="J782" s="550"/>
      <c r="K782" s="512"/>
    </row>
    <row r="783" spans="1:12" s="551" customFormat="1" x14ac:dyDescent="0.2">
      <c r="A783" s="547"/>
      <c r="B783" s="1555"/>
      <c r="C783" s="1555"/>
      <c r="D783" s="548"/>
      <c r="E783" s="1556"/>
      <c r="F783" s="1556"/>
      <c r="G783" s="549"/>
      <c r="H783" s="550"/>
      <c r="I783" s="550"/>
      <c r="J783" s="550"/>
      <c r="K783" s="512"/>
    </row>
    <row r="784" spans="1:12" s="551" customFormat="1" x14ac:dyDescent="0.2">
      <c r="A784" s="547"/>
      <c r="B784" s="1555"/>
      <c r="C784" s="1555"/>
      <c r="D784" s="548"/>
      <c r="E784" s="1556"/>
      <c r="F784" s="1556"/>
      <c r="G784" s="549"/>
      <c r="H784" s="550"/>
      <c r="I784" s="550"/>
      <c r="J784" s="550"/>
      <c r="K784" s="512"/>
    </row>
    <row r="785" spans="1:11" s="551" customFormat="1" x14ac:dyDescent="0.2">
      <c r="A785" s="547"/>
      <c r="B785" s="1555"/>
      <c r="C785" s="1555"/>
      <c r="D785" s="548"/>
      <c r="E785" s="1556"/>
      <c r="F785" s="1556"/>
      <c r="G785" s="549"/>
      <c r="H785" s="550"/>
      <c r="I785" s="550"/>
      <c r="J785" s="550"/>
      <c r="K785" s="512"/>
    </row>
    <row r="786" spans="1:11" s="551" customFormat="1" x14ac:dyDescent="0.2">
      <c r="A786" s="547"/>
      <c r="B786" s="1555"/>
      <c r="C786" s="1555"/>
      <c r="D786" s="548"/>
      <c r="E786" s="1556"/>
      <c r="F786" s="1556"/>
      <c r="G786" s="549"/>
      <c r="H786" s="550"/>
      <c r="I786" s="550"/>
      <c r="J786" s="550"/>
      <c r="K786" s="512"/>
    </row>
    <row r="787" spans="1:11" s="551" customFormat="1" x14ac:dyDescent="0.2">
      <c r="A787" s="547"/>
      <c r="B787" s="1555"/>
      <c r="C787" s="1555"/>
      <c r="D787" s="548"/>
      <c r="E787" s="1556"/>
      <c r="F787" s="1556"/>
      <c r="G787" s="549"/>
      <c r="H787" s="550"/>
      <c r="I787" s="550"/>
      <c r="J787" s="550"/>
      <c r="K787" s="512"/>
    </row>
    <row r="788" spans="1:11" s="551" customFormat="1" x14ac:dyDescent="0.2">
      <c r="A788" s="547"/>
      <c r="B788" s="1555"/>
      <c r="C788" s="1555"/>
      <c r="D788" s="548"/>
      <c r="E788" s="1556"/>
      <c r="F788" s="1556"/>
      <c r="G788" s="549"/>
      <c r="H788" s="550"/>
      <c r="I788" s="550"/>
      <c r="J788" s="550"/>
      <c r="K788" s="512"/>
    </row>
    <row r="789" spans="1:11" s="551" customFormat="1" x14ac:dyDescent="0.2">
      <c r="A789" s="547"/>
      <c r="B789" s="1555"/>
      <c r="C789" s="1555"/>
      <c r="D789" s="548"/>
      <c r="E789" s="1556"/>
      <c r="F789" s="1556"/>
      <c r="G789" s="549"/>
      <c r="H789" s="550"/>
      <c r="I789" s="550"/>
      <c r="J789" s="550"/>
      <c r="K789" s="512"/>
    </row>
    <row r="790" spans="1:11" s="551" customFormat="1" x14ac:dyDescent="0.2">
      <c r="A790" s="547"/>
      <c r="B790" s="1555"/>
      <c r="C790" s="1555"/>
      <c r="D790" s="548"/>
      <c r="E790" s="1556"/>
      <c r="F790" s="1556"/>
      <c r="G790" s="549"/>
      <c r="H790" s="550"/>
      <c r="I790" s="550"/>
      <c r="J790" s="550"/>
      <c r="K790" s="512"/>
    </row>
    <row r="791" spans="1:11" s="551" customFormat="1" x14ac:dyDescent="0.2">
      <c r="A791" s="547"/>
      <c r="B791" s="1555"/>
      <c r="C791" s="1555"/>
      <c r="D791" s="548"/>
      <c r="E791" s="1556"/>
      <c r="F791" s="1556"/>
      <c r="G791" s="549"/>
      <c r="H791" s="550"/>
      <c r="I791" s="550"/>
      <c r="J791" s="550"/>
      <c r="K791" s="512"/>
    </row>
    <row r="792" spans="1:11" s="551" customFormat="1" x14ac:dyDescent="0.2">
      <c r="A792" s="547"/>
      <c r="B792" s="1555"/>
      <c r="C792" s="1555"/>
      <c r="D792" s="548"/>
      <c r="E792" s="1556"/>
      <c r="F792" s="1556"/>
      <c r="G792" s="549"/>
      <c r="H792" s="550"/>
      <c r="I792" s="550"/>
      <c r="J792" s="550"/>
      <c r="K792" s="512"/>
    </row>
    <row r="793" spans="1:11" s="551" customFormat="1" x14ac:dyDescent="0.2">
      <c r="A793" s="547"/>
      <c r="B793" s="1555"/>
      <c r="C793" s="1555"/>
      <c r="D793" s="548"/>
      <c r="E793" s="1556"/>
      <c r="F793" s="1556"/>
      <c r="G793" s="549"/>
      <c r="H793" s="550"/>
      <c r="I793" s="550"/>
      <c r="J793" s="550"/>
      <c r="K793" s="512"/>
    </row>
    <row r="794" spans="1:11" s="551" customFormat="1" x14ac:dyDescent="0.2">
      <c r="A794" s="547"/>
      <c r="B794" s="1555"/>
      <c r="C794" s="1555"/>
      <c r="D794" s="548"/>
      <c r="E794" s="1556"/>
      <c r="F794" s="1556"/>
      <c r="G794" s="549"/>
      <c r="H794" s="550"/>
      <c r="I794" s="550"/>
      <c r="J794" s="550"/>
      <c r="K794" s="512"/>
    </row>
    <row r="795" spans="1:11" s="551" customFormat="1" x14ac:dyDescent="0.2">
      <c r="A795" s="547"/>
      <c r="B795" s="1555"/>
      <c r="C795" s="1555"/>
      <c r="D795" s="548"/>
      <c r="E795" s="1556"/>
      <c r="F795" s="1556"/>
      <c r="G795" s="549"/>
      <c r="H795" s="550"/>
      <c r="I795" s="550"/>
      <c r="J795" s="550"/>
      <c r="K795" s="512"/>
    </row>
    <row r="796" spans="1:11" s="551" customFormat="1" x14ac:dyDescent="0.2">
      <c r="A796" s="547"/>
      <c r="B796" s="1555"/>
      <c r="C796" s="1555"/>
      <c r="D796" s="548"/>
      <c r="E796" s="1556"/>
      <c r="F796" s="1556"/>
      <c r="G796" s="549"/>
      <c r="H796" s="550"/>
      <c r="I796" s="550"/>
      <c r="J796" s="550"/>
      <c r="K796" s="512"/>
    </row>
    <row r="797" spans="1:11" s="551" customFormat="1" x14ac:dyDescent="0.2">
      <c r="A797" s="547"/>
      <c r="B797" s="1555"/>
      <c r="C797" s="1555"/>
      <c r="D797" s="548"/>
      <c r="E797" s="1556"/>
      <c r="F797" s="1556"/>
      <c r="G797" s="549"/>
      <c r="H797" s="550"/>
      <c r="I797" s="550"/>
      <c r="J797" s="550"/>
      <c r="K797" s="512"/>
    </row>
    <row r="798" spans="1:11" s="551" customFormat="1" x14ac:dyDescent="0.2">
      <c r="A798" s="547"/>
      <c r="B798" s="1555"/>
      <c r="C798" s="1555"/>
      <c r="D798" s="548"/>
      <c r="E798" s="1556"/>
      <c r="F798" s="1556"/>
      <c r="G798" s="549"/>
      <c r="H798" s="550"/>
      <c r="I798" s="550"/>
      <c r="J798" s="550"/>
      <c r="K798" s="512"/>
    </row>
    <row r="799" spans="1:11" s="551" customFormat="1" x14ac:dyDescent="0.2">
      <c r="A799" s="547"/>
      <c r="B799" s="1555"/>
      <c r="C799" s="1555"/>
      <c r="D799" s="548"/>
      <c r="E799" s="1556"/>
      <c r="F799" s="1556"/>
      <c r="G799" s="549"/>
      <c r="H799" s="550"/>
      <c r="I799" s="550"/>
      <c r="J799" s="550"/>
      <c r="K799" s="512"/>
    </row>
    <row r="800" spans="1:11" s="551" customFormat="1" x14ac:dyDescent="0.2">
      <c r="A800" s="547"/>
      <c r="B800" s="1555"/>
      <c r="C800" s="1555"/>
      <c r="D800" s="548"/>
      <c r="E800" s="1556"/>
      <c r="F800" s="1556"/>
      <c r="G800" s="549"/>
      <c r="H800" s="550"/>
      <c r="I800" s="550"/>
      <c r="J800" s="550"/>
      <c r="K800" s="512"/>
    </row>
    <row r="801" spans="1:11" s="551" customFormat="1" x14ac:dyDescent="0.2">
      <c r="A801" s="547"/>
      <c r="B801" s="1555"/>
      <c r="C801" s="1555"/>
      <c r="D801" s="548"/>
      <c r="E801" s="1556"/>
      <c r="F801" s="1556"/>
      <c r="G801" s="549"/>
      <c r="H801" s="550"/>
      <c r="I801" s="550"/>
      <c r="J801" s="550"/>
      <c r="K801" s="512"/>
    </row>
    <row r="802" spans="1:11" s="551" customFormat="1" x14ac:dyDescent="0.2">
      <c r="A802" s="547"/>
      <c r="B802" s="1555"/>
      <c r="C802" s="1555"/>
      <c r="D802" s="548"/>
      <c r="E802" s="1556"/>
      <c r="F802" s="1556"/>
      <c r="G802" s="549"/>
      <c r="H802" s="550"/>
      <c r="I802" s="550"/>
      <c r="J802" s="550"/>
      <c r="K802" s="512"/>
    </row>
    <row r="803" spans="1:11" s="551" customFormat="1" x14ac:dyDescent="0.2">
      <c r="A803" s="547"/>
      <c r="B803" s="1555"/>
      <c r="C803" s="1555"/>
      <c r="D803" s="548"/>
      <c r="E803" s="1556"/>
      <c r="F803" s="1556"/>
      <c r="G803" s="549"/>
      <c r="H803" s="550"/>
      <c r="I803" s="550"/>
      <c r="J803" s="550"/>
      <c r="K803" s="512"/>
    </row>
    <row r="804" spans="1:11" s="551" customFormat="1" x14ac:dyDescent="0.2">
      <c r="A804" s="547"/>
      <c r="B804" s="1555"/>
      <c r="C804" s="1555"/>
      <c r="D804" s="548"/>
      <c r="E804" s="1556"/>
      <c r="F804" s="1556"/>
      <c r="G804" s="549"/>
      <c r="H804" s="550"/>
      <c r="I804" s="550"/>
      <c r="J804" s="550"/>
      <c r="K804" s="512"/>
    </row>
    <row r="805" spans="1:11" s="551" customFormat="1" x14ac:dyDescent="0.2">
      <c r="A805" s="547"/>
      <c r="B805" s="1555"/>
      <c r="C805" s="1555"/>
      <c r="D805" s="548"/>
      <c r="E805" s="1556"/>
      <c r="F805" s="1556"/>
      <c r="G805" s="549"/>
      <c r="H805" s="550"/>
      <c r="I805" s="550"/>
      <c r="J805" s="550"/>
      <c r="K805" s="512"/>
    </row>
    <row r="806" spans="1:11" s="551" customFormat="1" x14ac:dyDescent="0.2">
      <c r="A806" s="547"/>
      <c r="B806" s="1555"/>
      <c r="C806" s="1555"/>
      <c r="D806" s="548"/>
      <c r="E806" s="1556"/>
      <c r="F806" s="1556"/>
      <c r="G806" s="549"/>
      <c r="H806" s="550"/>
      <c r="I806" s="550"/>
      <c r="J806" s="550"/>
      <c r="K806" s="512"/>
    </row>
  </sheetData>
  <sheetProtection sheet="1" objects="1" scenarios="1"/>
  <mergeCells count="1597">
    <mergeCell ref="E20:F20"/>
    <mergeCell ref="B12:C12"/>
    <mergeCell ref="E12:F12"/>
    <mergeCell ref="B13:C13"/>
    <mergeCell ref="E13:F13"/>
    <mergeCell ref="B14:C14"/>
    <mergeCell ref="E21:F21"/>
    <mergeCell ref="E14:F14"/>
    <mergeCell ref="E18:F18"/>
    <mergeCell ref="B19:C19"/>
    <mergeCell ref="E19:F19"/>
    <mergeCell ref="B22:C22"/>
    <mergeCell ref="E22:F22"/>
    <mergeCell ref="B15:C15"/>
    <mergeCell ref="E15:F15"/>
    <mergeCell ref="B16:C16"/>
    <mergeCell ref="E16:F16"/>
    <mergeCell ref="B17:C17"/>
    <mergeCell ref="E17:F17"/>
    <mergeCell ref="B18:C18"/>
    <mergeCell ref="B20:C20"/>
    <mergeCell ref="B29:C29"/>
    <mergeCell ref="E29:F29"/>
    <mergeCell ref="A5:J5"/>
    <mergeCell ref="A6:J6"/>
    <mergeCell ref="A7:J7"/>
    <mergeCell ref="A8:A11"/>
    <mergeCell ref="C8:E8"/>
    <mergeCell ref="C9:E9"/>
    <mergeCell ref="E10:G10"/>
    <mergeCell ref="B21:C21"/>
    <mergeCell ref="E32:F32"/>
    <mergeCell ref="B27:C27"/>
    <mergeCell ref="E26:F26"/>
    <mergeCell ref="B33:C33"/>
    <mergeCell ref="E33:F33"/>
    <mergeCell ref="B23:C23"/>
    <mergeCell ref="E23:F23"/>
    <mergeCell ref="E27:F27"/>
    <mergeCell ref="B28:C28"/>
    <mergeCell ref="E28:F28"/>
    <mergeCell ref="B44:C44"/>
    <mergeCell ref="E30:F30"/>
    <mergeCell ref="B31:C31"/>
    <mergeCell ref="E31:F31"/>
    <mergeCell ref="B24:C24"/>
    <mergeCell ref="E24:F24"/>
    <mergeCell ref="B25:C25"/>
    <mergeCell ref="E25:F25"/>
    <mergeCell ref="B26:C26"/>
    <mergeCell ref="B32:C32"/>
    <mergeCell ref="B40:C40"/>
    <mergeCell ref="E40:F40"/>
    <mergeCell ref="B42:C42"/>
    <mergeCell ref="E42:F42"/>
    <mergeCell ref="B43:C43"/>
    <mergeCell ref="E43:F43"/>
    <mergeCell ref="B37:C37"/>
    <mergeCell ref="E37:F37"/>
    <mergeCell ref="B38:C38"/>
    <mergeCell ref="E38:F38"/>
    <mergeCell ref="B39:C39"/>
    <mergeCell ref="E39:F39"/>
    <mergeCell ref="B49:C49"/>
    <mergeCell ref="E49:F49"/>
    <mergeCell ref="B50:C50"/>
    <mergeCell ref="E50:F50"/>
    <mergeCell ref="B45:C45"/>
    <mergeCell ref="E45:F45"/>
    <mergeCell ref="B46:C46"/>
    <mergeCell ref="E46:F46"/>
    <mergeCell ref="B47:C47"/>
    <mergeCell ref="E47:F47"/>
    <mergeCell ref="B48:C48"/>
    <mergeCell ref="B34:C34"/>
    <mergeCell ref="E34:F34"/>
    <mergeCell ref="B35:C35"/>
    <mergeCell ref="E35:F35"/>
    <mergeCell ref="B30:C30"/>
    <mergeCell ref="E48:F48"/>
    <mergeCell ref="E41:F41"/>
    <mergeCell ref="B36:C36"/>
    <mergeCell ref="E36:F36"/>
    <mergeCell ref="B56:C56"/>
    <mergeCell ref="E56:F56"/>
    <mergeCell ref="B51:C51"/>
    <mergeCell ref="E51:F51"/>
    <mergeCell ref="B52:C52"/>
    <mergeCell ref="E52:F52"/>
    <mergeCell ref="B53:C53"/>
    <mergeCell ref="E53:F53"/>
    <mergeCell ref="B62:C62"/>
    <mergeCell ref="E62:F62"/>
    <mergeCell ref="B57:C57"/>
    <mergeCell ref="E57:F57"/>
    <mergeCell ref="B58:C58"/>
    <mergeCell ref="E58:F58"/>
    <mergeCell ref="B59:C59"/>
    <mergeCell ref="E59:F59"/>
    <mergeCell ref="E44:F44"/>
    <mergeCell ref="B41:C41"/>
    <mergeCell ref="B60:C60"/>
    <mergeCell ref="E60:F60"/>
    <mergeCell ref="B61:C61"/>
    <mergeCell ref="E61:F61"/>
    <mergeCell ref="B54:C54"/>
    <mergeCell ref="E54:F54"/>
    <mergeCell ref="B55:C55"/>
    <mergeCell ref="E55:F55"/>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B182:C182"/>
    <mergeCell ref="E182:F182"/>
    <mergeCell ref="B183:C183"/>
    <mergeCell ref="E183:F183"/>
    <mergeCell ref="B184:C184"/>
    <mergeCell ref="E184:F184"/>
    <mergeCell ref="B185:C185"/>
    <mergeCell ref="E185:F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B232:C232"/>
    <mergeCell ref="E232:F232"/>
    <mergeCell ref="B233:C233"/>
    <mergeCell ref="E233:F233"/>
    <mergeCell ref="B234:C234"/>
    <mergeCell ref="E234:F234"/>
    <mergeCell ref="B235:C235"/>
    <mergeCell ref="E235:F235"/>
    <mergeCell ref="B236:C236"/>
    <mergeCell ref="E236:F236"/>
    <mergeCell ref="B237:C237"/>
    <mergeCell ref="E237:F237"/>
    <mergeCell ref="B238:C238"/>
    <mergeCell ref="E238:F238"/>
    <mergeCell ref="B239:C239"/>
    <mergeCell ref="E239:F239"/>
    <mergeCell ref="B240:C240"/>
    <mergeCell ref="E240:F240"/>
    <mergeCell ref="B241:C241"/>
    <mergeCell ref="E241:F241"/>
    <mergeCell ref="B242:C242"/>
    <mergeCell ref="E242:F242"/>
    <mergeCell ref="B243:C243"/>
    <mergeCell ref="E243:F243"/>
    <mergeCell ref="B244:C244"/>
    <mergeCell ref="E244:F244"/>
    <mergeCell ref="B245:C245"/>
    <mergeCell ref="E245:F245"/>
    <mergeCell ref="B246:C246"/>
    <mergeCell ref="E246:F246"/>
    <mergeCell ref="B247:C247"/>
    <mergeCell ref="E247:F247"/>
    <mergeCell ref="B248:C248"/>
    <mergeCell ref="E248:F248"/>
    <mergeCell ref="B249:C249"/>
    <mergeCell ref="E249:F249"/>
    <mergeCell ref="B250:C250"/>
    <mergeCell ref="E250:F250"/>
    <mergeCell ref="B251:C251"/>
    <mergeCell ref="E251:F251"/>
    <mergeCell ref="B252:C252"/>
    <mergeCell ref="E252:F252"/>
    <mergeCell ref="B253:C253"/>
    <mergeCell ref="E253:F253"/>
    <mergeCell ref="B254:C254"/>
    <mergeCell ref="E254:F254"/>
    <mergeCell ref="B255:C255"/>
    <mergeCell ref="E255:F255"/>
    <mergeCell ref="B256:C256"/>
    <mergeCell ref="E256:F256"/>
    <mergeCell ref="B257:C257"/>
    <mergeCell ref="E257:F257"/>
    <mergeCell ref="B258:C258"/>
    <mergeCell ref="E258:F258"/>
    <mergeCell ref="B259:C259"/>
    <mergeCell ref="E259:F259"/>
    <mergeCell ref="B260:C260"/>
    <mergeCell ref="E260:F260"/>
    <mergeCell ref="B261:C261"/>
    <mergeCell ref="E261:F261"/>
    <mergeCell ref="B262:C262"/>
    <mergeCell ref="E262:F262"/>
    <mergeCell ref="B263:C263"/>
    <mergeCell ref="E263:F263"/>
    <mergeCell ref="B264:C264"/>
    <mergeCell ref="E264:F264"/>
    <mergeCell ref="B265:C265"/>
    <mergeCell ref="E265:F265"/>
    <mergeCell ref="B266:C266"/>
    <mergeCell ref="E266:F266"/>
    <mergeCell ref="B267:C267"/>
    <mergeCell ref="E267:F267"/>
    <mergeCell ref="B268:C268"/>
    <mergeCell ref="E268:F268"/>
    <mergeCell ref="B269:C269"/>
    <mergeCell ref="E269:F269"/>
    <mergeCell ref="B270:C270"/>
    <mergeCell ref="E270:F270"/>
    <mergeCell ref="B271:C271"/>
    <mergeCell ref="E271:F271"/>
    <mergeCell ref="B272:C272"/>
    <mergeCell ref="E272:F272"/>
    <mergeCell ref="B273:C273"/>
    <mergeCell ref="E273:F273"/>
    <mergeCell ref="B274:C274"/>
    <mergeCell ref="E274:F274"/>
    <mergeCell ref="B275:C275"/>
    <mergeCell ref="E275:F275"/>
    <mergeCell ref="B276:C276"/>
    <mergeCell ref="E276:F276"/>
    <mergeCell ref="B277:C277"/>
    <mergeCell ref="E277:F277"/>
    <mergeCell ref="B278:C278"/>
    <mergeCell ref="E278:F278"/>
    <mergeCell ref="B279:C279"/>
    <mergeCell ref="E279:F279"/>
    <mergeCell ref="B280:C280"/>
    <mergeCell ref="E280:F280"/>
    <mergeCell ref="B281:C281"/>
    <mergeCell ref="E281:F281"/>
    <mergeCell ref="B282:C282"/>
    <mergeCell ref="E282:F282"/>
    <mergeCell ref="B283:C283"/>
    <mergeCell ref="E283:F283"/>
    <mergeCell ref="B284:C284"/>
    <mergeCell ref="E284:F284"/>
    <mergeCell ref="B285:C285"/>
    <mergeCell ref="E285:F285"/>
    <mergeCell ref="B286:C286"/>
    <mergeCell ref="E286:F286"/>
    <mergeCell ref="B287:C287"/>
    <mergeCell ref="E287:F287"/>
    <mergeCell ref="B288:C288"/>
    <mergeCell ref="E288:F288"/>
    <mergeCell ref="B289:C289"/>
    <mergeCell ref="E289:F289"/>
    <mergeCell ref="B290:C290"/>
    <mergeCell ref="E290:F290"/>
    <mergeCell ref="B291:C291"/>
    <mergeCell ref="E291:F291"/>
    <mergeCell ref="B292:C292"/>
    <mergeCell ref="E292:F292"/>
    <mergeCell ref="B293:C293"/>
    <mergeCell ref="E293:F293"/>
    <mergeCell ref="B294:C294"/>
    <mergeCell ref="E294:F294"/>
    <mergeCell ref="B295:C295"/>
    <mergeCell ref="E295:F295"/>
    <mergeCell ref="B296:C296"/>
    <mergeCell ref="E296:F296"/>
    <mergeCell ref="B297:C297"/>
    <mergeCell ref="E297:F297"/>
    <mergeCell ref="B298:C298"/>
    <mergeCell ref="E298:F298"/>
    <mergeCell ref="B299:C299"/>
    <mergeCell ref="E299:F299"/>
    <mergeCell ref="B300:C300"/>
    <mergeCell ref="E300:F300"/>
    <mergeCell ref="B301:C301"/>
    <mergeCell ref="E301:F301"/>
    <mergeCell ref="B302:C302"/>
    <mergeCell ref="E302:F302"/>
    <mergeCell ref="B303:C303"/>
    <mergeCell ref="E303:F303"/>
    <mergeCell ref="B304:C304"/>
    <mergeCell ref="E304:F304"/>
    <mergeCell ref="B305:C305"/>
    <mergeCell ref="E305:F305"/>
    <mergeCell ref="B306:C306"/>
    <mergeCell ref="E306:F306"/>
    <mergeCell ref="B307:C307"/>
    <mergeCell ref="E307:F307"/>
    <mergeCell ref="B308:C308"/>
    <mergeCell ref="E308:F308"/>
    <mergeCell ref="B309:C309"/>
    <mergeCell ref="E309:F309"/>
    <mergeCell ref="B310:C310"/>
    <mergeCell ref="E310:F310"/>
    <mergeCell ref="B311:C311"/>
    <mergeCell ref="E311:F311"/>
    <mergeCell ref="B312:C312"/>
    <mergeCell ref="E312:F312"/>
    <mergeCell ref="B313:C313"/>
    <mergeCell ref="E313:F313"/>
    <mergeCell ref="B314:C314"/>
    <mergeCell ref="E314:F314"/>
    <mergeCell ref="B315:C315"/>
    <mergeCell ref="E315:F315"/>
    <mergeCell ref="B316:C316"/>
    <mergeCell ref="E316:F316"/>
    <mergeCell ref="B317:C317"/>
    <mergeCell ref="E317:F317"/>
    <mergeCell ref="B318:C318"/>
    <mergeCell ref="E318:F318"/>
    <mergeCell ref="B319:C319"/>
    <mergeCell ref="E319:F319"/>
    <mergeCell ref="B320:C320"/>
    <mergeCell ref="E320:F320"/>
    <mergeCell ref="B321:C321"/>
    <mergeCell ref="E321:F321"/>
    <mergeCell ref="B322:C322"/>
    <mergeCell ref="E322:F322"/>
    <mergeCell ref="B323:C323"/>
    <mergeCell ref="E323:F323"/>
    <mergeCell ref="B324:C324"/>
    <mergeCell ref="E324:F324"/>
    <mergeCell ref="B325:C325"/>
    <mergeCell ref="E325:F325"/>
    <mergeCell ref="B326:C326"/>
    <mergeCell ref="E326:F326"/>
    <mergeCell ref="B327:C327"/>
    <mergeCell ref="E327:F327"/>
    <mergeCell ref="B328:C328"/>
    <mergeCell ref="E328:F328"/>
    <mergeCell ref="B329:C329"/>
    <mergeCell ref="E329:F329"/>
    <mergeCell ref="B330:C330"/>
    <mergeCell ref="E330:F330"/>
    <mergeCell ref="B331:C331"/>
    <mergeCell ref="E331:F331"/>
    <mergeCell ref="B332:C332"/>
    <mergeCell ref="E332:F332"/>
    <mergeCell ref="B333:C333"/>
    <mergeCell ref="E333:F333"/>
    <mergeCell ref="B334:C334"/>
    <mergeCell ref="E334:F334"/>
    <mergeCell ref="B335:C335"/>
    <mergeCell ref="E335:F335"/>
    <mergeCell ref="B336:C336"/>
    <mergeCell ref="E336:F336"/>
    <mergeCell ref="B337:C337"/>
    <mergeCell ref="E337:F337"/>
    <mergeCell ref="B338:C338"/>
    <mergeCell ref="E338:F338"/>
    <mergeCell ref="B339:C339"/>
    <mergeCell ref="E339:F339"/>
    <mergeCell ref="B340:C340"/>
    <mergeCell ref="E340:F340"/>
    <mergeCell ref="B341:C341"/>
    <mergeCell ref="E341:F341"/>
    <mergeCell ref="B342:C342"/>
    <mergeCell ref="E342:F342"/>
    <mergeCell ref="B343:C343"/>
    <mergeCell ref="E343:F343"/>
    <mergeCell ref="B344:C344"/>
    <mergeCell ref="E344:F344"/>
    <mergeCell ref="B345:C345"/>
    <mergeCell ref="E345:F345"/>
    <mergeCell ref="B346:C346"/>
    <mergeCell ref="E346:F346"/>
    <mergeCell ref="B347:C347"/>
    <mergeCell ref="E347:F347"/>
    <mergeCell ref="B348:C348"/>
    <mergeCell ref="E348:F348"/>
    <mergeCell ref="B349:C349"/>
    <mergeCell ref="E349:F349"/>
    <mergeCell ref="B350:C350"/>
    <mergeCell ref="E350:F350"/>
    <mergeCell ref="B351:C351"/>
    <mergeCell ref="E351:F351"/>
    <mergeCell ref="B352:C352"/>
    <mergeCell ref="E352:F352"/>
    <mergeCell ref="B353:C353"/>
    <mergeCell ref="E353:F353"/>
    <mergeCell ref="B354:C354"/>
    <mergeCell ref="E354:F354"/>
    <mergeCell ref="B355:C355"/>
    <mergeCell ref="E355:F355"/>
    <mergeCell ref="B356:C356"/>
    <mergeCell ref="E356:F356"/>
    <mergeCell ref="B357:C357"/>
    <mergeCell ref="E357:F357"/>
    <mergeCell ref="B358:C358"/>
    <mergeCell ref="E358:F358"/>
    <mergeCell ref="B359:C359"/>
    <mergeCell ref="E359:F359"/>
    <mergeCell ref="B360:C360"/>
    <mergeCell ref="E360:F360"/>
    <mergeCell ref="B361:C361"/>
    <mergeCell ref="E361:F361"/>
    <mergeCell ref="B362:C362"/>
    <mergeCell ref="E362:F362"/>
    <mergeCell ref="B363:C363"/>
    <mergeCell ref="E363:F363"/>
    <mergeCell ref="B364:C364"/>
    <mergeCell ref="E364:F364"/>
    <mergeCell ref="B365:C365"/>
    <mergeCell ref="E365:F365"/>
    <mergeCell ref="B366:C366"/>
    <mergeCell ref="E366:F366"/>
    <mergeCell ref="B367:C367"/>
    <mergeCell ref="E367:F367"/>
    <mergeCell ref="B368:C368"/>
    <mergeCell ref="E368:F368"/>
    <mergeCell ref="B369:C369"/>
    <mergeCell ref="E369:F369"/>
    <mergeCell ref="B370:C370"/>
    <mergeCell ref="E370:F370"/>
    <mergeCell ref="B371:C371"/>
    <mergeCell ref="E371:F371"/>
    <mergeCell ref="B372:C372"/>
    <mergeCell ref="E372:F372"/>
    <mergeCell ref="B373:C373"/>
    <mergeCell ref="E373:F373"/>
    <mergeCell ref="B374:C374"/>
    <mergeCell ref="E374:F374"/>
    <mergeCell ref="B375:C375"/>
    <mergeCell ref="E375:F375"/>
    <mergeCell ref="B376:C376"/>
    <mergeCell ref="E376:F376"/>
    <mergeCell ref="B377:C377"/>
    <mergeCell ref="E377:F377"/>
    <mergeCell ref="B378:C378"/>
    <mergeCell ref="E378:F378"/>
    <mergeCell ref="B379:C379"/>
    <mergeCell ref="E379:F379"/>
    <mergeCell ref="B380:C380"/>
    <mergeCell ref="E380:F380"/>
    <mergeCell ref="B381:C381"/>
    <mergeCell ref="E381:F381"/>
    <mergeCell ref="B382:C382"/>
    <mergeCell ref="E382:F382"/>
    <mergeCell ref="B383:C383"/>
    <mergeCell ref="E383:F383"/>
    <mergeCell ref="B384:C384"/>
    <mergeCell ref="E384:F384"/>
    <mergeCell ref="B385:C385"/>
    <mergeCell ref="E385:F385"/>
    <mergeCell ref="B386:C386"/>
    <mergeCell ref="E386:F386"/>
    <mergeCell ref="B387:C387"/>
    <mergeCell ref="E387:F387"/>
    <mergeCell ref="B388:C388"/>
    <mergeCell ref="E388:F388"/>
    <mergeCell ref="B389:C389"/>
    <mergeCell ref="E389:F389"/>
    <mergeCell ref="B390:C390"/>
    <mergeCell ref="E390:F390"/>
    <mergeCell ref="B391:C391"/>
    <mergeCell ref="E391:F391"/>
    <mergeCell ref="B392:C392"/>
    <mergeCell ref="E392:F392"/>
    <mergeCell ref="B393:C393"/>
    <mergeCell ref="E393:F393"/>
    <mergeCell ref="B394:C394"/>
    <mergeCell ref="E394:F394"/>
    <mergeCell ref="B395:C395"/>
    <mergeCell ref="E395:F395"/>
    <mergeCell ref="B396:C396"/>
    <mergeCell ref="E396:F396"/>
    <mergeCell ref="B397:C397"/>
    <mergeCell ref="E397:F397"/>
    <mergeCell ref="B398:C398"/>
    <mergeCell ref="E398:F398"/>
    <mergeCell ref="B399:C399"/>
    <mergeCell ref="E399:F399"/>
    <mergeCell ref="B400:C400"/>
    <mergeCell ref="E400:F400"/>
    <mergeCell ref="B401:C401"/>
    <mergeCell ref="E401:F401"/>
    <mergeCell ref="B402:C402"/>
    <mergeCell ref="E402:F402"/>
    <mergeCell ref="B403:C403"/>
    <mergeCell ref="E403:F403"/>
    <mergeCell ref="B404:C404"/>
    <mergeCell ref="E404:F404"/>
    <mergeCell ref="B405:C405"/>
    <mergeCell ref="E405:F405"/>
    <mergeCell ref="B406:C406"/>
    <mergeCell ref="E406:F406"/>
    <mergeCell ref="B407:C407"/>
    <mergeCell ref="E407:F407"/>
    <mergeCell ref="B408:C408"/>
    <mergeCell ref="E408:F408"/>
    <mergeCell ref="B409:C409"/>
    <mergeCell ref="E409:F409"/>
    <mergeCell ref="B410:C410"/>
    <mergeCell ref="E410:F410"/>
    <mergeCell ref="B411:C411"/>
    <mergeCell ref="E411:F411"/>
    <mergeCell ref="B412:C412"/>
    <mergeCell ref="E412:F412"/>
    <mergeCell ref="B413:C413"/>
    <mergeCell ref="E413:F413"/>
    <mergeCell ref="B414:C414"/>
    <mergeCell ref="E414:F414"/>
    <mergeCell ref="B415:C415"/>
    <mergeCell ref="E415:F415"/>
    <mergeCell ref="B416:C416"/>
    <mergeCell ref="E416:F416"/>
    <mergeCell ref="B417:C417"/>
    <mergeCell ref="E417:F417"/>
    <mergeCell ref="B418:C418"/>
    <mergeCell ref="E418:F418"/>
    <mergeCell ref="B419:C419"/>
    <mergeCell ref="E419:F419"/>
    <mergeCell ref="B420:C420"/>
    <mergeCell ref="E420:F420"/>
    <mergeCell ref="B421:C421"/>
    <mergeCell ref="E421:F421"/>
    <mergeCell ref="B422:C422"/>
    <mergeCell ref="E422:F422"/>
    <mergeCell ref="B423:C423"/>
    <mergeCell ref="E423:F423"/>
    <mergeCell ref="B424:C424"/>
    <mergeCell ref="E424:F424"/>
    <mergeCell ref="B425:C425"/>
    <mergeCell ref="E425:F425"/>
    <mergeCell ref="B426:C426"/>
    <mergeCell ref="E426:F426"/>
    <mergeCell ref="B427:C427"/>
    <mergeCell ref="E427:F427"/>
    <mergeCell ref="B428:C428"/>
    <mergeCell ref="E428:F428"/>
    <mergeCell ref="B429:C429"/>
    <mergeCell ref="E429:F429"/>
    <mergeCell ref="B430:C430"/>
    <mergeCell ref="E430:F430"/>
    <mergeCell ref="B431:C431"/>
    <mergeCell ref="E431:F431"/>
    <mergeCell ref="B432:C432"/>
    <mergeCell ref="E432:F432"/>
    <mergeCell ref="B433:C433"/>
    <mergeCell ref="E433:F433"/>
    <mergeCell ref="B434:C434"/>
    <mergeCell ref="E434:F434"/>
    <mergeCell ref="B435:C435"/>
    <mergeCell ref="E435:F435"/>
    <mergeCell ref="B436:C436"/>
    <mergeCell ref="E436:F436"/>
    <mergeCell ref="B437:C437"/>
    <mergeCell ref="E437:F437"/>
    <mergeCell ref="B438:C438"/>
    <mergeCell ref="E438:F438"/>
    <mergeCell ref="B439:C439"/>
    <mergeCell ref="E439:F439"/>
    <mergeCell ref="B440:C440"/>
    <mergeCell ref="E440:F440"/>
    <mergeCell ref="B441:C441"/>
    <mergeCell ref="E441:F441"/>
    <mergeCell ref="B442:C442"/>
    <mergeCell ref="E442:F442"/>
    <mergeCell ref="B443:C443"/>
    <mergeCell ref="E443:F443"/>
    <mergeCell ref="B444:C444"/>
    <mergeCell ref="E444:F444"/>
    <mergeCell ref="B445:C445"/>
    <mergeCell ref="E445:F445"/>
    <mergeCell ref="B446:C446"/>
    <mergeCell ref="E446:F446"/>
    <mergeCell ref="B447:C447"/>
    <mergeCell ref="E447:F447"/>
    <mergeCell ref="B448:C448"/>
    <mergeCell ref="E448:F448"/>
    <mergeCell ref="B449:C449"/>
    <mergeCell ref="E449:F449"/>
    <mergeCell ref="B450:C450"/>
    <mergeCell ref="E450:F450"/>
    <mergeCell ref="B451:C451"/>
    <mergeCell ref="E451:F451"/>
    <mergeCell ref="B452:C452"/>
    <mergeCell ref="E452:F452"/>
    <mergeCell ref="B453:C453"/>
    <mergeCell ref="E453:F453"/>
    <mergeCell ref="B454:C454"/>
    <mergeCell ref="E454:F454"/>
    <mergeCell ref="B455:C455"/>
    <mergeCell ref="E455:F455"/>
    <mergeCell ref="B456:C456"/>
    <mergeCell ref="E456:F456"/>
    <mergeCell ref="B457:C457"/>
    <mergeCell ref="E457:F457"/>
    <mergeCell ref="B458:C458"/>
    <mergeCell ref="E458:F458"/>
    <mergeCell ref="B459:C459"/>
    <mergeCell ref="E459:F459"/>
    <mergeCell ref="B460:C460"/>
    <mergeCell ref="E460:F460"/>
    <mergeCell ref="B461:C461"/>
    <mergeCell ref="E461:F461"/>
    <mergeCell ref="B462:C462"/>
    <mergeCell ref="E462:F462"/>
    <mergeCell ref="B463:C463"/>
    <mergeCell ref="E463:F463"/>
    <mergeCell ref="B464:C464"/>
    <mergeCell ref="E464:F464"/>
    <mergeCell ref="B465:C465"/>
    <mergeCell ref="E465:F465"/>
    <mergeCell ref="B466:C466"/>
    <mergeCell ref="E466:F466"/>
    <mergeCell ref="B467:C467"/>
    <mergeCell ref="E467:F467"/>
    <mergeCell ref="B468:C468"/>
    <mergeCell ref="E468:F468"/>
    <mergeCell ref="B469:C469"/>
    <mergeCell ref="E469:F469"/>
    <mergeCell ref="B470:C470"/>
    <mergeCell ref="E470:F470"/>
    <mergeCell ref="B471:C471"/>
    <mergeCell ref="E471:F471"/>
    <mergeCell ref="B472:C472"/>
    <mergeCell ref="E472:F472"/>
    <mergeCell ref="B473:C473"/>
    <mergeCell ref="E473:F473"/>
    <mergeCell ref="B474:C474"/>
    <mergeCell ref="E474:F474"/>
    <mergeCell ref="B475:C475"/>
    <mergeCell ref="E475:F475"/>
    <mergeCell ref="B476:C476"/>
    <mergeCell ref="E476:F476"/>
    <mergeCell ref="B477:C477"/>
    <mergeCell ref="E477:F477"/>
    <mergeCell ref="B478:C478"/>
    <mergeCell ref="E478:F478"/>
    <mergeCell ref="B479:C479"/>
    <mergeCell ref="E479:F479"/>
    <mergeCell ref="B480:C480"/>
    <mergeCell ref="E480:F480"/>
    <mergeCell ref="B481:C481"/>
    <mergeCell ref="E481:F481"/>
    <mergeCell ref="B482:C482"/>
    <mergeCell ref="E482:F482"/>
    <mergeCell ref="B483:C483"/>
    <mergeCell ref="E483:F483"/>
    <mergeCell ref="B484:C484"/>
    <mergeCell ref="E484:F484"/>
    <mergeCell ref="B485:C485"/>
    <mergeCell ref="E485:F485"/>
    <mergeCell ref="B486:C486"/>
    <mergeCell ref="E486:F486"/>
    <mergeCell ref="B487:C487"/>
    <mergeCell ref="E487:F487"/>
    <mergeCell ref="B488:C488"/>
    <mergeCell ref="E488:F488"/>
    <mergeCell ref="B489:C489"/>
    <mergeCell ref="E489:F489"/>
    <mergeCell ref="B490:C490"/>
    <mergeCell ref="E490:F490"/>
    <mergeCell ref="B491:C491"/>
    <mergeCell ref="E491:F491"/>
    <mergeCell ref="B492:C492"/>
    <mergeCell ref="E492:F492"/>
    <mergeCell ref="B493:C493"/>
    <mergeCell ref="E493:F493"/>
    <mergeCell ref="B494:C494"/>
    <mergeCell ref="E494:F494"/>
    <mergeCell ref="B495:C495"/>
    <mergeCell ref="E495:F495"/>
    <mergeCell ref="B496:C496"/>
    <mergeCell ref="E496:F496"/>
    <mergeCell ref="B497:C497"/>
    <mergeCell ref="E497:F497"/>
    <mergeCell ref="B498:C498"/>
    <mergeCell ref="E498:F498"/>
    <mergeCell ref="B499:C499"/>
    <mergeCell ref="E499:F499"/>
    <mergeCell ref="B500:C500"/>
    <mergeCell ref="E500:F500"/>
    <mergeCell ref="B501:C501"/>
    <mergeCell ref="E501:F501"/>
    <mergeCell ref="B502:C502"/>
    <mergeCell ref="E502:F502"/>
    <mergeCell ref="B503:C503"/>
    <mergeCell ref="E503:F503"/>
    <mergeCell ref="B504:C504"/>
    <mergeCell ref="E504:F504"/>
    <mergeCell ref="B505:C505"/>
    <mergeCell ref="E505:F505"/>
    <mergeCell ref="B506:C506"/>
    <mergeCell ref="E506:F506"/>
    <mergeCell ref="B507:C507"/>
    <mergeCell ref="E507:F507"/>
    <mergeCell ref="B508:C508"/>
    <mergeCell ref="E508:F508"/>
    <mergeCell ref="B509:C509"/>
    <mergeCell ref="E509:F509"/>
    <mergeCell ref="B510:C510"/>
    <mergeCell ref="E510:F510"/>
    <mergeCell ref="B511:C511"/>
    <mergeCell ref="E511:F511"/>
    <mergeCell ref="B512:C512"/>
    <mergeCell ref="E512:F512"/>
    <mergeCell ref="B513:C513"/>
    <mergeCell ref="E513:F513"/>
    <mergeCell ref="B514:C514"/>
    <mergeCell ref="E514:F514"/>
    <mergeCell ref="B515:C515"/>
    <mergeCell ref="E515:F515"/>
    <mergeCell ref="B516:C516"/>
    <mergeCell ref="E516:F516"/>
    <mergeCell ref="B517:C517"/>
    <mergeCell ref="E517:F517"/>
    <mergeCell ref="B518:C518"/>
    <mergeCell ref="E518:F518"/>
    <mergeCell ref="B519:C519"/>
    <mergeCell ref="E519:F519"/>
    <mergeCell ref="B520:C520"/>
    <mergeCell ref="E520:F520"/>
    <mergeCell ref="B521:C521"/>
    <mergeCell ref="E521:F521"/>
    <mergeCell ref="B522:C522"/>
    <mergeCell ref="E522:F522"/>
    <mergeCell ref="B523:C523"/>
    <mergeCell ref="E523:F523"/>
    <mergeCell ref="B524:C524"/>
    <mergeCell ref="E524:F524"/>
    <mergeCell ref="B525:C525"/>
    <mergeCell ref="E525:F525"/>
    <mergeCell ref="B526:C526"/>
    <mergeCell ref="E526:F526"/>
    <mergeCell ref="B527:C527"/>
    <mergeCell ref="E527:F527"/>
    <mergeCell ref="B528:C528"/>
    <mergeCell ref="E528:F528"/>
    <mergeCell ref="B529:C529"/>
    <mergeCell ref="E529:F529"/>
    <mergeCell ref="B530:C530"/>
    <mergeCell ref="E530:F530"/>
    <mergeCell ref="B531:C531"/>
    <mergeCell ref="E531:F531"/>
    <mergeCell ref="B532:C532"/>
    <mergeCell ref="E532:F532"/>
    <mergeCell ref="B533:C533"/>
    <mergeCell ref="E533:F533"/>
    <mergeCell ref="B534:C534"/>
    <mergeCell ref="E534:F534"/>
    <mergeCell ref="B535:C535"/>
    <mergeCell ref="E535:F535"/>
    <mergeCell ref="B536:C536"/>
    <mergeCell ref="E536:F536"/>
    <mergeCell ref="B537:C537"/>
    <mergeCell ref="E537:F537"/>
    <mergeCell ref="B538:C538"/>
    <mergeCell ref="E538:F538"/>
    <mergeCell ref="B539:C539"/>
    <mergeCell ref="E539:F539"/>
    <mergeCell ref="B540:C540"/>
    <mergeCell ref="E540:F540"/>
    <mergeCell ref="B541:C541"/>
    <mergeCell ref="E541:F541"/>
    <mergeCell ref="B542:C542"/>
    <mergeCell ref="E542:F542"/>
    <mergeCell ref="B543:C543"/>
    <mergeCell ref="E543:F543"/>
    <mergeCell ref="B544:C544"/>
    <mergeCell ref="E544:F544"/>
    <mergeCell ref="B545:C545"/>
    <mergeCell ref="E545:F545"/>
    <mergeCell ref="B546:C546"/>
    <mergeCell ref="E546:F546"/>
    <mergeCell ref="B547:C547"/>
    <mergeCell ref="E547:F547"/>
    <mergeCell ref="B548:C548"/>
    <mergeCell ref="E548:F548"/>
    <mergeCell ref="B549:C549"/>
    <mergeCell ref="E549:F549"/>
    <mergeCell ref="B550:C550"/>
    <mergeCell ref="E550:F550"/>
    <mergeCell ref="B551:C551"/>
    <mergeCell ref="E551:F551"/>
    <mergeCell ref="B552:C552"/>
    <mergeCell ref="E552:F552"/>
    <mergeCell ref="B553:C553"/>
    <mergeCell ref="E553:F553"/>
    <mergeCell ref="B554:C554"/>
    <mergeCell ref="E554:F554"/>
    <mergeCell ref="B555:C555"/>
    <mergeCell ref="E555:F555"/>
    <mergeCell ref="B556:C556"/>
    <mergeCell ref="E556:F556"/>
    <mergeCell ref="B557:C557"/>
    <mergeCell ref="E557:F557"/>
    <mergeCell ref="B558:C558"/>
    <mergeCell ref="E558:F558"/>
    <mergeCell ref="B559:C559"/>
    <mergeCell ref="E559:F559"/>
    <mergeCell ref="B560:C560"/>
    <mergeCell ref="E560:F560"/>
    <mergeCell ref="B561:C561"/>
    <mergeCell ref="E561:F561"/>
    <mergeCell ref="B562:C562"/>
    <mergeCell ref="E562:F562"/>
    <mergeCell ref="B563:C563"/>
    <mergeCell ref="E563:F563"/>
    <mergeCell ref="B564:C564"/>
    <mergeCell ref="E564:F564"/>
    <mergeCell ref="B565:C565"/>
    <mergeCell ref="E565:F565"/>
    <mergeCell ref="B566:C566"/>
    <mergeCell ref="E566:F566"/>
    <mergeCell ref="B567:C567"/>
    <mergeCell ref="E567:F567"/>
    <mergeCell ref="B568:C568"/>
    <mergeCell ref="E568:F568"/>
    <mergeCell ref="B569:C569"/>
    <mergeCell ref="E569:F569"/>
    <mergeCell ref="B570:C570"/>
    <mergeCell ref="E570:F570"/>
    <mergeCell ref="B571:C571"/>
    <mergeCell ref="E571:F571"/>
    <mergeCell ref="B572:C572"/>
    <mergeCell ref="E572:F572"/>
    <mergeCell ref="B573:C573"/>
    <mergeCell ref="E573:F573"/>
    <mergeCell ref="B574:C574"/>
    <mergeCell ref="E574:F574"/>
    <mergeCell ref="B575:C575"/>
    <mergeCell ref="E575:F575"/>
    <mergeCell ref="B576:C576"/>
    <mergeCell ref="E576:F576"/>
    <mergeCell ref="B577:C577"/>
    <mergeCell ref="E577:F577"/>
    <mergeCell ref="B578:C578"/>
    <mergeCell ref="E578:F578"/>
    <mergeCell ref="B579:C579"/>
    <mergeCell ref="E579:F579"/>
    <mergeCell ref="B580:C580"/>
    <mergeCell ref="E580:F580"/>
    <mergeCell ref="B581:C581"/>
    <mergeCell ref="E581:F581"/>
    <mergeCell ref="B582:C582"/>
    <mergeCell ref="E582:F582"/>
    <mergeCell ref="B583:C583"/>
    <mergeCell ref="E583:F583"/>
    <mergeCell ref="B584:C584"/>
    <mergeCell ref="E584:F584"/>
    <mergeCell ref="B585:C585"/>
    <mergeCell ref="E585:F585"/>
    <mergeCell ref="B586:C586"/>
    <mergeCell ref="E586:F586"/>
    <mergeCell ref="B587:C587"/>
    <mergeCell ref="E587:F587"/>
    <mergeCell ref="B588:C588"/>
    <mergeCell ref="E588:F588"/>
    <mergeCell ref="B589:C589"/>
    <mergeCell ref="E589:F589"/>
    <mergeCell ref="B590:C590"/>
    <mergeCell ref="E590:F590"/>
    <mergeCell ref="B591:C591"/>
    <mergeCell ref="E591:F591"/>
    <mergeCell ref="B592:C592"/>
    <mergeCell ref="E592:F592"/>
    <mergeCell ref="B593:C593"/>
    <mergeCell ref="E593:F593"/>
    <mergeCell ref="B594:C594"/>
    <mergeCell ref="E594:F594"/>
    <mergeCell ref="B595:C595"/>
    <mergeCell ref="E595:F595"/>
    <mergeCell ref="B596:C596"/>
    <mergeCell ref="E596:F596"/>
    <mergeCell ref="B597:C597"/>
    <mergeCell ref="E597:F597"/>
    <mergeCell ref="B598:C598"/>
    <mergeCell ref="E598:F598"/>
    <mergeCell ref="B599:C599"/>
    <mergeCell ref="E599:F599"/>
    <mergeCell ref="B600:C600"/>
    <mergeCell ref="E600:F600"/>
    <mergeCell ref="B601:C601"/>
    <mergeCell ref="E601:F601"/>
    <mergeCell ref="B602:C602"/>
    <mergeCell ref="E602:F602"/>
    <mergeCell ref="B603:C603"/>
    <mergeCell ref="E603:F603"/>
    <mergeCell ref="B604:C604"/>
    <mergeCell ref="E604:F604"/>
    <mergeCell ref="B605:C605"/>
    <mergeCell ref="E605:F605"/>
    <mergeCell ref="B606:C606"/>
    <mergeCell ref="E606:F606"/>
    <mergeCell ref="B607:C607"/>
    <mergeCell ref="E607:F607"/>
    <mergeCell ref="B608:C608"/>
    <mergeCell ref="E608:F608"/>
    <mergeCell ref="B609:C609"/>
    <mergeCell ref="E609:F609"/>
    <mergeCell ref="B610:C610"/>
    <mergeCell ref="E610:F610"/>
    <mergeCell ref="B611:C611"/>
    <mergeCell ref="E611:F611"/>
    <mergeCell ref="B612:C612"/>
    <mergeCell ref="E612:F612"/>
    <mergeCell ref="B613:C613"/>
    <mergeCell ref="E613:F613"/>
    <mergeCell ref="B614:C614"/>
    <mergeCell ref="E614:F614"/>
    <mergeCell ref="B615:C615"/>
    <mergeCell ref="E615:F615"/>
    <mergeCell ref="B616:C616"/>
    <mergeCell ref="E616:F616"/>
    <mergeCell ref="B617:C617"/>
    <mergeCell ref="E617:F617"/>
    <mergeCell ref="B618:C618"/>
    <mergeCell ref="E618:F618"/>
    <mergeCell ref="B619:C619"/>
    <mergeCell ref="E619:F619"/>
    <mergeCell ref="B620:C620"/>
    <mergeCell ref="E620:F620"/>
    <mergeCell ref="B621:C621"/>
    <mergeCell ref="E621:F621"/>
    <mergeCell ref="B622:C622"/>
    <mergeCell ref="E622:F622"/>
    <mergeCell ref="B623:C623"/>
    <mergeCell ref="E623:F623"/>
    <mergeCell ref="B624:C624"/>
    <mergeCell ref="E624:F624"/>
    <mergeCell ref="B625:C625"/>
    <mergeCell ref="E625:F625"/>
    <mergeCell ref="B626:C626"/>
    <mergeCell ref="E626:F626"/>
    <mergeCell ref="B627:C627"/>
    <mergeCell ref="E627:F627"/>
    <mergeCell ref="B628:C628"/>
    <mergeCell ref="E628:F628"/>
    <mergeCell ref="B629:C629"/>
    <mergeCell ref="E629:F629"/>
    <mergeCell ref="B630:C630"/>
    <mergeCell ref="E630:F630"/>
    <mergeCell ref="B631:C631"/>
    <mergeCell ref="E631:F631"/>
    <mergeCell ref="B632:C632"/>
    <mergeCell ref="E632:F632"/>
    <mergeCell ref="B633:C633"/>
    <mergeCell ref="E633:F633"/>
    <mergeCell ref="B634:C634"/>
    <mergeCell ref="E634:F634"/>
    <mergeCell ref="B635:C635"/>
    <mergeCell ref="E635:F635"/>
    <mergeCell ref="B636:C636"/>
    <mergeCell ref="E636:F636"/>
    <mergeCell ref="B637:C637"/>
    <mergeCell ref="E637:F637"/>
    <mergeCell ref="B638:C638"/>
    <mergeCell ref="E638:F638"/>
    <mergeCell ref="B639:C639"/>
    <mergeCell ref="E639:F639"/>
    <mergeCell ref="B640:C640"/>
    <mergeCell ref="E640:F640"/>
    <mergeCell ref="B641:C641"/>
    <mergeCell ref="E641:F641"/>
    <mergeCell ref="B642:C642"/>
    <mergeCell ref="E642:F642"/>
    <mergeCell ref="B643:C643"/>
    <mergeCell ref="E643:F643"/>
    <mergeCell ref="B644:C644"/>
    <mergeCell ref="E644:F644"/>
    <mergeCell ref="B645:C645"/>
    <mergeCell ref="E645:F645"/>
    <mergeCell ref="B646:C646"/>
    <mergeCell ref="E646:F646"/>
    <mergeCell ref="B647:C647"/>
    <mergeCell ref="E647:F647"/>
    <mergeCell ref="B648:C648"/>
    <mergeCell ref="E648:F648"/>
    <mergeCell ref="B649:C649"/>
    <mergeCell ref="E649:F649"/>
    <mergeCell ref="B650:C650"/>
    <mergeCell ref="E650:F650"/>
    <mergeCell ref="B651:C651"/>
    <mergeCell ref="E651:F651"/>
    <mergeCell ref="B652:C652"/>
    <mergeCell ref="E652:F652"/>
    <mergeCell ref="B653:C653"/>
    <mergeCell ref="E653:F653"/>
    <mergeCell ref="B654:C654"/>
    <mergeCell ref="E654:F654"/>
    <mergeCell ref="B655:C655"/>
    <mergeCell ref="E655:F655"/>
    <mergeCell ref="B656:C656"/>
    <mergeCell ref="E656:F656"/>
    <mergeCell ref="B657:C657"/>
    <mergeCell ref="E657:F657"/>
    <mergeCell ref="B658:C658"/>
    <mergeCell ref="E658:F658"/>
    <mergeCell ref="B659:C659"/>
    <mergeCell ref="E659:F659"/>
    <mergeCell ref="B660:C660"/>
    <mergeCell ref="E660:F660"/>
    <mergeCell ref="B661:C661"/>
    <mergeCell ref="E661:F661"/>
    <mergeCell ref="B662:C662"/>
    <mergeCell ref="E662:F662"/>
    <mergeCell ref="B663:C663"/>
    <mergeCell ref="E663:F663"/>
    <mergeCell ref="B664:C664"/>
    <mergeCell ref="E664:F664"/>
    <mergeCell ref="B665:C665"/>
    <mergeCell ref="E665:F665"/>
    <mergeCell ref="B666:C666"/>
    <mergeCell ref="E666:F666"/>
    <mergeCell ref="B667:C667"/>
    <mergeCell ref="E667:F667"/>
    <mergeCell ref="B668:C668"/>
    <mergeCell ref="E668:F668"/>
    <mergeCell ref="B669:C669"/>
    <mergeCell ref="E669:F669"/>
    <mergeCell ref="B670:C670"/>
    <mergeCell ref="E670:F670"/>
    <mergeCell ref="B671:C671"/>
    <mergeCell ref="E671:F671"/>
    <mergeCell ref="B672:C672"/>
    <mergeCell ref="E672:F672"/>
    <mergeCell ref="B673:C673"/>
    <mergeCell ref="E673:F673"/>
    <mergeCell ref="B674:C674"/>
    <mergeCell ref="E674:F674"/>
    <mergeCell ref="B675:C675"/>
    <mergeCell ref="E675:F675"/>
    <mergeCell ref="B676:C676"/>
    <mergeCell ref="E676:F676"/>
    <mergeCell ref="B677:C677"/>
    <mergeCell ref="E677:F677"/>
    <mergeCell ref="B678:C678"/>
    <mergeCell ref="E678:F678"/>
    <mergeCell ref="B679:C679"/>
    <mergeCell ref="E679:F679"/>
    <mergeCell ref="B680:C680"/>
    <mergeCell ref="E680:F680"/>
    <mergeCell ref="B681:C681"/>
    <mergeCell ref="E681:F681"/>
    <mergeCell ref="B682:C682"/>
    <mergeCell ref="E682:F682"/>
    <mergeCell ref="B683:C683"/>
    <mergeCell ref="E683:F683"/>
    <mergeCell ref="B684:C684"/>
    <mergeCell ref="E684:F684"/>
    <mergeCell ref="B685:C685"/>
    <mergeCell ref="E685:F685"/>
    <mergeCell ref="B686:C686"/>
    <mergeCell ref="E686:F686"/>
    <mergeCell ref="B687:C687"/>
    <mergeCell ref="E687:F687"/>
    <mergeCell ref="B688:C688"/>
    <mergeCell ref="E688:F688"/>
    <mergeCell ref="B689:C689"/>
    <mergeCell ref="E689:F689"/>
    <mergeCell ref="B690:C690"/>
    <mergeCell ref="E690:F690"/>
    <mergeCell ref="B691:C691"/>
    <mergeCell ref="E691:F691"/>
    <mergeCell ref="B692:C692"/>
    <mergeCell ref="E692:F692"/>
    <mergeCell ref="B693:C693"/>
    <mergeCell ref="E693:F693"/>
    <mergeCell ref="B694:C694"/>
    <mergeCell ref="E694:F694"/>
    <mergeCell ref="B695:C695"/>
    <mergeCell ref="E695:F695"/>
    <mergeCell ref="B696:C696"/>
    <mergeCell ref="E696:F696"/>
    <mergeCell ref="B697:C697"/>
    <mergeCell ref="E697:F697"/>
    <mergeCell ref="B698:C698"/>
    <mergeCell ref="E698:F698"/>
    <mergeCell ref="B699:C699"/>
    <mergeCell ref="E699:F699"/>
    <mergeCell ref="B700:C700"/>
    <mergeCell ref="E700:F700"/>
    <mergeCell ref="B701:C701"/>
    <mergeCell ref="E701:F701"/>
    <mergeCell ref="B702:C702"/>
    <mergeCell ref="E702:F702"/>
    <mergeCell ref="B703:C703"/>
    <mergeCell ref="E703:F703"/>
    <mergeCell ref="B704:C704"/>
    <mergeCell ref="E704:F704"/>
    <mergeCell ref="B705:C705"/>
    <mergeCell ref="E705:F705"/>
    <mergeCell ref="B706:C706"/>
    <mergeCell ref="E706:F706"/>
    <mergeCell ref="B707:C707"/>
    <mergeCell ref="E707:F707"/>
    <mergeCell ref="B708:C708"/>
    <mergeCell ref="E708:F708"/>
    <mergeCell ref="B709:C709"/>
    <mergeCell ref="E709:F709"/>
    <mergeCell ref="B710:C710"/>
    <mergeCell ref="E710:F710"/>
    <mergeCell ref="B711:C711"/>
    <mergeCell ref="E711:F711"/>
    <mergeCell ref="B712:C712"/>
    <mergeCell ref="E712:F712"/>
    <mergeCell ref="B713:C713"/>
    <mergeCell ref="E713:F713"/>
    <mergeCell ref="B714:C714"/>
    <mergeCell ref="E714:F714"/>
    <mergeCell ref="B715:C715"/>
    <mergeCell ref="E715:F715"/>
    <mergeCell ref="B716:C716"/>
    <mergeCell ref="E716:F716"/>
    <mergeCell ref="B717:C717"/>
    <mergeCell ref="E717:F717"/>
    <mergeCell ref="B718:C718"/>
    <mergeCell ref="E718:F718"/>
    <mergeCell ref="B719:C719"/>
    <mergeCell ref="E719:F719"/>
    <mergeCell ref="B720:C720"/>
    <mergeCell ref="E720:F720"/>
    <mergeCell ref="B721:C721"/>
    <mergeCell ref="E721:F721"/>
    <mergeCell ref="B722:C722"/>
    <mergeCell ref="E722:F722"/>
    <mergeCell ref="B723:C723"/>
    <mergeCell ref="E723:F723"/>
    <mergeCell ref="B724:C724"/>
    <mergeCell ref="E724:F724"/>
    <mergeCell ref="B725:C725"/>
    <mergeCell ref="E725:F725"/>
    <mergeCell ref="B726:C726"/>
    <mergeCell ref="E726:F726"/>
    <mergeCell ref="B727:C727"/>
    <mergeCell ref="E727:F727"/>
    <mergeCell ref="B728:C728"/>
    <mergeCell ref="E728:F728"/>
    <mergeCell ref="B729:C729"/>
    <mergeCell ref="E729:F729"/>
    <mergeCell ref="B730:C730"/>
    <mergeCell ref="E730:F730"/>
    <mergeCell ref="B731:C731"/>
    <mergeCell ref="E731:F731"/>
    <mergeCell ref="B732:C732"/>
    <mergeCell ref="E732:F732"/>
    <mergeCell ref="B733:C733"/>
    <mergeCell ref="E733:F733"/>
    <mergeCell ref="B734:C734"/>
    <mergeCell ref="E734:F734"/>
    <mergeCell ref="B735:C735"/>
    <mergeCell ref="E735:F735"/>
    <mergeCell ref="B736:C736"/>
    <mergeCell ref="E736:F736"/>
    <mergeCell ref="B737:C737"/>
    <mergeCell ref="E737:F737"/>
    <mergeCell ref="B738:C738"/>
    <mergeCell ref="E738:F738"/>
    <mergeCell ref="B739:C739"/>
    <mergeCell ref="E739:F739"/>
    <mergeCell ref="B740:C740"/>
    <mergeCell ref="E740:F740"/>
    <mergeCell ref="B741:C741"/>
    <mergeCell ref="E741:F741"/>
    <mergeCell ref="B742:C742"/>
    <mergeCell ref="E742:F742"/>
    <mergeCell ref="B743:C743"/>
    <mergeCell ref="E743:F743"/>
    <mergeCell ref="B744:C744"/>
    <mergeCell ref="E744:F744"/>
    <mergeCell ref="B745:C745"/>
    <mergeCell ref="E745:F745"/>
    <mergeCell ref="B746:C746"/>
    <mergeCell ref="E746:F746"/>
    <mergeCell ref="B747:C747"/>
    <mergeCell ref="E747:F747"/>
    <mergeCell ref="B748:C748"/>
    <mergeCell ref="E748:F748"/>
    <mergeCell ref="B749:C749"/>
    <mergeCell ref="E749:F749"/>
    <mergeCell ref="B750:C750"/>
    <mergeCell ref="E750:F750"/>
    <mergeCell ref="B751:C751"/>
    <mergeCell ref="E751:F751"/>
    <mergeCell ref="B752:C752"/>
    <mergeCell ref="E752:F752"/>
    <mergeCell ref="B753:C753"/>
    <mergeCell ref="E753:F753"/>
    <mergeCell ref="B754:C754"/>
    <mergeCell ref="E754:F754"/>
    <mergeCell ref="B755:C755"/>
    <mergeCell ref="E755:F755"/>
    <mergeCell ref="B756:C756"/>
    <mergeCell ref="E756:F756"/>
    <mergeCell ref="B757:C757"/>
    <mergeCell ref="E757:F757"/>
    <mergeCell ref="B758:C758"/>
    <mergeCell ref="E758:F758"/>
    <mergeCell ref="B759:C759"/>
    <mergeCell ref="E759:F759"/>
    <mergeCell ref="B760:C760"/>
    <mergeCell ref="E760:F760"/>
    <mergeCell ref="B761:C761"/>
    <mergeCell ref="E761:F761"/>
    <mergeCell ref="B778:C778"/>
    <mergeCell ref="E778:F778"/>
    <mergeCell ref="B762:C762"/>
    <mergeCell ref="E762:F762"/>
    <mergeCell ref="B763:C763"/>
    <mergeCell ref="E763:F763"/>
    <mergeCell ref="B764:C764"/>
    <mergeCell ref="E764:F764"/>
    <mergeCell ref="B765:C765"/>
    <mergeCell ref="E765:F765"/>
    <mergeCell ref="B766:C766"/>
    <mergeCell ref="E766:F766"/>
    <mergeCell ref="B767:C767"/>
    <mergeCell ref="E767:F767"/>
    <mergeCell ref="B774:C774"/>
    <mergeCell ref="E774:F774"/>
    <mergeCell ref="B768:C768"/>
    <mergeCell ref="E768:F768"/>
    <mergeCell ref="B769:C769"/>
    <mergeCell ref="E769:F769"/>
    <mergeCell ref="B770:C770"/>
    <mergeCell ref="E770:F770"/>
    <mergeCell ref="B793:C793"/>
    <mergeCell ref="E793:F793"/>
    <mergeCell ref="B783:C783"/>
    <mergeCell ref="E783:F783"/>
    <mergeCell ref="B784:C784"/>
    <mergeCell ref="E784:F784"/>
    <mergeCell ref="B785:C785"/>
    <mergeCell ref="E785:F785"/>
    <mergeCell ref="B792:C792"/>
    <mergeCell ref="E792:F792"/>
    <mergeCell ref="B780:C780"/>
    <mergeCell ref="E780:F780"/>
    <mergeCell ref="B781:C781"/>
    <mergeCell ref="E781:F781"/>
    <mergeCell ref="B782:C782"/>
    <mergeCell ref="E782:F782"/>
    <mergeCell ref="B788:C788"/>
    <mergeCell ref="E788:F788"/>
    <mergeCell ref="B771:C771"/>
    <mergeCell ref="E771:F771"/>
    <mergeCell ref="B772:C772"/>
    <mergeCell ref="E772:F772"/>
    <mergeCell ref="B773:C773"/>
    <mergeCell ref="E773:F773"/>
    <mergeCell ref="B795:C795"/>
    <mergeCell ref="E795:F795"/>
    <mergeCell ref="B796:C796"/>
    <mergeCell ref="E796:F796"/>
    <mergeCell ref="B779:C779"/>
    <mergeCell ref="E779:F779"/>
    <mergeCell ref="B791:C791"/>
    <mergeCell ref="E791:F791"/>
    <mergeCell ref="B794:C794"/>
    <mergeCell ref="E794:F794"/>
    <mergeCell ref="B799:C799"/>
    <mergeCell ref="E799:F799"/>
    <mergeCell ref="B800:C800"/>
    <mergeCell ref="E800:F800"/>
    <mergeCell ref="B797:C797"/>
    <mergeCell ref="E797:F797"/>
    <mergeCell ref="B806:C806"/>
    <mergeCell ref="E806:F806"/>
    <mergeCell ref="B801:C801"/>
    <mergeCell ref="E801:F801"/>
    <mergeCell ref="B802:C802"/>
    <mergeCell ref="E802:F802"/>
    <mergeCell ref="B803:C803"/>
    <mergeCell ref="E803:F803"/>
    <mergeCell ref="B775:C775"/>
    <mergeCell ref="E775:F775"/>
    <mergeCell ref="B776:C776"/>
    <mergeCell ref="E776:F776"/>
    <mergeCell ref="B789:C789"/>
    <mergeCell ref="E789:F789"/>
    <mergeCell ref="B786:C786"/>
    <mergeCell ref="E786:F786"/>
    <mergeCell ref="B777:C777"/>
    <mergeCell ref="E777:F777"/>
    <mergeCell ref="B787:C787"/>
    <mergeCell ref="E787:F787"/>
    <mergeCell ref="B804:C804"/>
    <mergeCell ref="E804:F804"/>
    <mergeCell ref="B805:C805"/>
    <mergeCell ref="E805:F805"/>
    <mergeCell ref="B790:C790"/>
    <mergeCell ref="E790:F790"/>
    <mergeCell ref="B798:C798"/>
    <mergeCell ref="E798:F798"/>
  </mergeCells>
  <printOptions horizontalCentered="1"/>
  <pageMargins left="0.196527777777778" right="0.196527777777778" top="0.65902777777777799" bottom="0.65902777777777799" header="0.39374999999999999" footer="0.39374999999999999"/>
  <pageSetup paperSize="9" scale="56" fitToHeight="0" orientation="portrait" r:id="rId1"/>
  <headerFooter>
    <oddHeader>&amp;C&amp;"Times New Roman,Normal"&amp;12&amp;A</oddHeader>
    <oddFooter>&amp;C&amp;"Times New Roman,Normal"&amp;12&amp;P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578C5-D2DC-4980-B272-A7E9E5A6BEB5}">
  <dimension ref="A1:N35"/>
  <sheetViews>
    <sheetView view="pageBreakPreview" zoomScaleNormal="100" zoomScaleSheetLayoutView="100" workbookViewId="0">
      <selection activeCell="H22" sqref="H22"/>
    </sheetView>
  </sheetViews>
  <sheetFormatPr defaultColWidth="11.5" defaultRowHeight="14.25" customHeight="1" x14ac:dyDescent="0.25"/>
  <cols>
    <col min="1" max="1" width="1.83203125" style="318" customWidth="1"/>
    <col min="2" max="2" width="6.5" style="318" customWidth="1"/>
    <col min="3" max="3" width="26" style="318" customWidth="1"/>
    <col min="4" max="8" width="10" style="318" customWidth="1"/>
    <col min="9" max="9" width="2.5" style="318" customWidth="1"/>
    <col min="10" max="11" width="11.5" style="363"/>
    <col min="12" max="16384" width="11.5" style="318"/>
  </cols>
  <sheetData>
    <row r="1" spans="1:14" ht="14.25" customHeight="1" x14ac:dyDescent="0.25">
      <c r="A1" s="721"/>
      <c r="B1" s="722"/>
      <c r="C1" s="722"/>
      <c r="D1" s="722"/>
      <c r="E1" s="722"/>
      <c r="F1" s="722"/>
      <c r="G1" s="722"/>
      <c r="H1" s="722"/>
      <c r="I1" s="723"/>
    </row>
    <row r="2" spans="1:14" ht="15" x14ac:dyDescent="0.25">
      <c r="A2" s="720"/>
      <c r="B2" s="725"/>
      <c r="C2" s="724"/>
      <c r="D2" s="724" t="s">
        <v>120</v>
      </c>
      <c r="E2" s="724"/>
      <c r="F2" s="724"/>
      <c r="G2" s="724"/>
      <c r="H2" s="724"/>
      <c r="I2" s="719"/>
    </row>
    <row r="3" spans="1:14" ht="15" x14ac:dyDescent="0.25">
      <c r="A3" s="720"/>
      <c r="B3" s="725"/>
      <c r="C3" s="724"/>
      <c r="D3" s="726" t="s">
        <v>121</v>
      </c>
      <c r="E3" s="726"/>
      <c r="F3" s="724"/>
      <c r="G3" s="724"/>
      <c r="H3" s="724"/>
      <c r="I3" s="719"/>
    </row>
    <row r="4" spans="1:14" ht="24.75" customHeight="1" x14ac:dyDescent="0.25">
      <c r="A4" s="720"/>
      <c r="B4" s="725"/>
      <c r="C4" s="724"/>
      <c r="D4" s="1569" t="s">
        <v>122</v>
      </c>
      <c r="E4" s="1569"/>
      <c r="F4" s="1569"/>
      <c r="G4" s="1569"/>
      <c r="H4" s="1569"/>
      <c r="I4" s="1570"/>
    </row>
    <row r="5" spans="1:14" ht="15" x14ac:dyDescent="0.25">
      <c r="A5" s="727"/>
      <c r="B5" s="728"/>
      <c r="C5" s="729"/>
      <c r="D5" s="730" t="s">
        <v>123</v>
      </c>
      <c r="E5" s="730"/>
      <c r="F5" s="729"/>
      <c r="G5" s="729"/>
      <c r="H5" s="729"/>
      <c r="I5" s="731"/>
    </row>
    <row r="6" spans="1:14" ht="31.5" customHeight="1" x14ac:dyDescent="0.25">
      <c r="A6" s="1571" t="s">
        <v>2673</v>
      </c>
      <c r="B6" s="1571"/>
      <c r="C6" s="1571"/>
      <c r="D6" s="1571"/>
      <c r="E6" s="1571"/>
      <c r="F6" s="1571"/>
      <c r="G6" s="1571"/>
      <c r="H6" s="1571"/>
      <c r="I6" s="1571"/>
    </row>
    <row r="7" spans="1:14" ht="21.75" customHeight="1" x14ac:dyDescent="0.25">
      <c r="A7" s="1572" t="s">
        <v>2674</v>
      </c>
      <c r="B7" s="1572"/>
      <c r="C7" s="1572"/>
      <c r="D7" s="1572"/>
      <c r="E7" s="1572"/>
      <c r="F7" s="1572"/>
      <c r="G7" s="1572"/>
      <c r="H7" s="1572"/>
      <c r="I7" s="1572"/>
    </row>
    <row r="8" spans="1:14" ht="26.25" customHeight="1" x14ac:dyDescent="0.25">
      <c r="A8" s="1573" t="s">
        <v>2675</v>
      </c>
      <c r="B8" s="1573"/>
      <c r="C8" s="1573"/>
      <c r="D8" s="1573"/>
      <c r="E8" s="1573"/>
      <c r="F8" s="1573"/>
      <c r="G8" s="1573"/>
      <c r="H8" s="1573"/>
      <c r="I8" s="1573"/>
    </row>
    <row r="9" spans="1:14" ht="15.75" x14ac:dyDescent="0.25">
      <c r="A9" s="1574" t="s">
        <v>496</v>
      </c>
      <c r="B9" s="1574"/>
      <c r="C9" s="1575" t="s">
        <v>2676</v>
      </c>
      <c r="D9" s="1575"/>
      <c r="E9" s="1574" t="s">
        <v>2677</v>
      </c>
      <c r="F9" s="1574"/>
      <c r="G9" s="1574"/>
      <c r="H9" s="1574"/>
      <c r="I9" s="1574"/>
    </row>
    <row r="10" spans="1:14" ht="15" x14ac:dyDescent="0.25">
      <c r="A10" s="365"/>
      <c r="B10" s="366"/>
      <c r="C10" s="367" t="s">
        <v>2678</v>
      </c>
      <c r="D10" s="366"/>
      <c r="E10" s="368"/>
      <c r="F10" s="368"/>
      <c r="G10" s="369"/>
      <c r="H10" s="594"/>
      <c r="I10" s="595"/>
    </row>
    <row r="11" spans="1:14" ht="24.75" customHeight="1" x14ac:dyDescent="0.25">
      <c r="A11" s="365"/>
      <c r="B11" s="370"/>
      <c r="C11" s="1581" t="s">
        <v>2679</v>
      </c>
      <c r="D11" s="1581"/>
      <c r="E11" s="371" t="s">
        <v>2680</v>
      </c>
      <c r="F11" s="371" t="s">
        <v>2681</v>
      </c>
      <c r="G11" s="371" t="s">
        <v>2682</v>
      </c>
      <c r="H11" s="371" t="s">
        <v>2683</v>
      </c>
      <c r="I11" s="595"/>
    </row>
    <row r="12" spans="1:14" ht="24.75" customHeight="1" x14ac:dyDescent="0.25">
      <c r="A12" s="365"/>
      <c r="B12" s="711" t="s">
        <v>2684</v>
      </c>
      <c r="C12" s="1582" t="s">
        <v>2685</v>
      </c>
      <c r="D12" s="1582"/>
      <c r="E12" s="732">
        <v>1.4999999999999999E-2</v>
      </c>
      <c r="F12" s="732">
        <v>3.4500000000000003E-2</v>
      </c>
      <c r="G12" s="733">
        <v>4.4900000000000002E-2</v>
      </c>
      <c r="H12" s="760">
        <f>Dados!G77</f>
        <v>3.4500000000000003E-2</v>
      </c>
      <c r="I12" s="595"/>
      <c r="J12" s="848"/>
      <c r="K12" s="849"/>
      <c r="L12" s="849"/>
      <c r="M12" s="849"/>
      <c r="N12" s="849"/>
    </row>
    <row r="13" spans="1:14" ht="15" x14ac:dyDescent="0.25">
      <c r="A13" s="365"/>
      <c r="B13" s="712" t="s">
        <v>2686</v>
      </c>
      <c r="C13" s="1583" t="s">
        <v>2687</v>
      </c>
      <c r="D13" s="1583"/>
      <c r="E13" s="761">
        <v>3.0000000000000001E-3</v>
      </c>
      <c r="F13" s="761">
        <v>4.7999999999999996E-3</v>
      </c>
      <c r="G13" s="760">
        <v>8.2000000000000007E-3</v>
      </c>
      <c r="H13" s="760">
        <f>Dados!G78</f>
        <v>4.7999999999999996E-3</v>
      </c>
      <c r="I13" s="595"/>
      <c r="J13" s="848"/>
      <c r="K13" s="849"/>
      <c r="L13" s="849"/>
      <c r="M13" s="849"/>
      <c r="N13" s="849"/>
    </row>
    <row r="14" spans="1:14" ht="13.5" customHeight="1" x14ac:dyDescent="0.25">
      <c r="A14" s="365"/>
      <c r="B14" s="712" t="s">
        <v>2688</v>
      </c>
      <c r="C14" s="1584" t="s">
        <v>2689</v>
      </c>
      <c r="D14" s="1584"/>
      <c r="E14" s="761">
        <v>5.5999999999999999E-3</v>
      </c>
      <c r="F14" s="761">
        <v>8.5000000000000006E-3</v>
      </c>
      <c r="G14" s="760">
        <v>8.8999999999999999E-3</v>
      </c>
      <c r="H14" s="760">
        <f>Dados!G79</f>
        <v>5.5999999999999999E-3</v>
      </c>
      <c r="I14" s="595"/>
      <c r="J14" s="848"/>
      <c r="K14" s="849"/>
      <c r="L14" s="849"/>
      <c r="M14" s="849"/>
      <c r="N14" s="849"/>
    </row>
    <row r="15" spans="1:14" ht="13.5" customHeight="1" x14ac:dyDescent="0.25">
      <c r="A15" s="365"/>
      <c r="B15" s="712" t="s">
        <v>2690</v>
      </c>
      <c r="C15" s="1584" t="s">
        <v>2691</v>
      </c>
      <c r="D15" s="1584"/>
      <c r="E15" s="761">
        <v>8.5000000000000006E-3</v>
      </c>
      <c r="F15" s="761">
        <v>8.5000000000000006E-3</v>
      </c>
      <c r="G15" s="760">
        <v>1.11E-2</v>
      </c>
      <c r="H15" s="760">
        <f>Dados!G80</f>
        <v>8.5000000000000006E-3</v>
      </c>
      <c r="I15" s="595"/>
      <c r="J15" s="848"/>
      <c r="K15" s="849"/>
      <c r="L15" s="849"/>
      <c r="M15" s="849"/>
      <c r="N15" s="849"/>
    </row>
    <row r="16" spans="1:14" ht="15" x14ac:dyDescent="0.25">
      <c r="A16" s="365"/>
      <c r="B16" s="711" t="s">
        <v>1248</v>
      </c>
      <c r="C16" s="1576" t="s">
        <v>2692</v>
      </c>
      <c r="D16" s="1576"/>
      <c r="E16" s="732">
        <v>3.5000000000000003E-2</v>
      </c>
      <c r="F16" s="732">
        <v>5.11E-2</v>
      </c>
      <c r="G16" s="733">
        <v>6.2199999999999998E-2</v>
      </c>
      <c r="H16" s="760">
        <f>Dados!G81</f>
        <v>5.11E-2</v>
      </c>
      <c r="I16" s="595"/>
      <c r="J16" s="848"/>
      <c r="K16" s="849"/>
      <c r="L16" s="849"/>
      <c r="M16" s="849"/>
      <c r="N16" s="849"/>
    </row>
    <row r="17" spans="1:14" ht="15" x14ac:dyDescent="0.25">
      <c r="A17" s="365"/>
      <c r="B17" s="372"/>
      <c r="C17" s="599"/>
      <c r="D17" s="599"/>
      <c r="E17" s="599"/>
      <c r="F17" s="599"/>
      <c r="G17" s="599"/>
      <c r="H17" s="373">
        <f>SUM(H12:H16)</f>
        <v>0.10450000000000001</v>
      </c>
      <c r="I17" s="595"/>
      <c r="J17" s="848"/>
      <c r="K17" s="849"/>
      <c r="L17" s="849"/>
      <c r="M17" s="849"/>
      <c r="N17" s="849"/>
    </row>
    <row r="18" spans="1:14" ht="15" x14ac:dyDescent="0.25">
      <c r="A18" s="365"/>
      <c r="B18" s="366"/>
      <c r="C18" s="1577" t="s">
        <v>2693</v>
      </c>
      <c r="D18" s="1577"/>
      <c r="E18" s="1577"/>
      <c r="F18" s="1577"/>
      <c r="G18" s="1577"/>
      <c r="H18" s="600"/>
      <c r="I18" s="595"/>
      <c r="J18" s="848"/>
      <c r="K18" s="849"/>
      <c r="L18" s="849"/>
      <c r="M18" s="849"/>
      <c r="N18" s="849"/>
    </row>
    <row r="19" spans="1:14" ht="18" customHeight="1" x14ac:dyDescent="0.25">
      <c r="A19" s="601"/>
      <c r="B19" s="602"/>
      <c r="C19" s="1578" t="s">
        <v>2694</v>
      </c>
      <c r="D19" s="1578"/>
      <c r="E19" s="1578"/>
      <c r="F19" s="1578"/>
      <c r="G19" s="1578"/>
      <c r="H19" s="603">
        <f>Dados!G82</f>
        <v>6.4999999999999997E-3</v>
      </c>
      <c r="I19" s="595"/>
      <c r="J19" s="848"/>
      <c r="K19" s="849"/>
      <c r="L19" s="849"/>
      <c r="M19" s="849"/>
      <c r="N19" s="849"/>
    </row>
    <row r="20" spans="1:14" ht="14.25" customHeight="1" x14ac:dyDescent="0.25">
      <c r="A20" s="604"/>
      <c r="B20" s="599"/>
      <c r="C20" s="1579" t="s">
        <v>2695</v>
      </c>
      <c r="D20" s="1579"/>
      <c r="E20" s="1579"/>
      <c r="F20" s="1579"/>
      <c r="G20" s="1579"/>
      <c r="H20" s="762">
        <f>Dados!G83</f>
        <v>0.03</v>
      </c>
      <c r="I20" s="595"/>
      <c r="J20" s="848"/>
      <c r="K20" s="849"/>
      <c r="L20" s="849"/>
      <c r="M20" s="849"/>
      <c r="N20" s="849"/>
    </row>
    <row r="21" spans="1:14" ht="54" customHeight="1" x14ac:dyDescent="0.25">
      <c r="A21" s="604"/>
      <c r="B21" s="599"/>
      <c r="C21" s="1580" t="s">
        <v>2696</v>
      </c>
      <c r="D21" s="1580"/>
      <c r="E21" s="1580"/>
      <c r="F21" s="1580"/>
      <c r="G21" s="1580"/>
      <c r="H21" s="598">
        <v>0</v>
      </c>
      <c r="I21" s="595"/>
      <c r="J21" s="848"/>
      <c r="K21" s="849"/>
      <c r="L21" s="849"/>
      <c r="M21" s="849"/>
      <c r="N21" s="849"/>
    </row>
    <row r="22" spans="1:14" ht="43.9" customHeight="1" x14ac:dyDescent="0.25">
      <c r="A22" s="604"/>
      <c r="B22" s="599"/>
      <c r="C22" s="1568" t="s">
        <v>2697</v>
      </c>
      <c r="D22" s="1568"/>
      <c r="E22" s="1568"/>
      <c r="F22" s="1568"/>
      <c r="G22" s="1568"/>
      <c r="H22" s="603">
        <f>Dados!G84</f>
        <v>0</v>
      </c>
      <c r="I22" s="595"/>
      <c r="J22" s="848"/>
      <c r="K22" s="849"/>
      <c r="L22" s="849"/>
      <c r="M22" s="849"/>
      <c r="N22" s="849"/>
    </row>
    <row r="23" spans="1:14" ht="17.25" customHeight="1" x14ac:dyDescent="0.25">
      <c r="A23" s="365"/>
      <c r="B23" s="366" t="s">
        <v>2698</v>
      </c>
      <c r="C23" s="374" t="s">
        <v>2699</v>
      </c>
      <c r="D23" s="374"/>
      <c r="E23" s="374"/>
      <c r="F23" s="374"/>
      <c r="G23" s="374"/>
      <c r="H23" s="375">
        <f>SUM(H19:H22)</f>
        <v>3.6499999999999998E-2</v>
      </c>
      <c r="I23" s="605"/>
      <c r="J23" s="848"/>
      <c r="K23" s="849"/>
      <c r="L23" s="849"/>
      <c r="M23" s="849"/>
      <c r="N23" s="849"/>
    </row>
    <row r="24" spans="1:14" ht="15" x14ac:dyDescent="0.25">
      <c r="A24" s="376"/>
      <c r="B24" s="377"/>
      <c r="C24" s="378"/>
      <c r="D24" s="378"/>
      <c r="E24" s="378"/>
      <c r="F24" s="378"/>
      <c r="G24" s="378"/>
      <c r="H24" s="379"/>
      <c r="I24" s="606"/>
    </row>
    <row r="25" spans="1:14" ht="15" x14ac:dyDescent="0.25">
      <c r="A25" s="380"/>
      <c r="B25" s="381" t="s">
        <v>89</v>
      </c>
      <c r="C25" s="382" t="s">
        <v>2700</v>
      </c>
      <c r="D25" s="382"/>
      <c r="E25" s="382"/>
      <c r="F25" s="382"/>
      <c r="G25" s="383"/>
      <c r="H25" s="384">
        <f>ROUND(((1+(H12+H13+H14))*(1+H15)*(1+H16))/(1-H23)-1,4)</f>
        <v>0.14960000000000001</v>
      </c>
      <c r="I25" s="607"/>
    </row>
    <row r="26" spans="1:14" ht="15" x14ac:dyDescent="0.25">
      <c r="A26" s="385"/>
      <c r="B26" s="386"/>
      <c r="C26" s="387"/>
      <c r="D26" s="387"/>
      <c r="E26" s="387"/>
      <c r="F26" s="387"/>
      <c r="G26" s="388"/>
      <c r="H26" s="389"/>
      <c r="I26" s="608"/>
    </row>
    <row r="27" spans="1:14" ht="15" x14ac:dyDescent="0.25">
      <c r="A27" s="743"/>
      <c r="B27" s="744" t="s">
        <v>2701</v>
      </c>
      <c r="C27" s="1594"/>
      <c r="D27" s="1594"/>
      <c r="E27" s="1594"/>
      <c r="F27" s="1594"/>
      <c r="G27" s="1594"/>
      <c r="H27" s="1594"/>
      <c r="I27" s="1594"/>
    </row>
    <row r="28" spans="1:14" ht="24.75" customHeight="1" x14ac:dyDescent="0.25">
      <c r="A28" s="601"/>
      <c r="B28" s="602"/>
      <c r="C28" s="1595" t="s">
        <v>2702</v>
      </c>
      <c r="D28" s="1595"/>
      <c r="E28" s="1595"/>
      <c r="F28" s="1595"/>
      <c r="G28" s="1595"/>
      <c r="H28" s="1595"/>
      <c r="I28" s="609"/>
    </row>
    <row r="29" spans="1:14" ht="24.75" customHeight="1" x14ac:dyDescent="0.25">
      <c r="A29" s="601"/>
      <c r="B29" s="602"/>
      <c r="C29" s="1595" t="s">
        <v>2703</v>
      </c>
      <c r="D29" s="1595"/>
      <c r="E29" s="1595"/>
      <c r="F29" s="1595"/>
      <c r="G29" s="1595"/>
      <c r="H29" s="1595"/>
      <c r="I29" s="609"/>
    </row>
    <row r="30" spans="1:14" ht="52.5" customHeight="1" x14ac:dyDescent="0.25">
      <c r="A30" s="601"/>
      <c r="B30" s="602"/>
      <c r="C30" s="1595" t="s">
        <v>2704</v>
      </c>
      <c r="D30" s="1595"/>
      <c r="E30" s="1595"/>
      <c r="F30" s="1595"/>
      <c r="G30" s="1595"/>
      <c r="H30" s="1595"/>
      <c r="I30" s="609"/>
    </row>
    <row r="31" spans="1:14" ht="54.75" customHeight="1" x14ac:dyDescent="0.25">
      <c r="A31" s="700"/>
      <c r="B31" s="610"/>
      <c r="C31" s="1592" t="s">
        <v>2705</v>
      </c>
      <c r="D31" s="1593"/>
      <c r="E31" s="1593"/>
      <c r="F31" s="1593"/>
      <c r="G31" s="1593"/>
      <c r="H31" s="1593"/>
      <c r="I31" s="701"/>
    </row>
    <row r="32" spans="1:14" ht="21" customHeight="1" x14ac:dyDescent="0.25">
      <c r="A32" s="721"/>
      <c r="B32" s="722"/>
      <c r="C32" s="1585" t="s">
        <v>2706</v>
      </c>
      <c r="D32" s="1586"/>
      <c r="E32" s="1586"/>
      <c r="F32" s="1586"/>
      <c r="G32" s="1586"/>
      <c r="H32" s="1586"/>
      <c r="I32" s="723"/>
    </row>
    <row r="33" spans="1:9" ht="29.25" customHeight="1" x14ac:dyDescent="0.25">
      <c r="A33" s="960"/>
      <c r="B33" s="729"/>
      <c r="C33" s="1587" t="s">
        <v>2707</v>
      </c>
      <c r="D33" s="1588"/>
      <c r="E33" s="1588"/>
      <c r="F33" s="1588"/>
      <c r="G33" s="1588"/>
      <c r="H33" s="1588"/>
      <c r="I33" s="961"/>
    </row>
    <row r="34" spans="1:9" ht="118.5" customHeight="1" x14ac:dyDescent="0.25">
      <c r="A34" s="721"/>
      <c r="B34" s="722"/>
      <c r="C34" s="1589" t="s">
        <v>2708</v>
      </c>
      <c r="D34" s="1590"/>
      <c r="E34" s="1590"/>
      <c r="F34" s="1590"/>
      <c r="G34" s="1590"/>
      <c r="H34" s="1590"/>
      <c r="I34" s="723"/>
    </row>
    <row r="35" spans="1:9" ht="14.25" customHeight="1" x14ac:dyDescent="0.25">
      <c r="A35" s="960"/>
      <c r="B35" s="1591"/>
      <c r="C35" s="1591"/>
      <c r="D35" s="1591"/>
      <c r="E35" s="1591"/>
      <c r="F35" s="1591"/>
      <c r="G35" s="729"/>
      <c r="H35" s="729"/>
      <c r="I35" s="961"/>
    </row>
  </sheetData>
  <sheetProtection sheet="1" objects="1" scenarios="1"/>
  <mergeCells count="27">
    <mergeCell ref="C32:H32"/>
    <mergeCell ref="C33:H33"/>
    <mergeCell ref="C34:H34"/>
    <mergeCell ref="B35:F35"/>
    <mergeCell ref="C31:H31"/>
    <mergeCell ref="C27:I27"/>
    <mergeCell ref="C28:H28"/>
    <mergeCell ref="C29:H29"/>
    <mergeCell ref="C30:H30"/>
    <mergeCell ref="C19:G19"/>
    <mergeCell ref="C20:G20"/>
    <mergeCell ref="C21:G21"/>
    <mergeCell ref="C11:D11"/>
    <mergeCell ref="C12:D12"/>
    <mergeCell ref="C13:D13"/>
    <mergeCell ref="C14:D14"/>
    <mergeCell ref="C15:D15"/>
    <mergeCell ref="C22:G22"/>
    <mergeCell ref="D4:I4"/>
    <mergeCell ref="A6:I6"/>
    <mergeCell ref="A7:I7"/>
    <mergeCell ref="A8:I8"/>
    <mergeCell ref="A9:B9"/>
    <mergeCell ref="C9:D9"/>
    <mergeCell ref="E9:I9"/>
    <mergeCell ref="C16:D16"/>
    <mergeCell ref="C18:G18"/>
  </mergeCells>
  <printOptions horizontalCentered="1"/>
  <pageMargins left="0.196527777777778" right="0.196527777777778" top="0.64305555555555605" bottom="0.61527777777777803" header="0.39374999999999999" footer="0.39374999999999999"/>
  <pageSetup paperSize="9" fitToHeight="2" orientation="portrait" r:id="rId1"/>
  <headerFooter>
    <oddHeader>&amp;C&amp;"Times New Roman,Normal"&amp;12&amp;Kffffff&amp;A</oddHeader>
    <oddFooter>&amp;C&amp;"Arial,Normal"&amp;10&amp;P de &amp;N</oddFooter>
  </headerFooter>
  <rowBreaks count="1" manualBreakCount="1">
    <brk id="26"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BE84-5439-43EE-931A-EE4509F3DFB2}">
  <sheetPr>
    <pageSetUpPr fitToPage="1"/>
  </sheetPr>
  <dimension ref="A1:N36"/>
  <sheetViews>
    <sheetView view="pageBreakPreview" zoomScaleNormal="115" zoomScaleSheetLayoutView="100" workbookViewId="0">
      <selection activeCell="C31" sqref="C31:H31"/>
    </sheetView>
  </sheetViews>
  <sheetFormatPr defaultColWidth="11.5" defaultRowHeight="14.25" customHeight="1" x14ac:dyDescent="0.25"/>
  <cols>
    <col min="1" max="1" width="1.83203125" style="318" customWidth="1"/>
    <col min="2" max="2" width="6.5" style="318" customWidth="1"/>
    <col min="3" max="3" width="26" style="318" customWidth="1"/>
    <col min="4" max="8" width="10" style="318" customWidth="1"/>
    <col min="9" max="9" width="2.5" style="318" customWidth="1"/>
    <col min="10" max="11" width="11.5" style="363"/>
    <col min="12" max="16384" width="11.5" style="318"/>
  </cols>
  <sheetData>
    <row r="1" spans="1:14" ht="14.25" customHeight="1" x14ac:dyDescent="0.25">
      <c r="A1" s="721"/>
      <c r="B1" s="722"/>
      <c r="C1" s="722"/>
      <c r="D1" s="722"/>
      <c r="E1" s="722"/>
      <c r="F1" s="722"/>
      <c r="G1" s="722"/>
      <c r="H1" s="722"/>
      <c r="I1" s="723"/>
    </row>
    <row r="2" spans="1:14" ht="15" x14ac:dyDescent="0.25">
      <c r="A2" s="720"/>
      <c r="B2" s="725"/>
      <c r="C2" s="724"/>
      <c r="D2" s="724" t="s">
        <v>120</v>
      </c>
      <c r="E2" s="724"/>
      <c r="F2" s="724"/>
      <c r="G2" s="724"/>
      <c r="H2" s="724"/>
      <c r="I2" s="719"/>
    </row>
    <row r="3" spans="1:14" ht="15" x14ac:dyDescent="0.25">
      <c r="A3" s="720"/>
      <c r="B3" s="725"/>
      <c r="C3" s="724"/>
      <c r="D3" s="726" t="s">
        <v>121</v>
      </c>
      <c r="E3" s="726"/>
      <c r="F3" s="724"/>
      <c r="G3" s="724"/>
      <c r="H3" s="724"/>
      <c r="I3" s="719"/>
    </row>
    <row r="4" spans="1:14" ht="24.75" customHeight="1" x14ac:dyDescent="0.25">
      <c r="A4" s="720"/>
      <c r="B4" s="725"/>
      <c r="C4" s="724"/>
      <c r="D4" s="1569" t="s">
        <v>122</v>
      </c>
      <c r="E4" s="1569"/>
      <c r="F4" s="1569"/>
      <c r="G4" s="1569"/>
      <c r="H4" s="1569"/>
      <c r="I4" s="1570"/>
    </row>
    <row r="5" spans="1:14" ht="15" x14ac:dyDescent="0.25">
      <c r="A5" s="727"/>
      <c r="B5" s="728"/>
      <c r="C5" s="729"/>
      <c r="D5" s="730" t="s">
        <v>123</v>
      </c>
      <c r="E5" s="730"/>
      <c r="F5" s="729"/>
      <c r="G5" s="729"/>
      <c r="H5" s="729"/>
      <c r="I5" s="731"/>
    </row>
    <row r="6" spans="1:14" ht="31.5" customHeight="1" x14ac:dyDescent="0.25">
      <c r="A6" s="1571" t="s">
        <v>2673</v>
      </c>
      <c r="B6" s="1571"/>
      <c r="C6" s="1571"/>
      <c r="D6" s="1571"/>
      <c r="E6" s="1571"/>
      <c r="F6" s="1571"/>
      <c r="G6" s="1571"/>
      <c r="H6" s="1571"/>
      <c r="I6" s="1571"/>
    </row>
    <row r="7" spans="1:14" ht="21.75" customHeight="1" x14ac:dyDescent="0.25">
      <c r="A7" s="1572" t="s">
        <v>2674</v>
      </c>
      <c r="B7" s="1572"/>
      <c r="C7" s="1572"/>
      <c r="D7" s="1572"/>
      <c r="E7" s="1572"/>
      <c r="F7" s="1572"/>
      <c r="G7" s="1572"/>
      <c r="H7" s="1572"/>
      <c r="I7" s="1572"/>
    </row>
    <row r="8" spans="1:14" ht="26.25" customHeight="1" x14ac:dyDescent="0.25">
      <c r="A8" s="1573" t="s">
        <v>2709</v>
      </c>
      <c r="B8" s="1573"/>
      <c r="C8" s="1573"/>
      <c r="D8" s="1573"/>
      <c r="E8" s="1573"/>
      <c r="F8" s="1573"/>
      <c r="G8" s="1573"/>
      <c r="H8" s="1573"/>
      <c r="I8" s="1573"/>
    </row>
    <row r="9" spans="1:14" ht="15.75" x14ac:dyDescent="0.25">
      <c r="A9" s="1574" t="s">
        <v>496</v>
      </c>
      <c r="B9" s="1574"/>
      <c r="C9" s="1575" t="s">
        <v>2676</v>
      </c>
      <c r="D9" s="1575"/>
      <c r="E9" s="1574" t="s">
        <v>2677</v>
      </c>
      <c r="F9" s="1574"/>
      <c r="G9" s="1574"/>
      <c r="H9" s="1574"/>
      <c r="I9" s="1574"/>
    </row>
    <row r="10" spans="1:14" ht="15" x14ac:dyDescent="0.25">
      <c r="A10" s="365"/>
      <c r="B10" s="366"/>
      <c r="C10" s="367" t="s">
        <v>2678</v>
      </c>
      <c r="D10" s="366"/>
      <c r="E10" s="368"/>
      <c r="F10" s="368"/>
      <c r="G10" s="369"/>
      <c r="H10" s="594"/>
      <c r="I10" s="595"/>
    </row>
    <row r="11" spans="1:14" ht="24.75" customHeight="1" x14ac:dyDescent="0.25">
      <c r="A11" s="365"/>
      <c r="B11" s="370"/>
      <c r="C11" s="1581" t="s">
        <v>2679</v>
      </c>
      <c r="D11" s="1581"/>
      <c r="E11" s="371" t="s">
        <v>2680</v>
      </c>
      <c r="F11" s="371" t="s">
        <v>2681</v>
      </c>
      <c r="G11" s="371" t="s">
        <v>2682</v>
      </c>
      <c r="H11" s="371" t="s">
        <v>2683</v>
      </c>
      <c r="I11" s="595"/>
    </row>
    <row r="12" spans="1:14" ht="24.75" customHeight="1" x14ac:dyDescent="0.25">
      <c r="A12" s="365"/>
      <c r="B12" s="711" t="s">
        <v>2684</v>
      </c>
      <c r="C12" s="1582" t="s">
        <v>2685</v>
      </c>
      <c r="D12" s="1582"/>
      <c r="E12" s="732">
        <v>1.4999999999999999E-2</v>
      </c>
      <c r="F12" s="732">
        <v>3.4500000000000003E-2</v>
      </c>
      <c r="G12" s="733">
        <v>4.4900000000000002E-2</v>
      </c>
      <c r="H12" s="760">
        <f>Dados!G77</f>
        <v>3.4500000000000003E-2</v>
      </c>
      <c r="I12" s="595"/>
      <c r="J12" s="848"/>
      <c r="K12" s="849"/>
      <c r="L12" s="849"/>
      <c r="M12" s="849"/>
      <c r="N12" s="849"/>
    </row>
    <row r="13" spans="1:14" ht="15" x14ac:dyDescent="0.25">
      <c r="A13" s="365"/>
      <c r="B13" s="712" t="s">
        <v>2686</v>
      </c>
      <c r="C13" s="1583" t="s">
        <v>2687</v>
      </c>
      <c r="D13" s="1583"/>
      <c r="E13" s="761">
        <v>3.0000000000000001E-3</v>
      </c>
      <c r="F13" s="761">
        <v>4.7999999999999996E-3</v>
      </c>
      <c r="G13" s="760">
        <v>8.2000000000000007E-3</v>
      </c>
      <c r="H13" s="760">
        <v>0</v>
      </c>
      <c r="I13" s="595"/>
      <c r="J13" s="848"/>
      <c r="K13" s="849"/>
      <c r="L13" s="849"/>
      <c r="M13" s="849"/>
      <c r="N13" s="849"/>
    </row>
    <row r="14" spans="1:14" ht="13.5" customHeight="1" x14ac:dyDescent="0.25">
      <c r="A14" s="365"/>
      <c r="B14" s="712" t="s">
        <v>2688</v>
      </c>
      <c r="C14" s="1584" t="s">
        <v>2689</v>
      </c>
      <c r="D14" s="1584"/>
      <c r="E14" s="761">
        <v>5.5999999999999999E-3</v>
      </c>
      <c r="F14" s="761">
        <v>8.5000000000000006E-3</v>
      </c>
      <c r="G14" s="760">
        <v>8.8999999999999999E-3</v>
      </c>
      <c r="H14" s="760">
        <v>0</v>
      </c>
      <c r="I14" s="595"/>
      <c r="J14" s="848"/>
      <c r="K14" s="849"/>
      <c r="L14" s="849"/>
      <c r="M14" s="849"/>
      <c r="N14" s="849"/>
    </row>
    <row r="15" spans="1:14" ht="13.5" customHeight="1" x14ac:dyDescent="0.25">
      <c r="A15" s="365"/>
      <c r="B15" s="712" t="s">
        <v>2690</v>
      </c>
      <c r="C15" s="1584" t="s">
        <v>2691</v>
      </c>
      <c r="D15" s="1584"/>
      <c r="E15" s="761">
        <v>8.5000000000000006E-3</v>
      </c>
      <c r="F15" s="761">
        <v>8.5000000000000006E-3</v>
      </c>
      <c r="G15" s="760">
        <v>1.11E-2</v>
      </c>
      <c r="H15" s="760">
        <f>Dados!G80</f>
        <v>8.5000000000000006E-3</v>
      </c>
      <c r="I15" s="595"/>
      <c r="J15" s="848"/>
      <c r="K15" s="849"/>
      <c r="L15" s="849"/>
      <c r="M15" s="849"/>
      <c r="N15" s="849"/>
    </row>
    <row r="16" spans="1:14" ht="15" x14ac:dyDescent="0.25">
      <c r="A16" s="365"/>
      <c r="B16" s="711" t="s">
        <v>1248</v>
      </c>
      <c r="C16" s="1576" t="s">
        <v>2692</v>
      </c>
      <c r="D16" s="1576"/>
      <c r="E16" s="732">
        <v>3.5000000000000003E-2</v>
      </c>
      <c r="F16" s="732">
        <v>5.11E-2</v>
      </c>
      <c r="G16" s="733">
        <v>6.2199999999999998E-2</v>
      </c>
      <c r="H16" s="760">
        <v>0</v>
      </c>
      <c r="I16" s="595"/>
      <c r="J16" s="848"/>
      <c r="K16" s="849"/>
      <c r="L16" s="849"/>
      <c r="M16" s="849"/>
      <c r="N16" s="849"/>
    </row>
    <row r="17" spans="1:14" ht="15" x14ac:dyDescent="0.25">
      <c r="A17" s="365"/>
      <c r="B17" s="372"/>
      <c r="C17" s="599"/>
      <c r="D17" s="599"/>
      <c r="E17" s="599"/>
      <c r="F17" s="599"/>
      <c r="G17" s="599"/>
      <c r="H17" s="373">
        <f>SUM(H12:H16)</f>
        <v>4.3000000000000003E-2</v>
      </c>
      <c r="I17" s="595"/>
      <c r="J17" s="848"/>
      <c r="K17" s="849"/>
      <c r="L17" s="849"/>
      <c r="M17" s="849"/>
      <c r="N17" s="849"/>
    </row>
    <row r="18" spans="1:14" ht="15" x14ac:dyDescent="0.25">
      <c r="A18" s="365"/>
      <c r="B18" s="366"/>
      <c r="C18" s="1577" t="s">
        <v>2693</v>
      </c>
      <c r="D18" s="1577"/>
      <c r="E18" s="1577"/>
      <c r="F18" s="1577"/>
      <c r="G18" s="1577"/>
      <c r="H18" s="600"/>
      <c r="I18" s="595"/>
      <c r="J18" s="848"/>
      <c r="K18" s="849"/>
      <c r="L18" s="849"/>
      <c r="M18" s="849"/>
      <c r="N18" s="849"/>
    </row>
    <row r="19" spans="1:14" ht="18" customHeight="1" x14ac:dyDescent="0.25">
      <c r="A19" s="601"/>
      <c r="B19" s="602"/>
      <c r="C19" s="1578" t="s">
        <v>2694</v>
      </c>
      <c r="D19" s="1578"/>
      <c r="E19" s="1578"/>
      <c r="F19" s="1578"/>
      <c r="G19" s="1578"/>
      <c r="H19" s="603">
        <f>Dados!G82</f>
        <v>6.4999999999999997E-3</v>
      </c>
      <c r="I19" s="595"/>
      <c r="J19" s="848"/>
      <c r="K19" s="849"/>
      <c r="L19" s="849"/>
      <c r="M19" s="849"/>
      <c r="N19" s="849"/>
    </row>
    <row r="20" spans="1:14" ht="14.25" customHeight="1" x14ac:dyDescent="0.25">
      <c r="A20" s="604"/>
      <c r="B20" s="599"/>
      <c r="C20" s="1579" t="s">
        <v>2695</v>
      </c>
      <c r="D20" s="1579"/>
      <c r="E20" s="1579"/>
      <c r="F20" s="1579"/>
      <c r="G20" s="1579"/>
      <c r="H20" s="762">
        <f>Dados!G83</f>
        <v>0.03</v>
      </c>
      <c r="I20" s="595"/>
      <c r="J20" s="848"/>
      <c r="K20" s="849"/>
      <c r="L20" s="849"/>
      <c r="M20" s="849"/>
      <c r="N20" s="849"/>
    </row>
    <row r="21" spans="1:14" ht="54" customHeight="1" x14ac:dyDescent="0.25">
      <c r="A21" s="604"/>
      <c r="B21" s="599"/>
      <c r="C21" s="1580" t="s">
        <v>2696</v>
      </c>
      <c r="D21" s="1580"/>
      <c r="E21" s="1580"/>
      <c r="F21" s="1580"/>
      <c r="G21" s="1580"/>
      <c r="H21" s="598">
        <v>0</v>
      </c>
      <c r="I21" s="595"/>
      <c r="J21" s="848"/>
      <c r="K21" s="849"/>
      <c r="L21" s="849"/>
      <c r="M21" s="849"/>
      <c r="N21" s="849"/>
    </row>
    <row r="22" spans="1:14" ht="43.9" customHeight="1" x14ac:dyDescent="0.25">
      <c r="A22" s="604"/>
      <c r="B22" s="599"/>
      <c r="C22" s="1568" t="s">
        <v>2697</v>
      </c>
      <c r="D22" s="1568"/>
      <c r="E22" s="1568"/>
      <c r="F22" s="1568"/>
      <c r="G22" s="1568"/>
      <c r="H22" s="603">
        <f>Dados!G84</f>
        <v>0</v>
      </c>
      <c r="I22" s="595"/>
      <c r="J22" s="848"/>
      <c r="K22" s="849"/>
      <c r="L22" s="849"/>
      <c r="M22" s="849"/>
      <c r="N22" s="849"/>
    </row>
    <row r="23" spans="1:14" ht="17.25" customHeight="1" x14ac:dyDescent="0.25">
      <c r="A23" s="365"/>
      <c r="B23" s="366" t="s">
        <v>2698</v>
      </c>
      <c r="C23" s="374" t="s">
        <v>2699</v>
      </c>
      <c r="D23" s="374"/>
      <c r="E23" s="374"/>
      <c r="F23" s="374"/>
      <c r="G23" s="374"/>
      <c r="H23" s="375">
        <f>SUM(H19:H22)</f>
        <v>3.6499999999999998E-2</v>
      </c>
      <c r="I23" s="605"/>
      <c r="J23" s="848"/>
      <c r="K23" s="849"/>
      <c r="L23" s="849"/>
      <c r="M23" s="849"/>
      <c r="N23" s="849"/>
    </row>
    <row r="24" spans="1:14" ht="15" x14ac:dyDescent="0.25">
      <c r="A24" s="376"/>
      <c r="B24" s="377"/>
      <c r="C24" s="378"/>
      <c r="D24" s="378"/>
      <c r="E24" s="378"/>
      <c r="F24" s="378"/>
      <c r="G24" s="378"/>
      <c r="H24" s="379"/>
      <c r="I24" s="606"/>
    </row>
    <row r="25" spans="1:14" ht="15" x14ac:dyDescent="0.25">
      <c r="A25" s="380"/>
      <c r="B25" s="381" t="s">
        <v>89</v>
      </c>
      <c r="C25" s="382" t="s">
        <v>2700</v>
      </c>
      <c r="D25" s="382"/>
      <c r="E25" s="382"/>
      <c r="F25" s="382"/>
      <c r="G25" s="383"/>
      <c r="H25" s="384">
        <f>ROUND(((1+(H12+H13+H14))*(1+H15)*(1+H16))/(1-H23)-1,4)</f>
        <v>8.2799999999999999E-2</v>
      </c>
      <c r="I25" s="607"/>
    </row>
    <row r="26" spans="1:14" ht="15" x14ac:dyDescent="0.25">
      <c r="A26" s="385"/>
      <c r="B26" s="386"/>
      <c r="C26" s="387"/>
      <c r="D26" s="387"/>
      <c r="E26" s="387"/>
      <c r="F26" s="387"/>
      <c r="G26" s="388"/>
      <c r="H26" s="389"/>
      <c r="I26" s="608"/>
    </row>
    <row r="27" spans="1:14" ht="15" x14ac:dyDescent="0.25">
      <c r="A27" s="743"/>
      <c r="B27" s="744" t="s">
        <v>2701</v>
      </c>
      <c r="C27" s="1594"/>
      <c r="D27" s="1594"/>
      <c r="E27" s="1594"/>
      <c r="F27" s="1594"/>
      <c r="G27" s="1594"/>
      <c r="H27" s="1594"/>
      <c r="I27" s="1594"/>
    </row>
    <row r="28" spans="1:14" ht="33.75" customHeight="1" x14ac:dyDescent="0.25">
      <c r="A28" s="601"/>
      <c r="B28" s="602"/>
      <c r="C28" s="1596" t="s">
        <v>2710</v>
      </c>
      <c r="D28" s="1597"/>
      <c r="E28" s="1597"/>
      <c r="F28" s="1597"/>
      <c r="G28" s="1597"/>
      <c r="H28" s="1597"/>
      <c r="I28" s="609"/>
    </row>
    <row r="29" spans="1:14" ht="24.75" customHeight="1" x14ac:dyDescent="0.25">
      <c r="A29" s="601"/>
      <c r="B29" s="602"/>
      <c r="C29" s="1595" t="s">
        <v>2702</v>
      </c>
      <c r="D29" s="1595"/>
      <c r="E29" s="1595"/>
      <c r="F29" s="1595"/>
      <c r="G29" s="1595"/>
      <c r="H29" s="1595"/>
      <c r="I29" s="609"/>
    </row>
    <row r="30" spans="1:14" ht="24.75" customHeight="1" x14ac:dyDescent="0.25">
      <c r="A30" s="601"/>
      <c r="B30" s="602"/>
      <c r="C30" s="1595" t="s">
        <v>2703</v>
      </c>
      <c r="D30" s="1595"/>
      <c r="E30" s="1595"/>
      <c r="F30" s="1595"/>
      <c r="G30" s="1595"/>
      <c r="H30" s="1595"/>
      <c r="I30" s="609"/>
    </row>
    <row r="31" spans="1:14" ht="52.5" customHeight="1" x14ac:dyDescent="0.25">
      <c r="A31" s="601"/>
      <c r="B31" s="602"/>
      <c r="C31" s="1595" t="s">
        <v>2704</v>
      </c>
      <c r="D31" s="1595"/>
      <c r="E31" s="1595"/>
      <c r="F31" s="1595"/>
      <c r="G31" s="1595"/>
      <c r="H31" s="1595"/>
      <c r="I31" s="609"/>
    </row>
    <row r="32" spans="1:14" ht="54.75" customHeight="1" x14ac:dyDescent="0.25">
      <c r="A32" s="700"/>
      <c r="B32" s="610"/>
      <c r="C32" s="1592" t="s">
        <v>2705</v>
      </c>
      <c r="D32" s="1593"/>
      <c r="E32" s="1593"/>
      <c r="F32" s="1593"/>
      <c r="G32" s="1593"/>
      <c r="H32" s="1593"/>
      <c r="I32" s="701"/>
    </row>
    <row r="33" spans="1:9" ht="21" customHeight="1" x14ac:dyDescent="0.25">
      <c r="A33" s="721"/>
      <c r="B33" s="722"/>
      <c r="C33" s="1585" t="s">
        <v>2706</v>
      </c>
      <c r="D33" s="1586"/>
      <c r="E33" s="1586"/>
      <c r="F33" s="1586"/>
      <c r="G33" s="1586"/>
      <c r="H33" s="1586"/>
      <c r="I33" s="723"/>
    </row>
    <row r="34" spans="1:9" ht="29.25" customHeight="1" x14ac:dyDescent="0.25">
      <c r="A34" s="960"/>
      <c r="B34" s="729"/>
      <c r="C34" s="1587" t="s">
        <v>2707</v>
      </c>
      <c r="D34" s="1588"/>
      <c r="E34" s="1588"/>
      <c r="F34" s="1588"/>
      <c r="G34" s="1588"/>
      <c r="H34" s="1588"/>
      <c r="I34" s="961"/>
    </row>
    <row r="35" spans="1:9" ht="118.5" customHeight="1" x14ac:dyDescent="0.25">
      <c r="A35" s="721"/>
      <c r="B35" s="722"/>
      <c r="C35" s="1589" t="s">
        <v>2708</v>
      </c>
      <c r="D35" s="1590"/>
      <c r="E35" s="1590"/>
      <c r="F35" s="1590"/>
      <c r="G35" s="1590"/>
      <c r="H35" s="1590"/>
      <c r="I35" s="723"/>
    </row>
    <row r="36" spans="1:9" ht="14.25" customHeight="1" x14ac:dyDescent="0.25">
      <c r="A36" s="960"/>
      <c r="B36" s="1591"/>
      <c r="C36" s="1591"/>
      <c r="D36" s="1591"/>
      <c r="E36" s="1591"/>
      <c r="F36" s="1591"/>
      <c r="G36" s="729"/>
      <c r="H36" s="729"/>
      <c r="I36" s="961"/>
    </row>
  </sheetData>
  <sheetProtection sheet="1" objects="1" scenarios="1"/>
  <mergeCells count="28">
    <mergeCell ref="C34:H34"/>
    <mergeCell ref="C21:G21"/>
    <mergeCell ref="C22:G22"/>
    <mergeCell ref="C28:H28"/>
    <mergeCell ref="C35:H35"/>
    <mergeCell ref="B36:F36"/>
    <mergeCell ref="C29:H29"/>
    <mergeCell ref="C30:H30"/>
    <mergeCell ref="C31:H31"/>
    <mergeCell ref="C32:H32"/>
    <mergeCell ref="C33:H33"/>
    <mergeCell ref="C27:I27"/>
    <mergeCell ref="C11:D11"/>
    <mergeCell ref="C12:D12"/>
    <mergeCell ref="C13:D13"/>
    <mergeCell ref="C14:D14"/>
    <mergeCell ref="C15:D15"/>
    <mergeCell ref="C16:D16"/>
    <mergeCell ref="C18:G18"/>
    <mergeCell ref="C19:G19"/>
    <mergeCell ref="C20:G20"/>
    <mergeCell ref="D4:I4"/>
    <mergeCell ref="A6:I6"/>
    <mergeCell ref="A7:I7"/>
    <mergeCell ref="A8:I8"/>
    <mergeCell ref="A9:B9"/>
    <mergeCell ref="C9:D9"/>
    <mergeCell ref="E9:I9"/>
  </mergeCells>
  <printOptions horizontalCentered="1"/>
  <pageMargins left="0.196527777777778" right="0.196527777777778" top="0.64305555555555605" bottom="0.61527777777777803" header="0.39374999999999999" footer="0.39374999999999999"/>
  <pageSetup paperSize="9" scale="82" orientation="portrait" r:id="rId1"/>
  <headerFooter>
    <oddHeader>&amp;C&amp;"Times New Roman,Normal"&amp;12&amp;Kffffff&amp;A</oddHeader>
    <oddFooter>&amp;C&amp;"Arial,Normal"&amp;10&amp;P de &amp;N</oddFooter>
  </headerFooter>
  <rowBreaks count="1" manualBreakCount="1">
    <brk id="26"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91AB7-CA97-4CE0-9744-1F4536202042}">
  <sheetPr filterMode="1">
    <tabColor rgb="FF00B0F0"/>
    <pageSetUpPr fitToPage="1"/>
  </sheetPr>
  <dimension ref="A1:J77"/>
  <sheetViews>
    <sheetView view="pageBreakPreview" zoomScaleNormal="100" zoomScaleSheetLayoutView="100" workbookViewId="0">
      <selection activeCell="H10" sqref="H10"/>
    </sheetView>
  </sheetViews>
  <sheetFormatPr defaultColWidth="11.5" defaultRowHeight="12.75" customHeight="1" x14ac:dyDescent="0.2"/>
  <cols>
    <col min="1" max="1" width="17.1640625" style="512" customWidth="1"/>
    <col min="2" max="2" width="13.5" style="512" customWidth="1"/>
    <col min="3" max="3" width="11.5" style="512"/>
    <col min="4" max="4" width="61" style="552" customWidth="1"/>
    <col min="5" max="5" width="9.83203125" style="512" customWidth="1"/>
    <col min="6" max="6" width="12.6640625" style="512" customWidth="1"/>
    <col min="7" max="7" width="18.5" style="512" customWidth="1"/>
    <col min="8" max="9" width="19.6640625" style="512" customWidth="1"/>
    <col min="10" max="10" width="4.6640625" style="512" customWidth="1"/>
    <col min="11" max="16384" width="11.5" style="512"/>
  </cols>
  <sheetData>
    <row r="1" spans="1:10" ht="26.25" x14ac:dyDescent="0.2">
      <c r="A1" s="553"/>
      <c r="B1" s="554"/>
      <c r="C1" s="555" t="s">
        <v>120</v>
      </c>
      <c r="D1" s="556"/>
      <c r="E1" s="554"/>
      <c r="F1" s="554"/>
      <c r="G1" s="554"/>
      <c r="H1" s="554"/>
      <c r="I1" s="557"/>
    </row>
    <row r="2" spans="1:10" ht="16.5" customHeight="1" x14ac:dyDescent="0.2">
      <c r="A2" s="558"/>
      <c r="B2" s="559"/>
      <c r="C2" s="560" t="s">
        <v>1</v>
      </c>
      <c r="D2" s="561"/>
      <c r="E2" s="559"/>
      <c r="F2" s="559"/>
      <c r="G2" s="559"/>
      <c r="H2" s="559"/>
      <c r="I2" s="562"/>
    </row>
    <row r="3" spans="1:10" ht="16.5" customHeight="1" x14ac:dyDescent="0.2">
      <c r="A3" s="558"/>
      <c r="B3" s="559"/>
      <c r="C3" s="560" t="s">
        <v>2</v>
      </c>
      <c r="D3" s="561"/>
      <c r="E3" s="559"/>
      <c r="F3" s="559"/>
      <c r="G3" s="559"/>
      <c r="H3" s="559"/>
      <c r="I3" s="562"/>
    </row>
    <row r="4" spans="1:10" ht="16.5" customHeight="1" x14ac:dyDescent="0.2">
      <c r="A4" s="563"/>
      <c r="B4" s="564"/>
      <c r="C4" s="565" t="s">
        <v>223</v>
      </c>
      <c r="D4" s="566"/>
      <c r="E4" s="564"/>
      <c r="F4" s="564"/>
      <c r="G4" s="564"/>
      <c r="H4" s="564"/>
      <c r="I4" s="567"/>
    </row>
    <row r="5" spans="1:10" ht="27" customHeight="1" x14ac:dyDescent="0.2">
      <c r="A5" s="1598" t="s">
        <v>2711</v>
      </c>
      <c r="B5" s="1598"/>
      <c r="C5" s="1598"/>
      <c r="D5" s="1598"/>
      <c r="E5" s="1598"/>
      <c r="F5" s="1598"/>
      <c r="G5" s="1598"/>
      <c r="H5" s="1598"/>
      <c r="I5" s="1598"/>
    </row>
    <row r="6" spans="1:10" ht="35.25" customHeight="1" x14ac:dyDescent="0.2">
      <c r="A6" s="1599" t="s">
        <v>2712</v>
      </c>
      <c r="B6" s="1599"/>
      <c r="C6" s="1599"/>
      <c r="D6" s="1599"/>
      <c r="E6" s="1599"/>
      <c r="F6" s="1599"/>
      <c r="G6" s="1599"/>
      <c r="H6" s="1599"/>
      <c r="I6" s="1599"/>
    </row>
    <row r="7" spans="1:10" ht="38.25" customHeight="1" x14ac:dyDescent="0.2">
      <c r="A7" s="1600" t="s">
        <v>2713</v>
      </c>
      <c r="B7" s="1601"/>
      <c r="C7" s="1601"/>
      <c r="D7" s="1601"/>
      <c r="E7" s="1601"/>
      <c r="F7" s="1601"/>
      <c r="G7" s="1601"/>
      <c r="H7" s="1601"/>
      <c r="I7" s="1602"/>
    </row>
    <row r="8" spans="1:10" ht="15.75" x14ac:dyDescent="0.2">
      <c r="A8" s="569"/>
      <c r="B8" s="570" t="s">
        <v>1092</v>
      </c>
      <c r="C8" s="1603" t="s">
        <v>2714</v>
      </c>
      <c r="D8" s="1603"/>
      <c r="E8" s="1603"/>
      <c r="F8" s="571" t="s">
        <v>1094</v>
      </c>
      <c r="G8" s="572"/>
      <c r="H8" s="572"/>
      <c r="I8" s="525">
        <f>'BDI Comum - 1.4'!$H$25</f>
        <v>0.24310000000000001</v>
      </c>
    </row>
    <row r="9" spans="1:10" ht="35.25" customHeight="1" x14ac:dyDescent="0.2">
      <c r="A9" s="573"/>
      <c r="B9" s="570" t="s">
        <v>1095</v>
      </c>
      <c r="C9" s="1604" t="s">
        <v>2715</v>
      </c>
      <c r="D9" s="1604"/>
      <c r="E9" s="1604"/>
      <c r="F9" s="574" t="s">
        <v>1097</v>
      </c>
      <c r="G9" s="575"/>
      <c r="H9" s="575"/>
      <c r="I9" s="576" t="s">
        <v>1098</v>
      </c>
    </row>
    <row r="10" spans="1:10" ht="72.75" customHeight="1" x14ac:dyDescent="0.2">
      <c r="A10" s="577" t="s">
        <v>565</v>
      </c>
      <c r="B10" s="1613" t="s">
        <v>2716</v>
      </c>
      <c r="C10" s="1613"/>
      <c r="D10" s="1613"/>
      <c r="E10" s="1614"/>
      <c r="F10" s="823" t="s">
        <v>1101</v>
      </c>
      <c r="G10" s="824"/>
      <c r="H10" s="825"/>
      <c r="I10" s="826">
        <f>Dados!G91</f>
        <v>0</v>
      </c>
    </row>
    <row r="11" spans="1:10" ht="39.75" x14ac:dyDescent="0.2">
      <c r="A11" s="578"/>
      <c r="B11" s="1610" t="s">
        <v>1102</v>
      </c>
      <c r="C11" s="1610"/>
      <c r="D11" s="1610"/>
      <c r="E11" s="1611"/>
      <c r="F11" s="536" t="s">
        <v>1103</v>
      </c>
      <c r="G11" s="537"/>
      <c r="H11" s="538" t="s">
        <v>2717</v>
      </c>
      <c r="I11" s="745">
        <f>1-Dados!G91</f>
        <v>1</v>
      </c>
    </row>
    <row r="12" spans="1:10" ht="25.5" x14ac:dyDescent="0.2">
      <c r="A12" s="1612" t="s">
        <v>496</v>
      </c>
      <c r="B12" s="1612"/>
      <c r="C12" s="1567" t="s">
        <v>1104</v>
      </c>
      <c r="D12" s="1567"/>
      <c r="E12" s="1567"/>
      <c r="F12" s="1567"/>
      <c r="G12" s="540" t="s">
        <v>1105</v>
      </c>
      <c r="H12" s="540" t="s">
        <v>89</v>
      </c>
      <c r="I12" s="541" t="s">
        <v>1106</v>
      </c>
      <c r="J12"/>
    </row>
    <row r="13" spans="1:10" ht="40.5" hidden="1" customHeight="1" x14ac:dyDescent="0.2">
      <c r="A13" s="834" t="s">
        <v>2718</v>
      </c>
      <c r="B13" s="835"/>
      <c r="C13" s="835"/>
      <c r="D13" s="836" t="s">
        <v>2719</v>
      </c>
      <c r="E13" s="837"/>
      <c r="F13" s="838"/>
      <c r="G13" s="838"/>
      <c r="H13" s="838"/>
      <c r="I13" s="839"/>
      <c r="J13" s="568"/>
    </row>
    <row r="14" spans="1:10" ht="40.5" hidden="1" customHeight="1" x14ac:dyDescent="0.2">
      <c r="A14" s="840" t="s">
        <v>2720</v>
      </c>
      <c r="B14" s="841"/>
      <c r="C14" s="841"/>
      <c r="D14" s="842" t="s">
        <v>2721</v>
      </c>
      <c r="E14" s="843"/>
      <c r="F14" s="844"/>
      <c r="G14" s="844"/>
      <c r="H14" s="844"/>
      <c r="I14" s="845"/>
    </row>
    <row r="15" spans="1:10" ht="32.25" hidden="1" customHeight="1" x14ac:dyDescent="0.2">
      <c r="A15" s="840" t="s">
        <v>2722</v>
      </c>
      <c r="B15" s="841"/>
      <c r="C15" s="841"/>
      <c r="D15" s="842" t="s">
        <v>2723</v>
      </c>
      <c r="E15" s="843"/>
      <c r="F15" s="844"/>
      <c r="G15" s="844"/>
      <c r="H15" s="844"/>
      <c r="I15" s="845"/>
    </row>
    <row r="16" spans="1:10" ht="30" hidden="1" customHeight="1" x14ac:dyDescent="0.2">
      <c r="A16" s="840" t="s">
        <v>2724</v>
      </c>
      <c r="B16" s="841"/>
      <c r="C16" s="841"/>
      <c r="D16" s="842" t="s">
        <v>2725</v>
      </c>
      <c r="E16" s="843"/>
      <c r="F16" s="844"/>
      <c r="G16" s="844"/>
      <c r="H16" s="844"/>
      <c r="I16" s="845"/>
    </row>
    <row r="17" spans="1:10" ht="40.5" hidden="1" customHeight="1" x14ac:dyDescent="0.2">
      <c r="A17" s="834" t="s">
        <v>2726</v>
      </c>
      <c r="B17" s="835"/>
      <c r="C17" s="835"/>
      <c r="D17" s="836" t="s">
        <v>2727</v>
      </c>
      <c r="E17" s="837"/>
      <c r="F17" s="838"/>
      <c r="G17" s="838"/>
      <c r="H17" s="838"/>
      <c r="I17" s="839"/>
      <c r="J17" s="568"/>
    </row>
    <row r="18" spans="1:10" ht="40.5" hidden="1" customHeight="1" x14ac:dyDescent="0.2">
      <c r="A18" s="840" t="s">
        <v>2728</v>
      </c>
      <c r="B18" s="841"/>
      <c r="C18" s="841"/>
      <c r="D18" s="842" t="s">
        <v>2729</v>
      </c>
      <c r="E18" s="843"/>
      <c r="F18" s="844"/>
      <c r="G18" s="844"/>
      <c r="H18" s="844"/>
      <c r="I18" s="845"/>
    </row>
    <row r="19" spans="1:10" ht="40.5" hidden="1" customHeight="1" x14ac:dyDescent="0.2">
      <c r="A19" s="840" t="s">
        <v>2730</v>
      </c>
      <c r="B19" s="841"/>
      <c r="C19" s="841"/>
      <c r="D19" s="842" t="s">
        <v>2731</v>
      </c>
      <c r="E19" s="843"/>
      <c r="F19" s="844"/>
      <c r="G19" s="844"/>
      <c r="H19" s="844"/>
      <c r="I19" s="845"/>
    </row>
    <row r="20" spans="1:10" ht="40.5" hidden="1" customHeight="1" x14ac:dyDescent="0.2">
      <c r="A20" s="840" t="s">
        <v>2732</v>
      </c>
      <c r="B20" s="841"/>
      <c r="C20" s="841"/>
      <c r="D20" s="842" t="s">
        <v>2712</v>
      </c>
      <c r="E20" s="843"/>
      <c r="F20" s="844"/>
      <c r="G20" s="844"/>
      <c r="H20" s="844"/>
      <c r="I20" s="845"/>
    </row>
    <row r="21" spans="1:10" ht="40.5" hidden="1" customHeight="1" x14ac:dyDescent="0.2">
      <c r="A21" s="834" t="s">
        <v>2733</v>
      </c>
      <c r="B21" s="835"/>
      <c r="C21" s="835"/>
      <c r="D21" s="836" t="s">
        <v>2734</v>
      </c>
      <c r="E21" s="837"/>
      <c r="F21" s="838"/>
      <c r="G21" s="838"/>
      <c r="H21" s="838"/>
      <c r="I21" s="839"/>
      <c r="J21" s="568"/>
    </row>
    <row r="22" spans="1:10" ht="40.5" hidden="1" customHeight="1" x14ac:dyDescent="0.2">
      <c r="A22" s="840" t="s">
        <v>2735</v>
      </c>
      <c r="B22" s="841"/>
      <c r="C22" s="841"/>
      <c r="D22" s="842" t="s">
        <v>2729</v>
      </c>
      <c r="E22" s="843"/>
      <c r="F22" s="844"/>
      <c r="G22" s="844"/>
      <c r="H22" s="844"/>
      <c r="I22" s="845"/>
    </row>
    <row r="23" spans="1:10" ht="40.5" hidden="1" customHeight="1" x14ac:dyDescent="0.2">
      <c r="A23" s="840" t="s">
        <v>2736</v>
      </c>
      <c r="B23" s="841"/>
      <c r="C23" s="841"/>
      <c r="D23" s="842" t="s">
        <v>2731</v>
      </c>
      <c r="E23" s="843"/>
      <c r="F23" s="844"/>
      <c r="G23" s="844"/>
      <c r="H23" s="844"/>
      <c r="I23" s="845"/>
    </row>
    <row r="24" spans="1:10" ht="40.5" hidden="1" customHeight="1" x14ac:dyDescent="0.2">
      <c r="A24" s="840" t="s">
        <v>2737</v>
      </c>
      <c r="B24" s="841"/>
      <c r="C24" s="841"/>
      <c r="D24" s="842" t="s">
        <v>2712</v>
      </c>
      <c r="E24" s="843"/>
      <c r="F24" s="844"/>
      <c r="G24" s="844"/>
      <c r="H24" s="844"/>
      <c r="I24" s="845"/>
    </row>
    <row r="25" spans="1:10" ht="40.5" hidden="1" customHeight="1" x14ac:dyDescent="0.2">
      <c r="A25" s="834" t="s">
        <v>2738</v>
      </c>
      <c r="B25" s="835"/>
      <c r="C25" s="835"/>
      <c r="D25" s="836" t="s">
        <v>2739</v>
      </c>
      <c r="E25" s="837"/>
      <c r="F25" s="838"/>
      <c r="G25" s="838"/>
      <c r="H25" s="838"/>
      <c r="I25" s="839"/>
      <c r="J25" s="568"/>
    </row>
    <row r="26" spans="1:10" ht="40.5" hidden="1" customHeight="1" x14ac:dyDescent="0.2">
      <c r="A26" s="840" t="s">
        <v>2740</v>
      </c>
      <c r="B26" s="841"/>
      <c r="C26" s="841"/>
      <c r="D26" s="842" t="s">
        <v>2729</v>
      </c>
      <c r="E26" s="843"/>
      <c r="F26" s="844"/>
      <c r="G26" s="844"/>
      <c r="H26" s="844"/>
      <c r="I26" s="845"/>
    </row>
    <row r="27" spans="1:10" ht="40.5" hidden="1" customHeight="1" x14ac:dyDescent="0.2">
      <c r="A27" s="840" t="s">
        <v>2741</v>
      </c>
      <c r="B27" s="841"/>
      <c r="C27" s="841"/>
      <c r="D27" s="842" t="s">
        <v>2731</v>
      </c>
      <c r="E27" s="843"/>
      <c r="F27" s="844"/>
      <c r="G27" s="844"/>
      <c r="H27" s="844"/>
      <c r="I27" s="845"/>
    </row>
    <row r="28" spans="1:10" s="568" customFormat="1" ht="40.5" hidden="1" customHeight="1" x14ac:dyDescent="0.2">
      <c r="A28" s="840" t="s">
        <v>2742</v>
      </c>
      <c r="B28" s="841"/>
      <c r="C28" s="841"/>
      <c r="D28" s="842" t="s">
        <v>2712</v>
      </c>
      <c r="E28" s="843"/>
      <c r="F28" s="844"/>
      <c r="G28" s="844"/>
      <c r="H28" s="844"/>
      <c r="I28" s="845"/>
      <c r="J28" s="512"/>
    </row>
    <row r="29" spans="1:10" ht="40.5" hidden="1" customHeight="1" x14ac:dyDescent="0.2">
      <c r="A29" s="834" t="s">
        <v>2743</v>
      </c>
      <c r="B29" s="835"/>
      <c r="C29" s="835"/>
      <c r="D29" s="836" t="s">
        <v>2744</v>
      </c>
      <c r="E29" s="837"/>
      <c r="F29" s="838"/>
      <c r="G29" s="838"/>
      <c r="H29" s="838"/>
      <c r="I29" s="839"/>
      <c r="J29" s="568"/>
    </row>
    <row r="30" spans="1:10" ht="40.5" hidden="1" customHeight="1" x14ac:dyDescent="0.2">
      <c r="A30" s="840" t="s">
        <v>2745</v>
      </c>
      <c r="B30" s="841"/>
      <c r="C30" s="841"/>
      <c r="D30" s="842" t="s">
        <v>2729</v>
      </c>
      <c r="E30" s="843"/>
      <c r="F30" s="844"/>
      <c r="G30" s="844"/>
      <c r="H30" s="844"/>
      <c r="I30" s="845"/>
    </row>
    <row r="31" spans="1:10" ht="40.5" hidden="1" customHeight="1" x14ac:dyDescent="0.2">
      <c r="A31" s="840" t="s">
        <v>2746</v>
      </c>
      <c r="B31" s="841"/>
      <c r="C31" s="841"/>
      <c r="D31" s="842" t="s">
        <v>2731</v>
      </c>
      <c r="E31" s="843"/>
      <c r="F31" s="844"/>
      <c r="G31" s="844"/>
      <c r="H31" s="844"/>
      <c r="I31" s="845"/>
    </row>
    <row r="32" spans="1:10" ht="40.5" hidden="1" customHeight="1" x14ac:dyDescent="0.2">
      <c r="A32" s="840" t="s">
        <v>2747</v>
      </c>
      <c r="B32" s="841"/>
      <c r="C32" s="841"/>
      <c r="D32" s="842" t="s">
        <v>2748</v>
      </c>
      <c r="E32" s="843"/>
      <c r="F32" s="844"/>
      <c r="G32" s="844"/>
      <c r="H32" s="844"/>
      <c r="I32" s="845"/>
    </row>
    <row r="33" spans="1:9" ht="40.5" hidden="1" customHeight="1" x14ac:dyDescent="0.2">
      <c r="A33" s="840" t="s">
        <v>2749</v>
      </c>
      <c r="B33" s="841"/>
      <c r="C33" s="841"/>
      <c r="D33" s="842" t="s">
        <v>2750</v>
      </c>
      <c r="E33" s="843"/>
      <c r="F33" s="844"/>
      <c r="G33" s="844"/>
      <c r="H33" s="844"/>
      <c r="I33" s="845"/>
    </row>
    <row r="34" spans="1:9" ht="40.5" hidden="1" customHeight="1" x14ac:dyDescent="0.2">
      <c r="A34" s="840" t="s">
        <v>2751</v>
      </c>
      <c r="B34" s="841"/>
      <c r="C34" s="841"/>
      <c r="D34" s="842" t="s">
        <v>2752</v>
      </c>
      <c r="E34" s="843"/>
      <c r="F34" s="844"/>
      <c r="G34" s="844"/>
      <c r="H34" s="844"/>
      <c r="I34" s="845"/>
    </row>
    <row r="35" spans="1:9" ht="40.5" hidden="1" customHeight="1" x14ac:dyDescent="0.2">
      <c r="A35" s="840" t="s">
        <v>2753</v>
      </c>
      <c r="B35" s="841"/>
      <c r="C35" s="841"/>
      <c r="D35" s="842" t="s">
        <v>2754</v>
      </c>
      <c r="E35" s="843"/>
      <c r="F35" s="844"/>
      <c r="G35" s="844"/>
      <c r="H35" s="844"/>
      <c r="I35" s="845"/>
    </row>
    <row r="36" spans="1:9" ht="40.5" hidden="1" customHeight="1" x14ac:dyDescent="0.2">
      <c r="A36" s="840" t="s">
        <v>2755</v>
      </c>
      <c r="B36" s="841"/>
      <c r="C36" s="841"/>
      <c r="D36" s="842" t="s">
        <v>2756</v>
      </c>
      <c r="E36" s="843"/>
      <c r="F36" s="844"/>
      <c r="G36" s="844"/>
      <c r="H36" s="844"/>
      <c r="I36" s="845"/>
    </row>
    <row r="37" spans="1:9" ht="40.5" hidden="1" customHeight="1" x14ac:dyDescent="0.2">
      <c r="A37" s="840" t="s">
        <v>2757</v>
      </c>
      <c r="B37" s="841"/>
      <c r="C37" s="841"/>
      <c r="D37" s="842" t="s">
        <v>2758</v>
      </c>
      <c r="E37" s="843"/>
      <c r="F37" s="844"/>
      <c r="G37" s="844"/>
      <c r="H37" s="844"/>
      <c r="I37" s="845"/>
    </row>
    <row r="38" spans="1:9" ht="40.5" hidden="1" customHeight="1" x14ac:dyDescent="0.2">
      <c r="A38" s="840" t="s">
        <v>2759</v>
      </c>
      <c r="B38" s="841"/>
      <c r="C38" s="841"/>
      <c r="D38" s="842" t="s">
        <v>2760</v>
      </c>
      <c r="E38" s="843"/>
      <c r="F38" s="844"/>
      <c r="G38" s="844"/>
      <c r="H38" s="844"/>
      <c r="I38" s="845"/>
    </row>
    <row r="39" spans="1:9" ht="40.5" hidden="1" customHeight="1" x14ac:dyDescent="0.2">
      <c r="A39" s="840" t="s">
        <v>2761</v>
      </c>
      <c r="B39" s="841"/>
      <c r="C39" s="841"/>
      <c r="D39" s="842" t="s">
        <v>2762</v>
      </c>
      <c r="E39" s="843"/>
      <c r="F39" s="844"/>
      <c r="G39" s="844"/>
      <c r="H39" s="844"/>
      <c r="I39" s="845"/>
    </row>
    <row r="40" spans="1:9" ht="40.5" hidden="1" customHeight="1" x14ac:dyDescent="0.2">
      <c r="A40" s="840" t="s">
        <v>2763</v>
      </c>
      <c r="B40" s="841"/>
      <c r="C40" s="841"/>
      <c r="D40" s="842" t="s">
        <v>2764</v>
      </c>
      <c r="E40" s="843"/>
      <c r="F40" s="844"/>
      <c r="G40" s="844"/>
      <c r="H40" s="844"/>
      <c r="I40" s="845"/>
    </row>
    <row r="41" spans="1:9" ht="40.5" hidden="1" customHeight="1" x14ac:dyDescent="0.2">
      <c r="A41" s="840" t="s">
        <v>2765</v>
      </c>
      <c r="B41" s="841"/>
      <c r="C41" s="841"/>
      <c r="D41" s="842" t="s">
        <v>2766</v>
      </c>
      <c r="E41" s="843"/>
      <c r="F41" s="844"/>
      <c r="G41" s="844"/>
      <c r="H41" s="844"/>
      <c r="I41" s="845"/>
    </row>
    <row r="42" spans="1:9" ht="40.5" hidden="1" customHeight="1" x14ac:dyDescent="0.2">
      <c r="A42" s="840" t="s">
        <v>2767</v>
      </c>
      <c r="B42" s="846"/>
      <c r="C42" s="846"/>
      <c r="D42" s="842" t="s">
        <v>2768</v>
      </c>
      <c r="E42" s="847"/>
      <c r="F42" s="844"/>
      <c r="G42" s="844"/>
      <c r="H42" s="844"/>
      <c r="I42" s="845"/>
    </row>
    <row r="43" spans="1:9" ht="40.5" hidden="1" customHeight="1" x14ac:dyDescent="0.2">
      <c r="A43" s="834" t="s">
        <v>2769</v>
      </c>
      <c r="B43" s="835"/>
      <c r="C43" s="835"/>
      <c r="D43" s="836" t="s">
        <v>2770</v>
      </c>
      <c r="E43" s="837"/>
      <c r="F43" s="838"/>
      <c r="G43" s="838"/>
      <c r="H43" s="838"/>
      <c r="I43" s="839"/>
    </row>
    <row r="44" spans="1:9" ht="40.5" hidden="1" customHeight="1" x14ac:dyDescent="0.2">
      <c r="A44" s="840" t="s">
        <v>2771</v>
      </c>
      <c r="B44" s="841"/>
      <c r="C44" s="841"/>
      <c r="D44" s="842" t="s">
        <v>2729</v>
      </c>
      <c r="E44" s="843"/>
      <c r="F44" s="844"/>
      <c r="G44" s="844"/>
      <c r="H44" s="844"/>
      <c r="I44" s="845"/>
    </row>
    <row r="45" spans="1:9" ht="40.5" hidden="1" customHeight="1" x14ac:dyDescent="0.2">
      <c r="A45" s="840" t="s">
        <v>2772</v>
      </c>
      <c r="B45" s="846"/>
      <c r="C45" s="846"/>
      <c r="D45" s="842" t="s">
        <v>2731</v>
      </c>
      <c r="E45" s="847"/>
      <c r="F45" s="844"/>
      <c r="G45" s="844"/>
      <c r="H45" s="844"/>
      <c r="I45" s="845"/>
    </row>
    <row r="46" spans="1:9" ht="40.5" hidden="1" customHeight="1" x14ac:dyDescent="0.2">
      <c r="A46" s="840" t="s">
        <v>2773</v>
      </c>
      <c r="B46" s="846"/>
      <c r="C46" s="846"/>
      <c r="D46" s="842" t="s">
        <v>2774</v>
      </c>
      <c r="E46" s="847"/>
      <c r="F46" s="844"/>
      <c r="G46" s="844"/>
      <c r="H46" s="844"/>
      <c r="I46" s="845"/>
    </row>
    <row r="47" spans="1:9" ht="40.5" hidden="1" customHeight="1" x14ac:dyDescent="0.2">
      <c r="A47" s="840" t="s">
        <v>2775</v>
      </c>
      <c r="B47" s="846"/>
      <c r="C47" s="846"/>
      <c r="D47" s="842" t="s">
        <v>2776</v>
      </c>
      <c r="E47" s="847"/>
      <c r="F47" s="844"/>
      <c r="G47" s="844"/>
      <c r="H47" s="844"/>
      <c r="I47" s="845"/>
    </row>
    <row r="48" spans="1:9" ht="40.5" hidden="1" customHeight="1" x14ac:dyDescent="0.2">
      <c r="A48" s="840" t="s">
        <v>2777</v>
      </c>
      <c r="B48" s="846"/>
      <c r="C48" s="846"/>
      <c r="D48" s="842" t="s">
        <v>2778</v>
      </c>
      <c r="E48" s="847"/>
      <c r="F48" s="844"/>
      <c r="G48" s="844"/>
      <c r="H48" s="844"/>
      <c r="I48" s="845"/>
    </row>
    <row r="49" spans="1:9" ht="40.5" hidden="1" customHeight="1" x14ac:dyDescent="0.2">
      <c r="A49" s="840" t="s">
        <v>2779</v>
      </c>
      <c r="B49" s="846"/>
      <c r="C49" s="846"/>
      <c r="D49" s="842" t="s">
        <v>2712</v>
      </c>
      <c r="E49" s="847"/>
      <c r="F49" s="844"/>
      <c r="G49" s="844"/>
      <c r="H49" s="844"/>
      <c r="I49" s="845"/>
    </row>
    <row r="50" spans="1:9" ht="40.5" hidden="1" customHeight="1" x14ac:dyDescent="0.2">
      <c r="A50" s="840" t="s">
        <v>2780</v>
      </c>
      <c r="B50" s="846"/>
      <c r="C50" s="846"/>
      <c r="D50" s="842" t="s">
        <v>2781</v>
      </c>
      <c r="E50" s="847"/>
      <c r="F50" s="844"/>
      <c r="G50" s="844"/>
      <c r="H50" s="844"/>
      <c r="I50" s="845"/>
    </row>
    <row r="51" spans="1:9" ht="40.5" hidden="1" customHeight="1" x14ac:dyDescent="0.2">
      <c r="A51" s="840" t="s">
        <v>2782</v>
      </c>
      <c r="B51" s="846"/>
      <c r="C51" s="846"/>
      <c r="D51" s="842" t="s">
        <v>2774</v>
      </c>
      <c r="E51" s="847"/>
      <c r="F51" s="844"/>
      <c r="G51" s="844"/>
      <c r="H51" s="844"/>
      <c r="I51" s="845"/>
    </row>
    <row r="52" spans="1:9" ht="40.5" hidden="1" customHeight="1" x14ac:dyDescent="0.2">
      <c r="A52" s="840" t="s">
        <v>2783</v>
      </c>
      <c r="B52" s="846"/>
      <c r="C52" s="846"/>
      <c r="D52" s="842" t="s">
        <v>2784</v>
      </c>
      <c r="E52" s="847"/>
      <c r="F52" s="844"/>
      <c r="G52" s="844"/>
      <c r="H52" s="844"/>
      <c r="I52" s="845"/>
    </row>
    <row r="53" spans="1:9" ht="40.5" hidden="1" customHeight="1" x14ac:dyDescent="0.2">
      <c r="A53" s="840" t="s">
        <v>2785</v>
      </c>
      <c r="B53" s="846"/>
      <c r="C53" s="846"/>
      <c r="D53" s="842" t="s">
        <v>2786</v>
      </c>
      <c r="E53" s="847"/>
      <c r="F53" s="844"/>
      <c r="G53" s="844"/>
      <c r="H53" s="844"/>
      <c r="I53" s="845"/>
    </row>
    <row r="54" spans="1:9" ht="40.5" hidden="1" customHeight="1" x14ac:dyDescent="0.2">
      <c r="A54" s="840" t="s">
        <v>2787</v>
      </c>
      <c r="B54" s="846"/>
      <c r="C54" s="846"/>
      <c r="D54" s="842" t="s">
        <v>2788</v>
      </c>
      <c r="E54" s="847"/>
      <c r="F54" s="844"/>
      <c r="G54" s="844"/>
      <c r="H54" s="844"/>
      <c r="I54" s="845"/>
    </row>
    <row r="55" spans="1:9" ht="40.5" hidden="1" customHeight="1" x14ac:dyDescent="0.2">
      <c r="A55" s="840" t="s">
        <v>2789</v>
      </c>
      <c r="B55" s="846"/>
      <c r="C55" s="846"/>
      <c r="D55" s="842" t="s">
        <v>2790</v>
      </c>
      <c r="E55" s="847"/>
      <c r="F55" s="844"/>
      <c r="G55" s="844"/>
      <c r="H55" s="844"/>
      <c r="I55" s="845"/>
    </row>
    <row r="56" spans="1:9" ht="40.5" hidden="1" customHeight="1" x14ac:dyDescent="0.2">
      <c r="A56" s="840" t="s">
        <v>2791</v>
      </c>
      <c r="B56" s="846"/>
      <c r="C56" s="846"/>
      <c r="D56" s="842" t="s">
        <v>2792</v>
      </c>
      <c r="E56" s="847"/>
      <c r="F56" s="844"/>
      <c r="G56" s="844"/>
      <c r="H56" s="844"/>
      <c r="I56" s="845"/>
    </row>
    <row r="57" spans="1:9" ht="40.5" hidden="1" customHeight="1" x14ac:dyDescent="0.2">
      <c r="A57" s="840" t="s">
        <v>2793</v>
      </c>
      <c r="B57" s="846"/>
      <c r="C57" s="846"/>
      <c r="D57" s="842" t="s">
        <v>2794</v>
      </c>
      <c r="E57" s="847"/>
      <c r="F57" s="844"/>
      <c r="G57" s="844"/>
      <c r="H57" s="844"/>
      <c r="I57" s="845"/>
    </row>
    <row r="58" spans="1:9" ht="40.5" hidden="1" customHeight="1" x14ac:dyDescent="0.2">
      <c r="A58" s="840" t="s">
        <v>2795</v>
      </c>
      <c r="B58" s="846"/>
      <c r="C58" s="846"/>
      <c r="D58" s="842" t="s">
        <v>2796</v>
      </c>
      <c r="E58" s="847"/>
      <c r="F58" s="844"/>
      <c r="G58" s="844"/>
      <c r="H58" s="844"/>
      <c r="I58" s="845"/>
    </row>
    <row r="59" spans="1:9" ht="40.5" hidden="1" customHeight="1" x14ac:dyDescent="0.2">
      <c r="A59" s="840" t="s">
        <v>2797</v>
      </c>
      <c r="B59" s="846"/>
      <c r="C59" s="846"/>
      <c r="D59" s="842" t="s">
        <v>2798</v>
      </c>
      <c r="E59" s="847"/>
      <c r="F59" s="844"/>
      <c r="G59" s="844"/>
      <c r="H59" s="844"/>
      <c r="I59" s="845"/>
    </row>
    <row r="60" spans="1:9" ht="40.5" hidden="1" customHeight="1" x14ac:dyDescent="0.2">
      <c r="A60" s="840" t="s">
        <v>2799</v>
      </c>
      <c r="B60" s="846"/>
      <c r="C60" s="846"/>
      <c r="D60" s="842" t="s">
        <v>2800</v>
      </c>
      <c r="E60" s="847"/>
      <c r="F60" s="844"/>
      <c r="G60" s="844"/>
      <c r="H60" s="844"/>
      <c r="I60" s="845"/>
    </row>
    <row r="61" spans="1:9" ht="40.5" hidden="1" customHeight="1" x14ac:dyDescent="0.2">
      <c r="A61" s="840" t="s">
        <v>2801</v>
      </c>
      <c r="B61" s="846"/>
      <c r="C61" s="846"/>
      <c r="D61" s="842" t="s">
        <v>2802</v>
      </c>
      <c r="E61" s="847"/>
      <c r="F61" s="844"/>
      <c r="G61" s="844"/>
      <c r="H61" s="844"/>
      <c r="I61" s="845"/>
    </row>
    <row r="62" spans="1:9" ht="40.5" hidden="1" customHeight="1" x14ac:dyDescent="0.2">
      <c r="A62" s="840" t="s">
        <v>2803</v>
      </c>
      <c r="B62" s="846"/>
      <c r="C62" s="846"/>
      <c r="D62" s="842" t="s">
        <v>2804</v>
      </c>
      <c r="E62" s="847"/>
      <c r="F62" s="844"/>
      <c r="G62" s="844"/>
      <c r="H62" s="844"/>
      <c r="I62" s="845"/>
    </row>
    <row r="63" spans="1:9" ht="40.5" hidden="1" customHeight="1" x14ac:dyDescent="0.2">
      <c r="A63" s="840" t="s">
        <v>2805</v>
      </c>
      <c r="B63" s="846"/>
      <c r="C63" s="846"/>
      <c r="D63" s="842" t="s">
        <v>2806</v>
      </c>
      <c r="E63" s="847"/>
      <c r="F63" s="844"/>
      <c r="G63" s="844"/>
      <c r="H63" s="844"/>
      <c r="I63" s="845"/>
    </row>
    <row r="64" spans="1:9" ht="40.5" hidden="1" customHeight="1" x14ac:dyDescent="0.2">
      <c r="A64" s="840" t="s">
        <v>2807</v>
      </c>
      <c r="B64" s="846"/>
      <c r="C64" s="846"/>
      <c r="D64" s="842" t="s">
        <v>2808</v>
      </c>
      <c r="E64" s="847"/>
      <c r="F64" s="844"/>
      <c r="G64" s="844"/>
      <c r="H64" s="844"/>
      <c r="I64" s="845"/>
    </row>
    <row r="65" spans="1:9" ht="40.5" hidden="1" customHeight="1" x14ac:dyDescent="0.2">
      <c r="A65" s="840" t="s">
        <v>2809</v>
      </c>
      <c r="B65" s="846"/>
      <c r="C65" s="846"/>
      <c r="D65" s="842" t="s">
        <v>2810</v>
      </c>
      <c r="E65" s="847"/>
      <c r="F65" s="844"/>
      <c r="G65" s="844"/>
      <c r="H65" s="844"/>
      <c r="I65" s="845"/>
    </row>
    <row r="66" spans="1:9" ht="40.5" hidden="1" customHeight="1" x14ac:dyDescent="0.2">
      <c r="A66" s="840" t="s">
        <v>2811</v>
      </c>
      <c r="B66" s="846"/>
      <c r="C66" s="846"/>
      <c r="D66" s="842" t="s">
        <v>2812</v>
      </c>
      <c r="E66" s="847"/>
      <c r="F66" s="844"/>
      <c r="G66" s="844"/>
      <c r="H66" s="844"/>
      <c r="I66" s="845"/>
    </row>
    <row r="67" spans="1:9" ht="40.5" hidden="1" customHeight="1" x14ac:dyDescent="0.2">
      <c r="A67" s="840" t="s">
        <v>2813</v>
      </c>
      <c r="B67" s="846"/>
      <c r="C67" s="846"/>
      <c r="D67" s="842" t="s">
        <v>2814</v>
      </c>
      <c r="E67" s="847"/>
      <c r="F67" s="844"/>
      <c r="G67" s="844"/>
      <c r="H67" s="844"/>
      <c r="I67" s="845"/>
    </row>
    <row r="68" spans="1:9" ht="40.5" hidden="1" customHeight="1" x14ac:dyDescent="0.2">
      <c r="A68" s="840" t="s">
        <v>2815</v>
      </c>
      <c r="B68" s="841"/>
      <c r="C68" s="841"/>
      <c r="D68" s="842" t="s">
        <v>2768</v>
      </c>
      <c r="E68" s="843"/>
      <c r="F68" s="844"/>
      <c r="G68" s="844"/>
      <c r="H68" s="844"/>
      <c r="I68" s="845"/>
    </row>
    <row r="69" spans="1:9" ht="12.75" customHeight="1" x14ac:dyDescent="0.2">
      <c r="A69" s="1605" t="s">
        <v>103</v>
      </c>
      <c r="B69" s="1606"/>
      <c r="C69" s="1607" t="s">
        <v>135</v>
      </c>
      <c r="D69" s="1608"/>
      <c r="E69" s="1608"/>
      <c r="F69" s="1609"/>
      <c r="G69" s="1080">
        <f>1077950.28557638*I11</f>
        <v>1077950.2855763801</v>
      </c>
      <c r="H69" s="1081">
        <f>G69*I8</f>
        <v>262049.71442361802</v>
      </c>
      <c r="I69" s="1081">
        <f>H69+G69</f>
        <v>1339999.9999999981</v>
      </c>
    </row>
    <row r="73" spans="1:9" customFormat="1" ht="12.75" customHeight="1" x14ac:dyDescent="0.2"/>
    <row r="75" spans="1:9" ht="12.75" customHeight="1" x14ac:dyDescent="0.2">
      <c r="G75" s="1079"/>
    </row>
    <row r="77" spans="1:9" ht="12.75" customHeight="1" x14ac:dyDescent="0.2">
      <c r="G77" s="1079"/>
    </row>
  </sheetData>
  <sheetProtection sheet="1" objects="1" scenarios="1"/>
  <autoFilter ref="A12:I68" xr:uid="{7278E1A3-50D7-4C7F-8D9D-AE43AAA9E098}">
    <filterColumn colId="1" showButton="0"/>
    <filterColumn colId="7">
      <customFilters>
        <customFilter operator="notEqual" val=" "/>
      </customFilters>
    </filterColumn>
  </autoFilter>
  <mergeCells count="11">
    <mergeCell ref="B10:E10"/>
    <mergeCell ref="A5:I5"/>
    <mergeCell ref="A6:I6"/>
    <mergeCell ref="A7:I7"/>
    <mergeCell ref="C8:E8"/>
    <mergeCell ref="C9:E9"/>
    <mergeCell ref="A69:B69"/>
    <mergeCell ref="C12:F12"/>
    <mergeCell ref="C69:F69"/>
    <mergeCell ref="B11:E11"/>
    <mergeCell ref="A12:B12"/>
  </mergeCells>
  <printOptions horizontalCentered="1"/>
  <pageMargins left="0.196527777777778" right="0.196527777777778" top="0.65902777777777799" bottom="0.65902777777777799" header="0.39374999999999999" footer="0.39374999999999999"/>
  <pageSetup paperSize="9" scale="61" fitToHeight="0" orientation="portrait" r:id="rId1"/>
  <headerFooter>
    <oddHeader>&amp;C&amp;"Times New Roman,Normal"&amp;12&amp;A</oddHeader>
    <oddFooter>&amp;C&amp;"Times New Roman,Normal"&amp;12&amp;P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8A50-79F4-434C-BE63-E739F4530ED6}">
  <sheetPr>
    <tabColor theme="1"/>
    <pageSetUpPr fitToPage="1"/>
  </sheetPr>
  <dimension ref="A1:AA81"/>
  <sheetViews>
    <sheetView view="pageBreakPreview" zoomScaleNormal="100" zoomScaleSheetLayoutView="100" workbookViewId="0">
      <selection activeCell="E62" sqref="E62"/>
    </sheetView>
  </sheetViews>
  <sheetFormatPr defaultRowHeight="12.75" customHeight="1" x14ac:dyDescent="0.2"/>
  <cols>
    <col min="1" max="19" width="9.33203125" style="40"/>
    <col min="20" max="20" width="10" style="40" bestFit="1" customWidth="1"/>
    <col min="21" max="16384" width="9.33203125" style="40"/>
  </cols>
  <sheetData>
    <row r="1" spans="1:26" s="41" customFormat="1" ht="25.5" customHeight="1" x14ac:dyDescent="0.3">
      <c r="A1" s="1245" t="s">
        <v>146</v>
      </c>
      <c r="B1" s="1245"/>
      <c r="C1" s="1245"/>
      <c r="D1" s="1245"/>
      <c r="E1" s="1245"/>
      <c r="F1" s="1245"/>
      <c r="G1" s="1245"/>
      <c r="H1" s="1245"/>
      <c r="I1" s="1245"/>
      <c r="J1" s="1245"/>
      <c r="K1" s="1245"/>
      <c r="L1" s="1245"/>
      <c r="M1" s="1245"/>
      <c r="N1" s="1245"/>
      <c r="O1" s="1245"/>
      <c r="P1" s="1245"/>
      <c r="Q1" s="1245"/>
      <c r="R1" s="1245"/>
      <c r="S1" s="1245"/>
      <c r="T1" s="1245"/>
      <c r="U1" s="1245"/>
      <c r="V1" s="1245"/>
      <c r="W1" s="1245"/>
      <c r="X1" s="1245"/>
      <c r="Y1" s="1245"/>
      <c r="Z1" s="1245"/>
    </row>
    <row r="2" spans="1:26" ht="15" x14ac:dyDescent="0.25">
      <c r="A2" s="42"/>
      <c r="B2" s="42"/>
      <c r="C2" s="42"/>
      <c r="D2" s="42"/>
      <c r="E2" s="42"/>
      <c r="F2" s="42"/>
      <c r="G2" s="42"/>
      <c r="H2" s="42"/>
      <c r="I2" s="42"/>
      <c r="J2" s="42"/>
      <c r="K2" s="42"/>
      <c r="L2" s="42"/>
      <c r="M2" s="42"/>
      <c r="N2" s="42"/>
      <c r="O2" s="42"/>
      <c r="P2" s="42"/>
      <c r="Q2" s="42"/>
      <c r="R2" s="42"/>
      <c r="S2" s="42"/>
      <c r="T2" s="42"/>
      <c r="U2" s="42"/>
      <c r="V2" s="42"/>
      <c r="W2" s="42"/>
      <c r="X2" s="42"/>
      <c r="Y2" s="42"/>
      <c r="Z2" s="42"/>
    </row>
    <row r="3" spans="1:26" ht="15" x14ac:dyDescent="0.25">
      <c r="A3" s="43" t="s">
        <v>147</v>
      </c>
      <c r="B3" s="43" t="s">
        <v>148</v>
      </c>
      <c r="C3" s="43"/>
      <c r="D3" s="43"/>
      <c r="E3" s="43"/>
      <c r="F3" s="43"/>
      <c r="G3" s="43"/>
      <c r="H3" s="43"/>
      <c r="I3" s="43"/>
      <c r="J3" s="43"/>
      <c r="K3" s="43"/>
      <c r="L3" s="43"/>
      <c r="M3" s="43"/>
      <c r="N3" s="43"/>
      <c r="O3" s="42"/>
      <c r="P3" s="42"/>
      <c r="Q3" s="42"/>
      <c r="R3" s="42"/>
      <c r="S3" s="42"/>
      <c r="T3" s="42"/>
      <c r="U3" s="42"/>
      <c r="V3" s="42"/>
      <c r="W3" s="42"/>
      <c r="X3" s="42"/>
      <c r="Y3" s="42"/>
      <c r="Z3" s="42"/>
    </row>
    <row r="4" spans="1:26" ht="15" x14ac:dyDescent="0.25">
      <c r="A4" s="42"/>
      <c r="B4" s="42"/>
      <c r="C4" s="42"/>
      <c r="D4" s="42"/>
      <c r="E4" s="42"/>
      <c r="F4" s="42"/>
      <c r="G4" s="42"/>
      <c r="H4" s="42"/>
      <c r="I4" s="42"/>
      <c r="J4" s="42"/>
      <c r="K4" s="42"/>
      <c r="L4" s="42"/>
      <c r="M4" s="42"/>
      <c r="N4" s="42"/>
      <c r="O4" s="42"/>
      <c r="P4" s="42"/>
      <c r="Q4" s="42"/>
      <c r="R4" s="42"/>
      <c r="S4" s="42"/>
      <c r="T4" s="42"/>
      <c r="U4" s="42"/>
      <c r="V4" s="42"/>
      <c r="W4" s="42"/>
      <c r="X4" s="42"/>
      <c r="Y4" s="42"/>
      <c r="Z4" s="42"/>
    </row>
    <row r="5" spans="1:26" ht="15" x14ac:dyDescent="0.25">
      <c r="A5" s="42"/>
      <c r="B5" s="44"/>
      <c r="C5" s="42" t="s">
        <v>149</v>
      </c>
      <c r="D5" s="42"/>
      <c r="E5" s="42"/>
      <c r="F5" s="42"/>
      <c r="G5" s="42"/>
      <c r="H5" s="42"/>
      <c r="I5" s="42"/>
      <c r="J5" s="42"/>
      <c r="K5" s="42"/>
      <c r="L5" s="42"/>
      <c r="M5" s="42"/>
      <c r="N5" s="42"/>
      <c r="O5" s="42"/>
      <c r="P5" s="42"/>
      <c r="Q5" s="42"/>
      <c r="R5" s="42"/>
      <c r="S5" s="42"/>
      <c r="T5" s="42"/>
      <c r="U5" s="42"/>
      <c r="V5" s="42"/>
      <c r="W5" s="42"/>
      <c r="X5" s="42"/>
      <c r="Y5" s="42"/>
      <c r="Z5" s="42"/>
    </row>
    <row r="6" spans="1:26" ht="15" x14ac:dyDescent="0.25">
      <c r="A6" s="42"/>
      <c r="B6" s="42"/>
      <c r="C6" s="42"/>
      <c r="D6" s="42"/>
      <c r="E6" s="42"/>
      <c r="F6" s="42"/>
      <c r="G6" s="42"/>
      <c r="H6" s="42"/>
      <c r="I6" s="42"/>
      <c r="J6" s="42"/>
      <c r="K6" s="42"/>
      <c r="L6" s="42"/>
      <c r="M6" s="42"/>
      <c r="N6" s="42"/>
      <c r="O6" s="42"/>
      <c r="P6" s="42"/>
      <c r="Q6" s="42"/>
      <c r="R6" s="42"/>
      <c r="S6" s="42"/>
      <c r="T6" s="42"/>
      <c r="U6" s="42"/>
      <c r="V6" s="42"/>
      <c r="W6" s="42"/>
      <c r="X6" s="42"/>
      <c r="Y6" s="42"/>
      <c r="Z6" s="42"/>
    </row>
    <row r="7" spans="1:26" ht="15" x14ac:dyDescent="0.25">
      <c r="A7" s="42" t="s">
        <v>150</v>
      </c>
      <c r="B7" s="42" t="s">
        <v>151</v>
      </c>
      <c r="C7" s="42"/>
      <c r="D7" s="42"/>
      <c r="E7" s="42"/>
      <c r="F7" s="42"/>
      <c r="G7" s="42"/>
      <c r="H7" s="42"/>
      <c r="I7" s="42"/>
      <c r="J7" s="42"/>
      <c r="K7" s="42"/>
      <c r="L7" s="42"/>
      <c r="M7" s="42"/>
      <c r="N7" s="42"/>
      <c r="O7" s="42"/>
      <c r="P7" s="42"/>
      <c r="Q7" s="42"/>
      <c r="R7" s="42"/>
      <c r="S7" s="42"/>
      <c r="T7" s="42"/>
      <c r="U7" s="42"/>
      <c r="V7" s="42"/>
      <c r="W7" s="42"/>
      <c r="X7" s="42"/>
      <c r="Y7" s="42"/>
      <c r="Z7" s="42"/>
    </row>
    <row r="8" spans="1:26" ht="15" x14ac:dyDescent="0.25">
      <c r="A8" s="42"/>
      <c r="B8" s="42"/>
      <c r="C8" s="42"/>
      <c r="D8" s="42"/>
      <c r="E8" s="42"/>
      <c r="F8" s="42"/>
      <c r="G8" s="42"/>
      <c r="H8" s="42"/>
      <c r="I8" s="42"/>
      <c r="J8" s="42"/>
      <c r="K8" s="42"/>
      <c r="L8" s="42"/>
      <c r="M8" s="42"/>
      <c r="N8" s="42"/>
      <c r="O8" s="42"/>
      <c r="P8" s="42"/>
      <c r="Q8" s="42"/>
      <c r="R8" s="42"/>
      <c r="S8" s="42"/>
      <c r="T8" s="42"/>
      <c r="U8" s="42"/>
      <c r="V8" s="42"/>
      <c r="W8" s="42"/>
      <c r="X8" s="42"/>
      <c r="Y8" s="42"/>
      <c r="Z8" s="42"/>
    </row>
    <row r="9" spans="1:26" s="46" customFormat="1" ht="21.75" customHeight="1" x14ac:dyDescent="0.2">
      <c r="A9" s="45" t="s">
        <v>152</v>
      </c>
      <c r="B9" s="45" t="s">
        <v>153</v>
      </c>
      <c r="C9" s="45"/>
      <c r="D9" s="45"/>
      <c r="E9" s="45"/>
      <c r="F9" s="45"/>
      <c r="G9" s="45"/>
      <c r="H9" s="45"/>
      <c r="I9" s="45"/>
      <c r="J9" s="45"/>
      <c r="K9" s="45"/>
      <c r="L9" s="45"/>
      <c r="M9" s="45"/>
      <c r="N9" s="45"/>
      <c r="O9" s="45"/>
      <c r="P9" s="45"/>
      <c r="Q9" s="45"/>
      <c r="R9" s="45"/>
      <c r="S9" s="45"/>
      <c r="T9" s="45"/>
      <c r="U9" s="45"/>
      <c r="V9" s="45"/>
      <c r="W9" s="45"/>
      <c r="X9" s="45"/>
      <c r="Y9" s="45"/>
      <c r="Z9" s="45"/>
    </row>
    <row r="10" spans="1:26" s="46" customFormat="1" ht="23.25" customHeight="1" x14ac:dyDescent="0.2">
      <c r="A10" s="45"/>
      <c r="B10" s="45" t="s">
        <v>154</v>
      </c>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s="49" customFormat="1" ht="19.5" customHeight="1" x14ac:dyDescent="0.2">
      <c r="A11" s="47"/>
      <c r="B11" s="872"/>
      <c r="C11" s="48" t="s">
        <v>155</v>
      </c>
      <c r="D11" s="48"/>
      <c r="E11" s="48"/>
      <c r="F11" s="48"/>
      <c r="G11" s="48"/>
      <c r="H11" s="48"/>
      <c r="I11" s="47"/>
      <c r="J11" s="47"/>
      <c r="K11" s="47"/>
      <c r="L11" s="47"/>
      <c r="M11" s="47"/>
      <c r="N11" s="47"/>
      <c r="O11" s="47"/>
      <c r="P11" s="47"/>
      <c r="Q11" s="47"/>
      <c r="R11" s="47"/>
      <c r="S11" s="47"/>
      <c r="T11" s="47"/>
      <c r="U11" s="47"/>
      <c r="V11" s="47"/>
      <c r="W11" s="47"/>
      <c r="X11" s="47"/>
      <c r="Y11" s="47"/>
      <c r="Z11" s="47"/>
    </row>
    <row r="12" spans="1:26" s="49" customFormat="1" ht="19.5" customHeight="1" x14ac:dyDescent="0.2">
      <c r="A12" s="47"/>
      <c r="B12" s="872"/>
      <c r="C12" s="871"/>
      <c r="D12" s="871"/>
      <c r="E12" s="871"/>
      <c r="F12" s="871"/>
      <c r="G12" s="871"/>
      <c r="H12" s="871"/>
      <c r="I12" s="47"/>
      <c r="J12" s="47"/>
      <c r="K12" s="47"/>
      <c r="L12" s="47"/>
      <c r="M12" s="47"/>
      <c r="N12" s="47"/>
      <c r="O12" s="47"/>
      <c r="P12" s="47"/>
      <c r="Q12" s="47"/>
      <c r="R12" s="47"/>
      <c r="S12" s="47"/>
      <c r="T12" s="47"/>
      <c r="U12" s="47"/>
      <c r="V12" s="47"/>
      <c r="W12" s="47"/>
      <c r="X12" s="47"/>
      <c r="Y12" s="47"/>
      <c r="Z12" s="47"/>
    </row>
    <row r="13" spans="1:26" ht="15" x14ac:dyDescent="0.25">
      <c r="A13" s="42"/>
      <c r="B13" s="47" t="s">
        <v>156</v>
      </c>
      <c r="C13" s="50" t="s">
        <v>157</v>
      </c>
      <c r="D13" s="42"/>
      <c r="E13" s="42"/>
      <c r="F13" s="42"/>
      <c r="G13" s="42"/>
      <c r="H13" s="42"/>
      <c r="I13" s="42"/>
      <c r="J13" s="42"/>
      <c r="K13" s="42"/>
      <c r="L13" s="42"/>
      <c r="M13" s="42"/>
      <c r="N13" s="42"/>
      <c r="O13" s="42"/>
      <c r="P13" s="42"/>
      <c r="Q13" s="42"/>
      <c r="R13" s="42"/>
      <c r="S13" s="42"/>
      <c r="T13" s="42"/>
      <c r="U13" s="42"/>
      <c r="V13" s="42"/>
      <c r="W13" s="42"/>
      <c r="X13" s="42"/>
      <c r="Y13" s="42"/>
      <c r="Z13" s="42"/>
    </row>
    <row r="14" spans="1:26" ht="15" x14ac:dyDescent="0.2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15" x14ac:dyDescent="0.25">
      <c r="A15" s="42"/>
      <c r="B15" s="42"/>
      <c r="C15" s="50" t="s">
        <v>158</v>
      </c>
      <c r="D15" s="50" t="s">
        <v>159</v>
      </c>
      <c r="E15" s="42"/>
      <c r="F15" s="42"/>
      <c r="G15" s="42"/>
      <c r="H15" s="42"/>
      <c r="I15" s="42"/>
      <c r="J15" s="42"/>
      <c r="K15" s="42"/>
      <c r="L15" s="42"/>
      <c r="M15" s="42"/>
      <c r="N15" s="42"/>
      <c r="O15" s="42"/>
      <c r="P15" s="42"/>
      <c r="Q15" s="42"/>
      <c r="R15" s="42"/>
      <c r="S15" s="42"/>
      <c r="T15" s="42"/>
      <c r="U15" s="42"/>
      <c r="V15" s="42"/>
      <c r="W15" s="42"/>
      <c r="X15" s="42"/>
      <c r="Y15" s="42"/>
      <c r="Z15" s="42"/>
    </row>
    <row r="16" spans="1:26" ht="15" x14ac:dyDescent="0.25">
      <c r="A16" s="42"/>
      <c r="B16" s="42"/>
      <c r="C16" s="42"/>
      <c r="D16" s="866" t="s">
        <v>160</v>
      </c>
      <c r="E16" s="42"/>
      <c r="F16" s="42"/>
      <c r="G16" s="42"/>
      <c r="H16" s="42"/>
      <c r="I16" s="42"/>
      <c r="J16" s="42"/>
      <c r="K16" s="42"/>
      <c r="L16" s="42"/>
      <c r="M16" s="42"/>
      <c r="N16" s="42"/>
      <c r="O16" s="42"/>
      <c r="P16" s="42"/>
      <c r="Q16" s="42"/>
      <c r="R16" s="42"/>
      <c r="S16" s="42"/>
      <c r="T16" s="42"/>
      <c r="U16" s="42"/>
      <c r="V16" s="42"/>
      <c r="W16" s="42"/>
      <c r="X16" s="42"/>
      <c r="Y16" s="42"/>
      <c r="Z16" s="42"/>
    </row>
    <row r="17" spans="1:27" ht="15" x14ac:dyDescent="0.25">
      <c r="A17" s="42"/>
      <c r="B17" s="42"/>
      <c r="C17" s="42"/>
      <c r="D17" s="866" t="s">
        <v>161</v>
      </c>
      <c r="E17" s="42"/>
      <c r="F17" s="42"/>
      <c r="G17" s="42"/>
      <c r="H17" s="42"/>
      <c r="I17" s="42"/>
      <c r="J17" s="42"/>
      <c r="K17" s="42"/>
      <c r="L17" s="42"/>
      <c r="M17" s="42"/>
      <c r="N17" s="42"/>
      <c r="O17" s="42"/>
      <c r="P17" s="42"/>
      <c r="Q17" s="42"/>
      <c r="R17" s="42"/>
      <c r="S17" s="42"/>
      <c r="T17" s="42"/>
      <c r="U17" s="42"/>
      <c r="V17" s="42"/>
      <c r="W17" s="42"/>
      <c r="X17" s="42"/>
      <c r="Y17" s="42"/>
      <c r="Z17" s="42"/>
    </row>
    <row r="18" spans="1:27" ht="15" x14ac:dyDescent="0.25">
      <c r="A18" s="42"/>
      <c r="B18" s="42"/>
      <c r="C18" s="42"/>
      <c r="D18" s="866" t="s">
        <v>162</v>
      </c>
      <c r="E18" s="42"/>
      <c r="F18" s="42"/>
      <c r="G18" s="42"/>
      <c r="H18" s="42"/>
      <c r="I18" s="42"/>
      <c r="J18" s="42"/>
      <c r="K18" s="42"/>
      <c r="L18" s="42"/>
      <c r="M18" s="42"/>
      <c r="N18" s="42"/>
      <c r="O18" s="42"/>
      <c r="P18" s="42"/>
      <c r="Q18" s="42"/>
      <c r="R18" s="42"/>
      <c r="S18" s="42"/>
      <c r="T18" s="42"/>
      <c r="U18" s="42"/>
      <c r="V18" s="42"/>
      <c r="W18" s="42"/>
      <c r="X18" s="42"/>
      <c r="Y18" s="42"/>
      <c r="Z18" s="42"/>
    </row>
    <row r="19" spans="1:27" ht="15" x14ac:dyDescent="0.25">
      <c r="A19" s="42"/>
      <c r="B19" s="42"/>
      <c r="C19" s="42"/>
      <c r="D19" s="42" t="s">
        <v>163</v>
      </c>
      <c r="E19" s="42"/>
      <c r="F19" s="42"/>
      <c r="G19" s="42"/>
      <c r="H19" s="42"/>
      <c r="I19" s="42"/>
      <c r="J19" s="42"/>
      <c r="K19" s="42"/>
      <c r="L19" s="42"/>
      <c r="M19" s="42"/>
      <c r="N19" s="42"/>
      <c r="O19" s="42"/>
      <c r="P19" s="42"/>
      <c r="Q19" s="42"/>
      <c r="R19" s="42"/>
      <c r="S19" s="42"/>
      <c r="T19" s="42"/>
      <c r="U19" s="42"/>
      <c r="V19" s="42"/>
      <c r="W19" s="42"/>
      <c r="X19" s="42"/>
      <c r="Y19" s="42"/>
      <c r="Z19" s="42"/>
    </row>
    <row r="20" spans="1:27" ht="15" x14ac:dyDescent="0.25">
      <c r="A20" s="42"/>
      <c r="B20" s="42"/>
      <c r="C20" s="42"/>
      <c r="D20" s="42" t="s">
        <v>164</v>
      </c>
      <c r="E20" s="42"/>
      <c r="F20" s="42"/>
      <c r="G20" s="42"/>
      <c r="H20" s="42"/>
      <c r="I20" s="42"/>
      <c r="J20" s="42"/>
      <c r="K20" s="42"/>
      <c r="L20" s="42"/>
      <c r="M20" s="42"/>
      <c r="N20" s="42"/>
      <c r="O20" s="42"/>
      <c r="P20" s="42"/>
      <c r="Q20" s="42"/>
      <c r="R20" s="42"/>
      <c r="S20" s="42"/>
      <c r="T20" s="42"/>
      <c r="U20" s="42"/>
      <c r="V20" s="42"/>
      <c r="W20" s="42"/>
      <c r="X20" s="42"/>
      <c r="Y20" s="42"/>
      <c r="Z20" s="42"/>
    </row>
    <row r="21" spans="1:27" ht="15" x14ac:dyDescent="0.25">
      <c r="A21" s="42"/>
      <c r="B21" s="42"/>
      <c r="C21" s="42"/>
      <c r="D21" s="42" t="s">
        <v>165</v>
      </c>
      <c r="E21" s="42"/>
      <c r="F21" s="42"/>
      <c r="G21" s="42"/>
      <c r="H21" s="42"/>
      <c r="I21" s="42"/>
      <c r="J21" s="42"/>
      <c r="K21" s="42"/>
      <c r="L21" s="42"/>
      <c r="M21" s="42"/>
      <c r="N21" s="42"/>
      <c r="O21" s="42"/>
      <c r="P21" s="42"/>
      <c r="Q21" s="42"/>
      <c r="R21" s="42"/>
      <c r="S21" s="42"/>
      <c r="T21" s="42"/>
      <c r="U21" s="42"/>
      <c r="V21" s="42"/>
      <c r="W21" s="42"/>
      <c r="X21" s="42"/>
      <c r="Y21" s="42"/>
      <c r="Z21" s="42"/>
    </row>
    <row r="22" spans="1:27" ht="33.75" customHeight="1" x14ac:dyDescent="0.25">
      <c r="A22" s="42"/>
      <c r="B22" s="42"/>
      <c r="C22" s="42"/>
      <c r="D22" s="1250" t="s">
        <v>166</v>
      </c>
      <c r="E22" s="1250"/>
      <c r="F22" s="1250"/>
      <c r="G22" s="1250"/>
      <c r="H22" s="1250"/>
      <c r="I22" s="1250"/>
      <c r="J22" s="1250"/>
      <c r="K22" s="1250"/>
      <c r="L22" s="1250"/>
      <c r="M22" s="1250"/>
      <c r="N22" s="1250"/>
      <c r="O22" s="1250"/>
      <c r="P22" s="1250"/>
      <c r="Q22" s="1250"/>
      <c r="R22" s="1250"/>
      <c r="S22" s="1250"/>
      <c r="T22" s="1250"/>
      <c r="U22" s="1250"/>
      <c r="V22" s="1250"/>
      <c r="W22" s="42"/>
      <c r="X22" s="42"/>
      <c r="Y22" s="42"/>
      <c r="Z22" s="42"/>
    </row>
    <row r="23" spans="1:27" ht="15" x14ac:dyDescent="0.2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7" ht="15" x14ac:dyDescent="0.25">
      <c r="A24" s="42"/>
      <c r="B24" s="42"/>
      <c r="C24" s="42"/>
      <c r="D24" s="51" t="s">
        <v>167</v>
      </c>
      <c r="E24" s="51"/>
      <c r="F24" s="51"/>
      <c r="G24" s="51"/>
      <c r="H24" s="51"/>
      <c r="I24" s="51"/>
      <c r="J24" s="51"/>
      <c r="K24" s="42"/>
      <c r="L24" s="42"/>
      <c r="M24" s="42"/>
      <c r="N24" s="42"/>
      <c r="O24" s="42"/>
      <c r="P24" s="42"/>
      <c r="Q24" s="42"/>
      <c r="R24" s="42"/>
      <c r="S24" s="42"/>
      <c r="T24" s="42"/>
      <c r="U24" s="42"/>
      <c r="V24" s="42"/>
      <c r="W24" s="42"/>
      <c r="X24" s="42"/>
      <c r="Y24" s="42"/>
      <c r="Z24" s="42"/>
    </row>
    <row r="25" spans="1:27" ht="15" x14ac:dyDescent="0.2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7" ht="15" x14ac:dyDescent="0.25">
      <c r="A26" s="42"/>
      <c r="B26" s="42"/>
      <c r="C26" s="50" t="s">
        <v>168</v>
      </c>
      <c r="D26" s="50" t="s">
        <v>169</v>
      </c>
      <c r="E26" s="50"/>
      <c r="F26" s="50"/>
      <c r="G26" s="50"/>
      <c r="H26" s="42"/>
      <c r="I26" s="42"/>
      <c r="J26" s="42"/>
      <c r="K26" s="42"/>
      <c r="L26" s="42"/>
      <c r="M26" s="42"/>
      <c r="N26" s="42"/>
      <c r="O26" s="42"/>
      <c r="P26" s="42"/>
      <c r="Q26" s="42"/>
      <c r="R26" s="42"/>
      <c r="S26" s="42"/>
      <c r="T26" s="42"/>
      <c r="U26" s="42"/>
      <c r="V26" s="42"/>
      <c r="W26" s="42"/>
      <c r="X26" s="42"/>
      <c r="Y26" s="42"/>
      <c r="Z26" s="42"/>
    </row>
    <row r="27" spans="1:27" ht="15" x14ac:dyDescent="0.25">
      <c r="A27" s="867"/>
      <c r="B27" s="867"/>
      <c r="C27" s="867"/>
      <c r="D27" s="867" t="s">
        <v>170</v>
      </c>
      <c r="E27" s="867"/>
      <c r="F27" s="867"/>
      <c r="G27" s="867"/>
      <c r="H27" s="867"/>
      <c r="I27" s="867"/>
      <c r="J27" s="867"/>
      <c r="K27" s="867"/>
      <c r="L27" s="867"/>
      <c r="M27" s="867"/>
      <c r="N27" s="867"/>
      <c r="O27" s="867"/>
      <c r="P27" s="867"/>
      <c r="Q27" s="867"/>
      <c r="R27" s="867"/>
      <c r="S27" s="867"/>
      <c r="T27" s="867"/>
      <c r="U27" s="867"/>
      <c r="V27" s="867"/>
      <c r="W27" s="867"/>
      <c r="X27" s="867"/>
      <c r="Y27" s="867"/>
      <c r="Z27" s="867"/>
      <c r="AA27" s="868"/>
    </row>
    <row r="28" spans="1:27" ht="15" x14ac:dyDescent="0.25">
      <c r="A28" s="867"/>
      <c r="B28" s="867"/>
      <c r="C28" s="867"/>
      <c r="D28" s="869" t="s">
        <v>171</v>
      </c>
      <c r="E28" s="867"/>
      <c r="F28" s="867"/>
      <c r="G28" s="867"/>
      <c r="H28" s="867"/>
      <c r="I28" s="867"/>
      <c r="J28" s="867"/>
      <c r="K28" s="867"/>
      <c r="L28" s="867"/>
      <c r="M28" s="867"/>
      <c r="N28" s="867"/>
      <c r="O28" s="867"/>
      <c r="P28" s="867"/>
      <c r="Q28" s="867"/>
      <c r="R28" s="867"/>
      <c r="S28" s="867"/>
      <c r="T28" s="867"/>
      <c r="U28" s="867"/>
      <c r="V28" s="867"/>
      <c r="W28" s="867"/>
      <c r="X28" s="867"/>
      <c r="Y28" s="867"/>
      <c r="Z28" s="867"/>
      <c r="AA28" s="868"/>
    </row>
    <row r="29" spans="1:27" ht="15" x14ac:dyDescent="0.25">
      <c r="A29" s="867"/>
      <c r="B29" s="867"/>
      <c r="C29" s="867"/>
      <c r="D29" s="867" t="s">
        <v>172</v>
      </c>
      <c r="E29" s="867"/>
      <c r="F29" s="867"/>
      <c r="G29" s="867"/>
      <c r="H29" s="867"/>
      <c r="I29" s="867"/>
      <c r="J29" s="867"/>
      <c r="K29" s="867"/>
      <c r="L29" s="867"/>
      <c r="M29" s="867"/>
      <c r="N29" s="867"/>
      <c r="O29" s="867"/>
      <c r="P29" s="867"/>
      <c r="Q29" s="867"/>
      <c r="R29" s="867"/>
      <c r="S29" s="867"/>
      <c r="T29" s="867"/>
      <c r="U29" s="867"/>
      <c r="V29" s="867"/>
      <c r="W29" s="867"/>
      <c r="X29" s="867"/>
      <c r="Y29" s="867"/>
      <c r="Z29" s="867"/>
      <c r="AA29" s="868"/>
    </row>
    <row r="30" spans="1:27" ht="15" x14ac:dyDescent="0.25">
      <c r="A30" s="867"/>
      <c r="B30" s="867"/>
      <c r="C30" s="867"/>
      <c r="D30" s="867" t="s">
        <v>173</v>
      </c>
      <c r="E30" s="867"/>
      <c r="F30" s="867"/>
      <c r="G30" s="867"/>
      <c r="H30" s="867"/>
      <c r="I30" s="867"/>
      <c r="J30" s="867"/>
      <c r="K30" s="867"/>
      <c r="L30" s="867"/>
      <c r="M30" s="867"/>
      <c r="N30" s="867"/>
      <c r="O30" s="867"/>
      <c r="P30" s="867"/>
      <c r="Q30" s="867"/>
      <c r="R30" s="867"/>
      <c r="S30" s="867"/>
      <c r="T30" s="867"/>
      <c r="U30" s="867"/>
      <c r="V30" s="867"/>
      <c r="W30" s="867"/>
      <c r="X30" s="867"/>
      <c r="Y30" s="867"/>
      <c r="Z30" s="867"/>
      <c r="AA30" s="868"/>
    </row>
    <row r="31" spans="1:27" ht="15" x14ac:dyDescent="0.25">
      <c r="A31" s="868"/>
      <c r="B31" s="868"/>
      <c r="C31" s="867"/>
      <c r="D31" s="867" t="s">
        <v>174</v>
      </c>
      <c r="E31" s="868"/>
      <c r="F31" s="868"/>
      <c r="G31" s="868"/>
      <c r="H31" s="868"/>
      <c r="I31" s="868"/>
      <c r="J31" s="868"/>
      <c r="K31" s="868"/>
      <c r="L31" s="868"/>
      <c r="M31" s="868"/>
      <c r="N31" s="868"/>
      <c r="O31" s="868"/>
      <c r="P31" s="868"/>
      <c r="Q31" s="868"/>
      <c r="R31" s="868"/>
      <c r="S31" s="868"/>
      <c r="T31" s="868"/>
      <c r="U31" s="868"/>
      <c r="V31" s="868"/>
      <c r="W31" s="868"/>
      <c r="X31" s="868"/>
      <c r="Y31" s="868"/>
      <c r="Z31" s="868"/>
      <c r="AA31" s="868"/>
    </row>
    <row r="32" spans="1:27" ht="15" x14ac:dyDescent="0.25">
      <c r="A32" s="868"/>
      <c r="B32" s="868"/>
      <c r="C32" s="867"/>
      <c r="D32" s="867" t="s">
        <v>175</v>
      </c>
      <c r="E32" s="868"/>
      <c r="F32" s="868"/>
      <c r="G32" s="868"/>
      <c r="H32" s="868"/>
      <c r="I32" s="868"/>
      <c r="J32" s="868"/>
      <c r="K32" s="868"/>
      <c r="L32" s="868"/>
      <c r="M32" s="868"/>
      <c r="N32" s="868"/>
      <c r="O32" s="868"/>
      <c r="P32" s="868"/>
      <c r="Q32" s="868"/>
      <c r="R32" s="868"/>
      <c r="S32" s="868"/>
      <c r="T32" s="868"/>
      <c r="U32" s="868"/>
      <c r="V32" s="868"/>
      <c r="W32" s="868"/>
      <c r="X32" s="868"/>
      <c r="Y32" s="868"/>
      <c r="Z32" s="868"/>
      <c r="AA32" s="868"/>
    </row>
    <row r="33" spans="1:27" ht="15" x14ac:dyDescent="0.25">
      <c r="A33" s="868"/>
      <c r="B33" s="868"/>
      <c r="C33" s="867"/>
      <c r="D33" s="867" t="s">
        <v>176</v>
      </c>
      <c r="E33" s="868"/>
      <c r="F33" s="868"/>
      <c r="G33" s="868"/>
      <c r="H33" s="868"/>
      <c r="I33" s="868"/>
      <c r="J33" s="868"/>
      <c r="K33" s="868"/>
      <c r="L33" s="868"/>
      <c r="M33" s="868"/>
      <c r="N33" s="868"/>
      <c r="O33" s="868"/>
      <c r="P33" s="868"/>
      <c r="Q33" s="868"/>
      <c r="R33" s="868"/>
      <c r="S33" s="868"/>
      <c r="T33" s="868"/>
      <c r="U33" s="868"/>
      <c r="V33" s="868"/>
      <c r="W33" s="868"/>
      <c r="X33" s="868"/>
      <c r="Y33" s="868"/>
      <c r="Z33" s="868"/>
      <c r="AA33" s="868"/>
    </row>
    <row r="34" spans="1:27" ht="15" x14ac:dyDescent="0.25">
      <c r="A34" s="868"/>
      <c r="B34" s="868"/>
      <c r="C34" s="867"/>
      <c r="D34" s="867" t="s">
        <v>177</v>
      </c>
      <c r="E34" s="868"/>
      <c r="F34" s="868"/>
      <c r="G34" s="868"/>
      <c r="H34" s="868"/>
      <c r="I34" s="868"/>
      <c r="J34" s="868"/>
      <c r="K34" s="868"/>
      <c r="L34" s="868"/>
      <c r="M34" s="868"/>
      <c r="N34" s="868"/>
      <c r="O34" s="868"/>
      <c r="P34" s="868"/>
      <c r="Q34" s="868"/>
      <c r="R34" s="868"/>
      <c r="S34" s="868"/>
      <c r="T34" s="868"/>
      <c r="U34" s="868"/>
      <c r="V34" s="868"/>
      <c r="W34" s="868"/>
      <c r="X34" s="868"/>
      <c r="Y34" s="868"/>
      <c r="Z34" s="868"/>
      <c r="AA34" s="868"/>
    </row>
    <row r="35" spans="1:27" ht="15" x14ac:dyDescent="0.25">
      <c r="A35" s="868"/>
      <c r="B35" s="868"/>
      <c r="C35" s="867"/>
      <c r="D35" s="867" t="s">
        <v>178</v>
      </c>
      <c r="E35" s="868"/>
      <c r="F35" s="868"/>
      <c r="G35" s="868"/>
      <c r="H35" s="868"/>
      <c r="I35" s="868"/>
      <c r="J35" s="868"/>
      <c r="K35" s="868"/>
      <c r="L35" s="868"/>
      <c r="M35" s="868"/>
      <c r="N35" s="868"/>
      <c r="O35" s="868"/>
      <c r="P35" s="868"/>
      <c r="Q35" s="868"/>
      <c r="R35" s="868"/>
      <c r="S35" s="868"/>
      <c r="T35" s="868"/>
      <c r="U35" s="868"/>
      <c r="V35" s="868"/>
      <c r="W35" s="868"/>
      <c r="X35" s="868"/>
      <c r="Y35" s="868"/>
      <c r="Z35" s="868"/>
      <c r="AA35" s="868"/>
    </row>
    <row r="36" spans="1:27" ht="15" x14ac:dyDescent="0.25">
      <c r="A36" s="868"/>
      <c r="B36" s="868"/>
      <c r="C36" s="867"/>
      <c r="D36" s="867" t="s">
        <v>179</v>
      </c>
      <c r="E36" s="868"/>
      <c r="F36" s="868"/>
      <c r="G36" s="868"/>
      <c r="H36" s="868"/>
      <c r="I36" s="868"/>
      <c r="J36" s="868"/>
      <c r="K36" s="868"/>
      <c r="L36" s="868"/>
      <c r="M36" s="868"/>
      <c r="N36" s="868"/>
      <c r="O36" s="868"/>
      <c r="P36" s="868"/>
      <c r="Q36" s="868"/>
      <c r="R36" s="868"/>
      <c r="S36" s="868"/>
      <c r="T36" s="868"/>
      <c r="U36" s="868"/>
      <c r="V36" s="868"/>
      <c r="W36" s="868"/>
      <c r="X36" s="868"/>
      <c r="Y36" s="868"/>
      <c r="Z36" s="868"/>
      <c r="AA36" s="868"/>
    </row>
    <row r="37" spans="1:27" ht="15" x14ac:dyDescent="0.25">
      <c r="A37" s="868"/>
      <c r="B37" s="868"/>
      <c r="C37" s="867"/>
      <c r="D37" s="867" t="s">
        <v>180</v>
      </c>
      <c r="E37" s="868"/>
      <c r="F37" s="868"/>
      <c r="G37" s="868"/>
      <c r="H37" s="868"/>
      <c r="I37" s="868"/>
      <c r="J37" s="868"/>
      <c r="K37" s="868"/>
      <c r="L37" s="868"/>
      <c r="M37" s="868"/>
      <c r="N37" s="868"/>
      <c r="O37" s="868"/>
      <c r="P37" s="868"/>
      <c r="Q37" s="868"/>
      <c r="R37" s="868"/>
      <c r="S37" s="868"/>
      <c r="T37" s="868"/>
      <c r="U37" s="868"/>
      <c r="V37" s="868"/>
      <c r="W37" s="868"/>
      <c r="X37" s="868"/>
      <c r="Y37" s="868"/>
      <c r="Z37" s="868"/>
      <c r="AA37" s="868"/>
    </row>
    <row r="38" spans="1:27" ht="15" x14ac:dyDescent="0.25">
      <c r="A38" s="868"/>
      <c r="B38" s="868"/>
      <c r="C38" s="867"/>
      <c r="D38" s="867" t="s">
        <v>181</v>
      </c>
      <c r="E38" s="868"/>
      <c r="F38" s="868"/>
      <c r="G38" s="868"/>
      <c r="H38" s="868"/>
      <c r="I38" s="868"/>
      <c r="J38" s="868"/>
      <c r="K38" s="868"/>
      <c r="L38" s="868"/>
      <c r="M38" s="868"/>
      <c r="N38" s="868"/>
      <c r="O38" s="868"/>
      <c r="P38" s="868"/>
      <c r="Q38" s="868"/>
      <c r="R38" s="868"/>
      <c r="S38" s="868"/>
      <c r="T38" s="868"/>
      <c r="U38" s="868"/>
      <c r="V38" s="868"/>
      <c r="W38" s="868"/>
      <c r="X38" s="868"/>
      <c r="Y38" s="868"/>
      <c r="Z38" s="868"/>
      <c r="AA38" s="868"/>
    </row>
    <row r="39" spans="1:27" ht="15" x14ac:dyDescent="0.25">
      <c r="A39" s="868"/>
      <c r="B39" s="868"/>
      <c r="C39" s="867"/>
      <c r="D39" s="867" t="s">
        <v>182</v>
      </c>
      <c r="E39" s="868"/>
      <c r="F39" s="868"/>
      <c r="G39" s="868"/>
      <c r="H39" s="868"/>
      <c r="I39" s="868"/>
      <c r="J39" s="868"/>
      <c r="K39" s="868"/>
      <c r="L39" s="868"/>
      <c r="M39" s="868"/>
      <c r="N39" s="868"/>
      <c r="O39" s="868"/>
      <c r="P39" s="868"/>
      <c r="Q39" s="868"/>
      <c r="R39" s="868"/>
      <c r="S39" s="868"/>
      <c r="T39" s="868"/>
      <c r="U39" s="868"/>
      <c r="V39" s="868"/>
      <c r="W39" s="868"/>
      <c r="X39" s="868"/>
      <c r="Y39" s="868"/>
      <c r="Z39" s="868"/>
      <c r="AA39" s="868"/>
    </row>
    <row r="40" spans="1:27" ht="15" x14ac:dyDescent="0.25">
      <c r="A40" s="868"/>
      <c r="B40" s="868"/>
      <c r="C40" s="867"/>
      <c r="D40" s="867" t="s">
        <v>183</v>
      </c>
      <c r="E40" s="868"/>
      <c r="F40" s="868"/>
      <c r="G40" s="868"/>
      <c r="H40" s="868"/>
      <c r="I40" s="868"/>
      <c r="J40" s="868"/>
      <c r="K40" s="868"/>
      <c r="L40" s="868"/>
      <c r="M40" s="868"/>
      <c r="N40" s="868"/>
      <c r="O40" s="868"/>
      <c r="P40" s="868"/>
      <c r="Q40" s="868"/>
      <c r="R40" s="868"/>
      <c r="S40" s="868"/>
      <c r="T40" s="868"/>
      <c r="U40" s="868"/>
      <c r="V40" s="868"/>
      <c r="W40" s="868"/>
      <c r="X40" s="868"/>
      <c r="Y40" s="868"/>
      <c r="Z40" s="868"/>
      <c r="AA40" s="868"/>
    </row>
    <row r="41" spans="1:27" ht="15" x14ac:dyDescent="0.25">
      <c r="A41" s="868"/>
      <c r="B41" s="868"/>
      <c r="C41" s="867"/>
      <c r="D41" s="867" t="s">
        <v>184</v>
      </c>
      <c r="E41" s="868"/>
      <c r="F41" s="868"/>
      <c r="G41" s="868"/>
      <c r="H41" s="868"/>
      <c r="I41" s="868"/>
      <c r="J41" s="868"/>
      <c r="K41" s="868"/>
      <c r="L41" s="868"/>
      <c r="M41" s="868"/>
      <c r="N41" s="868"/>
      <c r="O41" s="868"/>
      <c r="P41" s="868"/>
      <c r="Q41" s="868"/>
      <c r="R41" s="868"/>
      <c r="S41" s="868"/>
      <c r="T41" s="868"/>
      <c r="U41" s="868"/>
      <c r="V41" s="868"/>
      <c r="W41" s="868"/>
      <c r="X41" s="868"/>
      <c r="Y41" s="868"/>
      <c r="Z41" s="868"/>
      <c r="AA41" s="868"/>
    </row>
    <row r="42" spans="1:27" ht="15" x14ac:dyDescent="0.25">
      <c r="A42" s="868"/>
      <c r="B42" s="868"/>
      <c r="C42" s="867"/>
      <c r="D42" s="867" t="s">
        <v>185</v>
      </c>
      <c r="E42" s="868"/>
      <c r="F42" s="868"/>
      <c r="G42" s="868"/>
      <c r="H42" s="868"/>
      <c r="I42" s="868"/>
      <c r="J42" s="868"/>
      <c r="K42" s="868"/>
      <c r="L42" s="868"/>
      <c r="M42" s="868"/>
      <c r="N42" s="868"/>
      <c r="O42" s="868"/>
      <c r="P42" s="868"/>
      <c r="Q42" s="868"/>
      <c r="R42" s="868"/>
      <c r="S42" s="868"/>
      <c r="T42" s="868"/>
      <c r="U42" s="868"/>
      <c r="V42" s="868"/>
      <c r="W42" s="868"/>
      <c r="X42" s="868"/>
      <c r="Y42" s="868"/>
      <c r="Z42" s="868"/>
      <c r="AA42" s="868"/>
    </row>
    <row r="43" spans="1:27" ht="15" x14ac:dyDescent="0.25">
      <c r="A43" s="868"/>
      <c r="B43" s="868"/>
      <c r="C43" s="867"/>
      <c r="D43" s="867" t="s">
        <v>186</v>
      </c>
      <c r="E43" s="868"/>
      <c r="F43" s="868"/>
      <c r="G43" s="868"/>
      <c r="H43" s="868"/>
      <c r="I43" s="868"/>
      <c r="J43" s="868"/>
      <c r="K43" s="868"/>
      <c r="L43" s="868"/>
      <c r="M43" s="868"/>
      <c r="N43" s="868"/>
      <c r="O43" s="868"/>
      <c r="P43" s="868"/>
      <c r="Q43" s="868"/>
      <c r="R43" s="868"/>
      <c r="S43" s="868"/>
      <c r="T43" s="868"/>
      <c r="U43" s="868"/>
      <c r="V43" s="868"/>
      <c r="W43" s="868"/>
      <c r="X43" s="868"/>
      <c r="Y43" s="868"/>
      <c r="Z43" s="868"/>
      <c r="AA43" s="868"/>
    </row>
    <row r="44" spans="1:27" ht="15" x14ac:dyDescent="0.25">
      <c r="A44" s="868"/>
      <c r="B44" s="868"/>
      <c r="C44" s="867"/>
      <c r="D44" s="867" t="s">
        <v>187</v>
      </c>
      <c r="E44" s="868"/>
      <c r="F44" s="868"/>
      <c r="G44" s="868"/>
      <c r="H44" s="868"/>
      <c r="I44" s="868"/>
      <c r="J44" s="868"/>
      <c r="K44" s="868"/>
      <c r="L44" s="868"/>
      <c r="M44" s="868"/>
      <c r="N44" s="868"/>
      <c r="O44" s="868"/>
      <c r="P44" s="868"/>
      <c r="Q44" s="868"/>
      <c r="R44" s="868"/>
      <c r="S44" s="868"/>
      <c r="T44" s="868"/>
      <c r="U44" s="868"/>
      <c r="V44" s="868"/>
      <c r="W44" s="868"/>
      <c r="X44" s="868"/>
      <c r="Y44" s="868"/>
      <c r="Z44" s="868"/>
      <c r="AA44" s="868"/>
    </row>
    <row r="45" spans="1:27" ht="15" x14ac:dyDescent="0.25">
      <c r="C45" s="42"/>
      <c r="D45" s="51" t="s">
        <v>167</v>
      </c>
      <c r="E45" s="51"/>
      <c r="F45" s="51"/>
      <c r="G45" s="51"/>
      <c r="H45" s="51"/>
      <c r="I45" s="51"/>
      <c r="J45" s="51"/>
      <c r="K45" s="868"/>
      <c r="L45" s="868"/>
      <c r="M45" s="868"/>
      <c r="N45" s="868"/>
      <c r="O45" s="868"/>
      <c r="P45" s="868"/>
      <c r="Q45" s="868"/>
      <c r="R45" s="868"/>
      <c r="S45" s="868"/>
      <c r="T45" s="868"/>
      <c r="U45" s="868"/>
      <c r="V45" s="868"/>
      <c r="W45" s="868"/>
      <c r="X45" s="868"/>
      <c r="Y45" s="868"/>
      <c r="Z45" s="868"/>
      <c r="AA45" s="868"/>
    </row>
    <row r="46" spans="1:27" ht="15" x14ac:dyDescent="0.2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7" s="52" customFormat="1" ht="15" x14ac:dyDescent="0.25">
      <c r="A47" s="50"/>
      <c r="B47" s="50"/>
      <c r="C47" s="50" t="s">
        <v>188</v>
      </c>
      <c r="D47" s="50" t="s">
        <v>189</v>
      </c>
      <c r="E47" s="50"/>
      <c r="F47" s="50"/>
      <c r="G47" s="50"/>
      <c r="H47" s="50"/>
      <c r="I47" s="50"/>
      <c r="J47" s="50"/>
      <c r="K47" s="50"/>
      <c r="L47" s="50"/>
      <c r="M47" s="50"/>
      <c r="N47" s="50"/>
      <c r="O47" s="50"/>
      <c r="P47" s="50"/>
      <c r="Q47" s="50"/>
      <c r="R47" s="50"/>
      <c r="S47" s="50"/>
      <c r="T47" s="50"/>
      <c r="U47" s="50"/>
      <c r="V47" s="50"/>
      <c r="W47" s="50"/>
      <c r="X47" s="50"/>
      <c r="Y47" s="50"/>
      <c r="Z47" s="50"/>
    </row>
    <row r="48" spans="1:27" ht="15" x14ac:dyDescent="0.25">
      <c r="A48" s="42"/>
      <c r="B48" s="42"/>
      <c r="C48" s="42"/>
      <c r="D48" s="42" t="s">
        <v>190</v>
      </c>
      <c r="E48" s="42"/>
      <c r="F48" s="42"/>
      <c r="G48" s="42"/>
      <c r="H48" s="42"/>
      <c r="I48" s="42"/>
      <c r="J48" s="42"/>
      <c r="K48" s="42"/>
      <c r="L48" s="42"/>
      <c r="M48" s="42"/>
      <c r="N48" s="42"/>
      <c r="O48" s="42"/>
      <c r="P48" s="42"/>
      <c r="Q48" s="42"/>
      <c r="R48" s="42"/>
      <c r="S48" s="42"/>
      <c r="T48" s="42"/>
      <c r="U48" s="42"/>
      <c r="V48" s="42"/>
      <c r="W48" s="42"/>
      <c r="X48" s="42"/>
      <c r="Y48" s="42"/>
      <c r="Z48" s="42"/>
    </row>
    <row r="49" spans="1:26" ht="15" x14ac:dyDescent="0.25">
      <c r="A49" s="42"/>
      <c r="B49" s="42"/>
      <c r="C49" s="42"/>
      <c r="D49" s="42" t="s">
        <v>191</v>
      </c>
      <c r="E49" s="42"/>
      <c r="F49" s="42"/>
      <c r="G49" s="42"/>
      <c r="H49" s="42"/>
      <c r="I49" s="42"/>
      <c r="J49" s="42"/>
      <c r="K49" s="42"/>
      <c r="L49" s="42"/>
      <c r="M49" s="42"/>
      <c r="N49" s="42"/>
      <c r="O49" s="42"/>
      <c r="P49" s="42"/>
      <c r="Q49" s="42"/>
      <c r="R49" s="42"/>
      <c r="S49" s="42"/>
      <c r="T49" s="42"/>
      <c r="U49" s="42"/>
      <c r="V49" s="42"/>
      <c r="W49" s="42"/>
      <c r="X49" s="42"/>
      <c r="Y49" s="42"/>
      <c r="Z49" s="42"/>
    </row>
    <row r="50" spans="1:26" ht="15" x14ac:dyDescent="0.25">
      <c r="A50" s="42"/>
      <c r="B50" s="42"/>
      <c r="C50" s="42"/>
      <c r="D50" s="51" t="s">
        <v>167</v>
      </c>
      <c r="E50" s="51"/>
      <c r="F50" s="51"/>
      <c r="G50" s="51"/>
      <c r="H50" s="51"/>
      <c r="I50" s="51"/>
      <c r="J50" s="51"/>
      <c r="K50" s="42"/>
      <c r="L50" s="42"/>
      <c r="M50" s="42"/>
      <c r="N50" s="42"/>
      <c r="O50" s="42"/>
      <c r="P50" s="42"/>
      <c r="Q50" s="42"/>
      <c r="R50" s="42"/>
      <c r="S50" s="42"/>
      <c r="T50" s="42"/>
      <c r="U50" s="42"/>
      <c r="V50" s="42"/>
      <c r="W50" s="42"/>
      <c r="X50" s="42"/>
      <c r="Y50" s="42"/>
      <c r="Z50" s="42"/>
    </row>
    <row r="51" spans="1:26" ht="14.25" customHeight="1" x14ac:dyDescent="0.2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s="52" customFormat="1" ht="14.25" customHeight="1" x14ac:dyDescent="0.25">
      <c r="A52" s="50"/>
      <c r="B52" s="50"/>
      <c r="C52" s="50" t="s">
        <v>192</v>
      </c>
      <c r="D52" s="50" t="s">
        <v>193</v>
      </c>
      <c r="E52" s="50"/>
      <c r="F52" s="50"/>
      <c r="G52" s="50"/>
      <c r="H52" s="50"/>
      <c r="I52" s="50"/>
      <c r="J52" s="50"/>
      <c r="K52" s="50"/>
      <c r="L52" s="50"/>
      <c r="M52" s="50"/>
      <c r="N52" s="50"/>
      <c r="O52" s="50"/>
      <c r="P52" s="50"/>
      <c r="Q52" s="50"/>
      <c r="R52" s="50"/>
      <c r="S52" s="50"/>
      <c r="T52" s="50"/>
      <c r="U52" s="50"/>
      <c r="V52" s="50"/>
      <c r="W52" s="50"/>
      <c r="X52" s="50"/>
      <c r="Y52" s="50"/>
      <c r="Z52" s="50"/>
    </row>
    <row r="53" spans="1:26" ht="15" x14ac:dyDescent="0.25">
      <c r="A53" s="42"/>
      <c r="B53" s="42"/>
      <c r="C53" s="42"/>
      <c r="D53" s="42" t="s">
        <v>194</v>
      </c>
      <c r="E53" s="42"/>
      <c r="F53" s="42"/>
      <c r="G53" s="42"/>
      <c r="H53" s="42"/>
      <c r="I53" s="42"/>
      <c r="J53" s="42"/>
      <c r="K53" s="42"/>
      <c r="L53" s="42"/>
      <c r="M53" s="42"/>
      <c r="N53" s="42"/>
      <c r="O53" s="42"/>
      <c r="P53" s="42"/>
      <c r="Q53" s="42"/>
      <c r="R53" s="42"/>
      <c r="S53" s="42"/>
      <c r="T53" s="42"/>
      <c r="U53" s="42"/>
      <c r="V53" s="42"/>
      <c r="W53" s="42"/>
      <c r="X53" s="42"/>
      <c r="Y53" s="42"/>
      <c r="Z53" s="42"/>
    </row>
    <row r="54" spans="1:26" ht="15" x14ac:dyDescent="0.25">
      <c r="A54" s="42"/>
      <c r="B54" s="42"/>
      <c r="C54" s="42"/>
      <c r="D54" s="51" t="s">
        <v>167</v>
      </c>
      <c r="E54" s="51"/>
      <c r="F54" s="51"/>
      <c r="G54" s="51"/>
      <c r="H54" s="51"/>
      <c r="I54" s="51"/>
      <c r="J54" s="51"/>
      <c r="K54" s="42"/>
      <c r="L54" s="42"/>
      <c r="M54" s="42"/>
      <c r="N54" s="42"/>
      <c r="O54" s="42"/>
      <c r="P54" s="42"/>
      <c r="Q54" s="42"/>
      <c r="R54" s="42"/>
      <c r="S54" s="42"/>
      <c r="T54" s="42"/>
      <c r="U54" s="42"/>
      <c r="V54" s="42"/>
      <c r="W54" s="42"/>
      <c r="X54" s="42"/>
      <c r="Y54" s="42"/>
      <c r="Z54" s="42"/>
    </row>
    <row r="55" spans="1:26" ht="15" x14ac:dyDescent="0.25">
      <c r="A55" s="42"/>
      <c r="B55" s="42"/>
      <c r="C55" s="42"/>
      <c r="D55" s="870"/>
      <c r="E55" s="870"/>
      <c r="F55" s="870"/>
      <c r="G55" s="870"/>
      <c r="H55" s="870"/>
      <c r="I55" s="870"/>
      <c r="J55" s="870"/>
      <c r="K55" s="867"/>
      <c r="L55" s="42"/>
      <c r="M55" s="42"/>
      <c r="N55" s="42"/>
      <c r="O55" s="42"/>
      <c r="P55" s="42"/>
      <c r="Q55" s="42"/>
      <c r="R55" s="42"/>
      <c r="S55" s="42"/>
      <c r="T55" s="42"/>
      <c r="U55" s="42"/>
      <c r="V55" s="42"/>
      <c r="W55" s="42"/>
      <c r="X55" s="42"/>
      <c r="Y55" s="42"/>
      <c r="Z55" s="42"/>
    </row>
    <row r="56" spans="1:26" ht="15" x14ac:dyDescent="0.25">
      <c r="A56" s="42"/>
      <c r="B56" s="42"/>
      <c r="C56" s="50" t="s">
        <v>195</v>
      </c>
      <c r="D56" s="50" t="s">
        <v>196</v>
      </c>
      <c r="E56" s="50"/>
      <c r="F56" s="50"/>
      <c r="G56" s="50"/>
      <c r="H56" s="870"/>
      <c r="I56" s="870"/>
      <c r="J56" s="870"/>
      <c r="K56" s="867"/>
      <c r="L56" s="42"/>
      <c r="M56" s="42"/>
      <c r="N56" s="42"/>
      <c r="O56" s="42"/>
      <c r="P56" s="42"/>
      <c r="Q56" s="42"/>
      <c r="R56" s="42"/>
      <c r="S56" s="42"/>
      <c r="T56" s="42"/>
      <c r="U56" s="42"/>
      <c r="V56" s="42"/>
      <c r="W56" s="42"/>
      <c r="X56" s="42"/>
      <c r="Y56" s="42"/>
      <c r="Z56" s="42"/>
    </row>
    <row r="57" spans="1:26" ht="15" x14ac:dyDescent="0.25">
      <c r="A57" s="42"/>
      <c r="B57" s="42"/>
      <c r="C57" s="42"/>
      <c r="D57" s="42" t="s">
        <v>197</v>
      </c>
      <c r="E57" s="867"/>
      <c r="F57" s="867"/>
      <c r="G57" s="867"/>
      <c r="H57" s="867"/>
      <c r="I57" s="867"/>
      <c r="J57" s="867"/>
      <c r="K57" s="867"/>
      <c r="L57" s="42"/>
      <c r="M57" s="42"/>
      <c r="N57" s="42"/>
      <c r="O57" s="42"/>
      <c r="P57" s="42"/>
      <c r="Q57" s="42"/>
      <c r="R57" s="42"/>
      <c r="S57" s="42"/>
      <c r="T57" s="42"/>
      <c r="U57" s="42"/>
      <c r="V57" s="42"/>
      <c r="W57" s="42"/>
      <c r="X57" s="42"/>
      <c r="Y57" s="42"/>
      <c r="Z57" s="42"/>
    </row>
    <row r="58" spans="1:26" ht="15" x14ac:dyDescent="0.25">
      <c r="A58" s="42"/>
      <c r="B58" s="42"/>
      <c r="C58" s="42"/>
      <c r="D58" s="51" t="s">
        <v>167</v>
      </c>
      <c r="E58" s="51"/>
      <c r="F58" s="51"/>
      <c r="G58" s="51"/>
      <c r="H58" s="51"/>
      <c r="I58" s="51"/>
      <c r="J58" s="51"/>
      <c r="K58" s="42"/>
      <c r="L58" s="42"/>
      <c r="M58" s="42"/>
      <c r="N58" s="42"/>
      <c r="O58" s="42"/>
      <c r="P58" s="42"/>
      <c r="Q58" s="42"/>
      <c r="R58" s="42"/>
      <c r="S58" s="42"/>
      <c r="T58" s="42"/>
      <c r="U58" s="42"/>
      <c r="V58" s="42"/>
      <c r="W58" s="42"/>
      <c r="X58" s="42"/>
      <c r="Y58" s="42"/>
      <c r="Z58" s="42"/>
    </row>
    <row r="59" spans="1:26" ht="15" x14ac:dyDescent="0.25">
      <c r="A59" s="42"/>
      <c r="B59" s="42"/>
      <c r="C59" s="42"/>
      <c r="D59" s="870"/>
      <c r="E59" s="870"/>
      <c r="F59" s="870"/>
      <c r="G59" s="870"/>
      <c r="H59" s="870"/>
      <c r="I59" s="870"/>
      <c r="J59" s="870"/>
      <c r="K59" s="42"/>
      <c r="L59" s="42"/>
      <c r="M59" s="42"/>
      <c r="N59" s="42"/>
      <c r="O59" s="42"/>
      <c r="P59" s="42"/>
      <c r="Q59" s="42"/>
      <c r="R59" s="42"/>
      <c r="S59" s="42"/>
      <c r="T59" s="42"/>
      <c r="U59" s="42"/>
      <c r="V59" s="42"/>
      <c r="W59" s="42"/>
      <c r="X59" s="42"/>
      <c r="Y59" s="42"/>
      <c r="Z59" s="42"/>
    </row>
    <row r="60" spans="1:26" ht="15" x14ac:dyDescent="0.25">
      <c r="A60" s="42"/>
      <c r="B60" s="42"/>
      <c r="C60" s="50" t="s">
        <v>195</v>
      </c>
      <c r="D60" s="50" t="s">
        <v>198</v>
      </c>
      <c r="E60" s="50"/>
      <c r="F60" s="50"/>
      <c r="G60" s="50"/>
      <c r="H60" s="870"/>
      <c r="I60" s="870"/>
      <c r="J60" s="870"/>
      <c r="K60" s="42"/>
      <c r="L60" s="42"/>
      <c r="M60" s="42"/>
      <c r="N60" s="42"/>
      <c r="O60" s="42"/>
      <c r="P60" s="42"/>
      <c r="Q60" s="42"/>
      <c r="R60" s="42"/>
      <c r="S60" s="42"/>
      <c r="T60" s="42"/>
      <c r="U60" s="42"/>
      <c r="V60" s="42"/>
      <c r="W60" s="42"/>
      <c r="X60" s="42"/>
      <c r="Y60" s="42"/>
      <c r="Z60" s="42"/>
    </row>
    <row r="61" spans="1:26" ht="15" x14ac:dyDescent="0.25">
      <c r="A61" s="42"/>
      <c r="B61" s="42"/>
      <c r="C61" s="42"/>
      <c r="D61" s="42" t="s">
        <v>199</v>
      </c>
      <c r="E61" s="867"/>
      <c r="F61" s="867"/>
      <c r="G61" s="867"/>
      <c r="H61" s="867"/>
      <c r="I61" s="867"/>
      <c r="J61" s="867"/>
      <c r="K61" s="42"/>
      <c r="L61" s="42"/>
      <c r="M61" s="42"/>
      <c r="N61" s="42"/>
      <c r="O61" s="42"/>
      <c r="P61" s="42"/>
      <c r="Q61" s="42"/>
      <c r="R61" s="42"/>
      <c r="S61" s="42"/>
      <c r="T61" s="42"/>
      <c r="U61" s="42"/>
      <c r="V61" s="42"/>
      <c r="W61" s="42"/>
      <c r="X61" s="42"/>
      <c r="Y61" s="42"/>
      <c r="Z61" s="42"/>
    </row>
    <row r="62" spans="1:26" ht="15" x14ac:dyDescent="0.25">
      <c r="A62" s="42"/>
      <c r="B62" s="42"/>
      <c r="C62" s="42"/>
      <c r="D62" s="51" t="s">
        <v>167</v>
      </c>
      <c r="E62" s="51"/>
      <c r="F62" s="51"/>
      <c r="G62" s="51"/>
      <c r="H62" s="51"/>
      <c r="I62" s="51"/>
      <c r="J62" s="51"/>
      <c r="K62" s="42"/>
      <c r="L62" s="42"/>
      <c r="M62" s="42"/>
      <c r="N62" s="42"/>
      <c r="O62" s="42"/>
      <c r="P62" s="42"/>
      <c r="Q62" s="42"/>
      <c r="R62" s="42"/>
      <c r="S62" s="42"/>
      <c r="T62" s="42"/>
      <c r="U62" s="42"/>
      <c r="V62" s="42"/>
      <c r="W62" s="42"/>
      <c r="X62" s="42"/>
      <c r="Y62" s="42"/>
      <c r="Z62" s="42"/>
    </row>
    <row r="63" spans="1:26" ht="15" x14ac:dyDescent="0.25">
      <c r="A63" s="42"/>
      <c r="B63" s="42"/>
      <c r="C63" s="42"/>
      <c r="D63" s="870"/>
      <c r="E63" s="870"/>
      <c r="F63" s="870"/>
      <c r="G63" s="870"/>
      <c r="H63" s="870"/>
      <c r="I63" s="870"/>
      <c r="J63" s="870"/>
      <c r="K63" s="42"/>
      <c r="L63" s="42"/>
      <c r="M63" s="42"/>
      <c r="N63" s="42"/>
      <c r="O63" s="42"/>
      <c r="P63" s="42"/>
      <c r="Q63" s="42"/>
      <c r="R63" s="42"/>
      <c r="S63" s="42"/>
      <c r="T63" s="42"/>
      <c r="U63" s="42"/>
      <c r="V63" s="42"/>
      <c r="W63" s="42"/>
      <c r="X63" s="42"/>
      <c r="Y63" s="42"/>
      <c r="Z63" s="42"/>
    </row>
    <row r="64" spans="1:26" ht="15" x14ac:dyDescent="0.25">
      <c r="A64" s="42"/>
      <c r="B64" s="47" t="s">
        <v>200</v>
      </c>
      <c r="C64" s="50" t="s">
        <v>201</v>
      </c>
      <c r="D64" s="42"/>
      <c r="E64" s="50"/>
      <c r="F64" s="870"/>
      <c r="G64" s="870"/>
      <c r="H64" s="870"/>
      <c r="I64" s="870"/>
      <c r="J64" s="870"/>
      <c r="K64" s="42"/>
      <c r="L64" s="42"/>
      <c r="M64" s="42"/>
      <c r="N64" s="42"/>
      <c r="O64" s="42"/>
      <c r="P64" s="42"/>
      <c r="Q64" s="42"/>
      <c r="R64" s="42"/>
      <c r="S64" s="42"/>
      <c r="T64" s="42"/>
      <c r="U64" s="42"/>
      <c r="V64" s="42"/>
      <c r="W64" s="42"/>
      <c r="X64" s="42"/>
      <c r="Y64" s="42"/>
      <c r="Z64" s="42"/>
    </row>
    <row r="65" spans="1:26" ht="15" x14ac:dyDescent="0.25">
      <c r="A65" s="42"/>
      <c r="B65" s="42"/>
      <c r="C65" s="42"/>
      <c r="D65" s="870"/>
      <c r="E65" s="870"/>
      <c r="F65" s="870"/>
      <c r="G65" s="870"/>
      <c r="H65" s="870"/>
      <c r="I65" s="870"/>
      <c r="J65" s="870"/>
      <c r="K65" s="42"/>
      <c r="L65" s="42"/>
      <c r="M65" s="42"/>
      <c r="N65" s="42"/>
      <c r="O65" s="42"/>
      <c r="P65" s="42"/>
      <c r="Q65" s="42"/>
      <c r="R65" s="42"/>
      <c r="S65" s="42"/>
      <c r="T65" s="42"/>
      <c r="U65" s="42"/>
      <c r="V65" s="42"/>
      <c r="W65" s="42"/>
      <c r="X65" s="42"/>
      <c r="Y65" s="42"/>
      <c r="Z65" s="42"/>
    </row>
    <row r="66" spans="1:26" ht="15" x14ac:dyDescent="0.25">
      <c r="A66" s="42"/>
      <c r="B66" s="42"/>
      <c r="C66" s="50" t="s">
        <v>202</v>
      </c>
      <c r="D66" s="50" t="s">
        <v>203</v>
      </c>
      <c r="E66" s="42"/>
      <c r="F66" s="870"/>
      <c r="G66" s="870"/>
      <c r="H66" s="870"/>
      <c r="I66" s="870"/>
      <c r="J66" s="870"/>
      <c r="K66" s="42"/>
      <c r="L66" s="42"/>
      <c r="M66" s="42"/>
      <c r="N66" s="42"/>
      <c r="O66" s="42"/>
      <c r="P66" s="42"/>
      <c r="Q66" s="42"/>
      <c r="R66" s="42"/>
      <c r="S66" s="42"/>
      <c r="T66" s="42"/>
      <c r="U66" s="42"/>
      <c r="V66" s="42"/>
      <c r="W66" s="42"/>
      <c r="X66" s="42"/>
      <c r="Y66" s="42"/>
      <c r="Z66" s="42"/>
    </row>
    <row r="67" spans="1:26" ht="15" x14ac:dyDescent="0.25">
      <c r="A67" s="42"/>
      <c r="B67" s="42"/>
      <c r="C67" s="42"/>
      <c r="D67" s="42" t="s">
        <v>204</v>
      </c>
      <c r="E67" s="870"/>
      <c r="F67" s="870"/>
      <c r="G67" s="870"/>
      <c r="H67" s="870"/>
      <c r="I67" s="870"/>
      <c r="J67" s="870"/>
      <c r="K67" s="42"/>
      <c r="L67" s="42"/>
      <c r="M67" s="42"/>
      <c r="N67" s="42"/>
      <c r="O67" s="42"/>
      <c r="P67" s="42"/>
      <c r="Q67" s="42"/>
      <c r="R67" s="42"/>
      <c r="S67" s="42"/>
      <c r="T67" s="42"/>
      <c r="U67" s="42"/>
      <c r="V67" s="42"/>
      <c r="W67" s="42"/>
      <c r="X67" s="42"/>
      <c r="Y67" s="42"/>
      <c r="Z67" s="42"/>
    </row>
    <row r="68" spans="1:26" ht="15" x14ac:dyDescent="0.25">
      <c r="A68" s="42"/>
      <c r="B68" s="42"/>
      <c r="C68" s="42"/>
      <c r="D68" s="51" t="s">
        <v>167</v>
      </c>
      <c r="E68" s="51"/>
      <c r="F68" s="51"/>
      <c r="G68" s="51"/>
      <c r="H68" s="51"/>
      <c r="I68" s="51"/>
      <c r="J68" s="51"/>
      <c r="K68" s="42"/>
      <c r="L68" s="42"/>
      <c r="M68" s="42"/>
      <c r="N68" s="42"/>
      <c r="O68" s="42"/>
      <c r="P68" s="42"/>
      <c r="Q68" s="42"/>
      <c r="R68" s="42"/>
      <c r="S68" s="42"/>
      <c r="T68" s="42"/>
      <c r="U68" s="42"/>
      <c r="V68" s="42"/>
      <c r="W68" s="42"/>
      <c r="X68" s="42"/>
      <c r="Y68" s="42"/>
      <c r="Z68" s="42"/>
    </row>
    <row r="69" spans="1:26" ht="15" x14ac:dyDescent="0.25">
      <c r="A69" s="42"/>
      <c r="B69" s="42"/>
      <c r="C69" s="42"/>
      <c r="D69" s="870"/>
      <c r="E69" s="870"/>
      <c r="F69" s="870"/>
      <c r="G69" s="870"/>
      <c r="H69" s="870"/>
      <c r="I69" s="870"/>
      <c r="J69" s="870"/>
      <c r="K69" s="42"/>
      <c r="L69" s="42"/>
      <c r="M69" s="42"/>
      <c r="N69" s="42"/>
      <c r="O69" s="42"/>
      <c r="P69" s="42"/>
      <c r="Q69" s="42"/>
      <c r="R69" s="42"/>
      <c r="S69" s="42"/>
      <c r="T69" s="42"/>
      <c r="U69" s="42"/>
      <c r="V69" s="42"/>
      <c r="W69" s="42"/>
      <c r="X69" s="42"/>
      <c r="Y69" s="42"/>
      <c r="Z69" s="42"/>
    </row>
    <row r="70" spans="1:26" ht="15" x14ac:dyDescent="0.2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32.25" customHeight="1" x14ac:dyDescent="0.2">
      <c r="A71" s="931" t="s">
        <v>205</v>
      </c>
      <c r="B71" s="1246" t="s">
        <v>206</v>
      </c>
      <c r="C71" s="1246"/>
      <c r="D71" s="1246"/>
      <c r="E71" s="1246"/>
      <c r="F71" s="1246"/>
      <c r="G71" s="1246"/>
      <c r="H71" s="1246"/>
      <c r="I71" s="1246"/>
      <c r="J71" s="1246"/>
      <c r="K71" s="1246"/>
      <c r="L71" s="1246"/>
      <c r="M71" s="1246"/>
      <c r="N71" s="1246"/>
      <c r="O71" s="1246"/>
      <c r="P71" s="1246"/>
      <c r="Q71" s="1246"/>
      <c r="R71" s="1246"/>
      <c r="S71" s="1246"/>
      <c r="T71" s="1246"/>
      <c r="U71" s="1246"/>
      <c r="V71" s="1246"/>
      <c r="W71" s="1246"/>
      <c r="X71" s="1246"/>
      <c r="Y71" s="1246"/>
      <c r="Z71" s="1246"/>
    </row>
    <row r="72" spans="1:26" s="54" customFormat="1" ht="33.75" customHeight="1" x14ac:dyDescent="0.2">
      <c r="A72" s="53"/>
      <c r="B72" s="47" t="s">
        <v>207</v>
      </c>
      <c r="C72" s="1247" t="s">
        <v>208</v>
      </c>
      <c r="D72" s="1247"/>
      <c r="E72" s="1247"/>
      <c r="F72" s="1247"/>
      <c r="G72" s="1247"/>
      <c r="H72" s="1247"/>
      <c r="I72" s="1247"/>
      <c r="J72" s="1247"/>
      <c r="K72" s="1247"/>
      <c r="L72" s="1247"/>
      <c r="M72" s="1247"/>
      <c r="N72" s="1247"/>
      <c r="O72" s="1247"/>
      <c r="P72" s="1247"/>
      <c r="Q72" s="1247"/>
      <c r="R72" s="1247"/>
      <c r="S72" s="1247"/>
      <c r="T72" s="1247"/>
      <c r="U72" s="1247"/>
      <c r="V72" s="1247"/>
      <c r="W72" s="1247"/>
      <c r="X72" s="1247"/>
      <c r="Y72" s="1247"/>
      <c r="Z72" s="1247"/>
    </row>
    <row r="73" spans="1:26" s="52" customFormat="1" ht="15" x14ac:dyDescent="0.25">
      <c r="A73" s="50"/>
      <c r="B73" s="50" t="s">
        <v>209</v>
      </c>
      <c r="C73" s="55" t="s">
        <v>210</v>
      </c>
      <c r="D73" s="55"/>
      <c r="E73" s="55"/>
      <c r="F73" s="55"/>
      <c r="G73" s="55"/>
      <c r="H73" s="50"/>
      <c r="I73" s="50"/>
      <c r="J73" s="50"/>
      <c r="K73" s="50"/>
      <c r="L73" s="50"/>
      <c r="M73" s="50"/>
      <c r="N73" s="50"/>
      <c r="O73" s="50"/>
      <c r="P73" s="50"/>
      <c r="Q73" s="50"/>
      <c r="R73" s="50"/>
      <c r="S73" s="50"/>
      <c r="T73" s="50"/>
      <c r="U73" s="50"/>
      <c r="V73" s="50"/>
      <c r="W73" s="50"/>
      <c r="X73" s="50"/>
      <c r="Y73" s="50"/>
      <c r="Z73" s="50"/>
    </row>
    <row r="74" spans="1:26" ht="12.75" customHeight="1" x14ac:dyDescent="0.2">
      <c r="A74" s="868"/>
      <c r="B74" s="868"/>
      <c r="C74" s="868"/>
      <c r="D74" s="868"/>
      <c r="E74" s="868"/>
      <c r="F74" s="868"/>
      <c r="G74" s="868"/>
      <c r="H74" s="868"/>
      <c r="I74" s="868"/>
      <c r="J74" s="868"/>
      <c r="K74" s="868"/>
      <c r="L74" s="868"/>
      <c r="M74" s="868"/>
      <c r="N74" s="868"/>
      <c r="O74" s="868"/>
      <c r="P74" s="868"/>
      <c r="Q74" s="868"/>
      <c r="R74" s="868"/>
      <c r="S74" s="868"/>
      <c r="T74" s="868"/>
      <c r="U74" s="868"/>
      <c r="V74" s="868"/>
      <c r="W74" s="868"/>
      <c r="X74" s="868"/>
      <c r="Y74" s="868"/>
      <c r="Z74" s="868"/>
    </row>
    <row r="75" spans="1:26" s="49" customFormat="1" ht="16.5" customHeight="1" x14ac:dyDescent="0.25">
      <c r="A75" s="932" t="s">
        <v>211</v>
      </c>
      <c r="B75" s="1248" t="s">
        <v>212</v>
      </c>
      <c r="C75" s="1248"/>
      <c r="D75" s="1248"/>
      <c r="E75" s="1248"/>
      <c r="F75" s="1248"/>
      <c r="G75" s="1248"/>
      <c r="H75" s="1248"/>
      <c r="I75" s="1248"/>
      <c r="J75" s="1248"/>
      <c r="K75" s="1248"/>
      <c r="L75" s="1248"/>
      <c r="M75" s="1248"/>
      <c r="N75" s="1248"/>
      <c r="O75" s="1248"/>
      <c r="P75" s="1248"/>
      <c r="Q75" s="1248"/>
      <c r="R75" s="1248"/>
      <c r="S75" s="1248"/>
      <c r="T75" s="1248"/>
      <c r="U75" s="1248"/>
      <c r="V75" s="1248"/>
      <c r="W75" s="1248"/>
      <c r="X75" s="1248"/>
      <c r="Y75" s="1248"/>
      <c r="Z75" s="1248"/>
    </row>
    <row r="76" spans="1:26" s="46" customFormat="1" ht="18.75" customHeight="1" x14ac:dyDescent="0.2">
      <c r="A76" s="45"/>
      <c r="B76" s="45" t="s">
        <v>213</v>
      </c>
      <c r="C76" s="45" t="s">
        <v>214</v>
      </c>
      <c r="D76" s="45"/>
      <c r="E76" s="45"/>
      <c r="F76" s="45"/>
      <c r="G76" s="45"/>
      <c r="H76" s="933"/>
      <c r="I76" s="934"/>
      <c r="J76" s="934"/>
      <c r="K76" s="934"/>
      <c r="L76" s="934"/>
      <c r="M76" s="934"/>
      <c r="N76" s="934"/>
      <c r="O76" s="934"/>
      <c r="P76" s="934"/>
      <c r="Q76" s="934"/>
      <c r="R76" s="934"/>
      <c r="S76" s="934"/>
      <c r="T76" s="934"/>
      <c r="U76" s="934"/>
      <c r="V76" s="934"/>
      <c r="W76" s="934"/>
      <c r="X76" s="934"/>
      <c r="Y76" s="934"/>
      <c r="Z76" s="934"/>
    </row>
    <row r="77" spans="1:26" s="46" customFormat="1" ht="18.75" customHeight="1" x14ac:dyDescent="0.2">
      <c r="A77" s="45"/>
      <c r="B77" s="45" t="s">
        <v>215</v>
      </c>
      <c r="C77" s="932" t="s">
        <v>216</v>
      </c>
      <c r="D77" s="45"/>
      <c r="E77" s="45"/>
      <c r="F77" s="45"/>
      <c r="G77" s="45"/>
      <c r="H77" s="933"/>
      <c r="I77" s="934"/>
      <c r="J77" s="934"/>
      <c r="K77" s="934"/>
      <c r="L77" s="934"/>
      <c r="M77" s="934"/>
      <c r="N77" s="934"/>
      <c r="O77" s="934"/>
      <c r="P77" s="934"/>
      <c r="Q77" s="934"/>
      <c r="R77" s="934"/>
      <c r="S77" s="934"/>
      <c r="T77" s="934"/>
      <c r="U77" s="934"/>
      <c r="V77" s="934"/>
      <c r="W77" s="934"/>
      <c r="X77" s="934"/>
      <c r="Y77" s="934"/>
      <c r="Z77" s="934"/>
    </row>
    <row r="78" spans="1:26" s="46" customFormat="1" ht="18.75" customHeight="1" x14ac:dyDescent="0.2">
      <c r="A78" s="45"/>
      <c r="B78" s="45" t="s">
        <v>217</v>
      </c>
      <c r="C78" s="932" t="s">
        <v>218</v>
      </c>
      <c r="D78" s="45"/>
      <c r="E78" s="45"/>
      <c r="F78" s="45"/>
      <c r="G78" s="45"/>
      <c r="H78" s="933"/>
      <c r="I78" s="934"/>
      <c r="J78" s="934"/>
      <c r="K78" s="934"/>
      <c r="L78" s="934"/>
      <c r="M78" s="934"/>
      <c r="N78" s="934"/>
      <c r="O78" s="934"/>
      <c r="P78" s="934"/>
      <c r="Q78" s="934"/>
      <c r="R78" s="934"/>
      <c r="S78" s="934"/>
      <c r="T78" s="934"/>
      <c r="U78" s="934"/>
      <c r="V78" s="934"/>
      <c r="W78" s="934"/>
      <c r="X78" s="934"/>
      <c r="Y78" s="934"/>
      <c r="Z78" s="934"/>
    </row>
    <row r="79" spans="1:26" s="52" customFormat="1" ht="31.5" customHeight="1" x14ac:dyDescent="0.25">
      <c r="A79" s="50"/>
      <c r="B79" s="45" t="s">
        <v>219</v>
      </c>
      <c r="C79" s="1249" t="s">
        <v>220</v>
      </c>
      <c r="D79" s="1249"/>
      <c r="E79" s="1249"/>
      <c r="F79" s="1249"/>
      <c r="G79" s="1249"/>
      <c r="H79" s="1249"/>
      <c r="I79" s="1249"/>
      <c r="J79" s="1249"/>
      <c r="K79" s="1249"/>
      <c r="L79" s="1249"/>
      <c r="M79" s="1249"/>
      <c r="N79" s="1249"/>
      <c r="O79" s="1249"/>
      <c r="P79" s="1249"/>
      <c r="Q79" s="1249"/>
      <c r="R79" s="1249"/>
      <c r="S79" s="1249"/>
      <c r="T79" s="1249"/>
      <c r="U79" s="1249"/>
      <c r="V79" s="1249"/>
      <c r="W79" s="1249"/>
      <c r="X79" s="1249"/>
      <c r="Y79" s="1249"/>
      <c r="Z79" s="1249"/>
    </row>
    <row r="80" spans="1:26" ht="15" x14ac:dyDescent="0.25">
      <c r="A80" s="56"/>
      <c r="B80" s="50" t="s">
        <v>221</v>
      </c>
      <c r="C80" s="936" t="s">
        <v>222</v>
      </c>
      <c r="D80" s="936"/>
      <c r="E80" s="936"/>
      <c r="F80" s="936"/>
      <c r="G80" s="936"/>
      <c r="H80" s="935"/>
      <c r="I80" s="868"/>
      <c r="J80" s="868"/>
      <c r="K80" s="868"/>
      <c r="L80" s="868"/>
      <c r="M80" s="868"/>
      <c r="N80" s="868"/>
      <c r="O80" s="868"/>
      <c r="P80" s="868"/>
      <c r="Q80" s="868"/>
      <c r="R80" s="868"/>
      <c r="S80" s="868"/>
      <c r="T80" s="868"/>
      <c r="U80" s="868"/>
      <c r="V80" s="868"/>
      <c r="W80" s="868"/>
      <c r="X80" s="868"/>
      <c r="Y80" s="868"/>
      <c r="Z80" s="868"/>
    </row>
    <row r="81" spans="1:26" x14ac:dyDescent="0.2">
      <c r="A81" s="56"/>
      <c r="B81" s="868"/>
      <c r="C81" s="868"/>
      <c r="D81" s="868"/>
      <c r="E81" s="868"/>
      <c r="F81" s="868"/>
      <c r="G81" s="868"/>
      <c r="H81" s="935"/>
      <c r="I81" s="868"/>
      <c r="J81" s="868"/>
      <c r="K81" s="868"/>
      <c r="L81" s="868"/>
      <c r="M81" s="868"/>
      <c r="N81" s="868"/>
      <c r="O81" s="868"/>
      <c r="P81" s="868"/>
      <c r="Q81" s="868"/>
      <c r="R81" s="868"/>
      <c r="S81" s="868"/>
      <c r="T81" s="868"/>
      <c r="U81" s="868"/>
      <c r="V81" s="868"/>
      <c r="W81" s="868"/>
      <c r="X81" s="868"/>
      <c r="Y81" s="868"/>
      <c r="Z81" s="868"/>
    </row>
  </sheetData>
  <sheetProtection sheet="1" objects="1" scenarios="1"/>
  <mergeCells count="6">
    <mergeCell ref="A1:Z1"/>
    <mergeCell ref="B71:Z71"/>
    <mergeCell ref="C72:Z72"/>
    <mergeCell ref="B75:Z75"/>
    <mergeCell ref="C79:Z79"/>
    <mergeCell ref="D22:V22"/>
  </mergeCells>
  <pageMargins left="0.51180555555555596" right="0.51180555555555596" top="0.78749999999999998" bottom="0.78749999999999998" header="0.511811023622047" footer="0.511811023622047"/>
  <pageSetup paperSize="9" scale="4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1F69-BFAF-4B57-95C6-7FDECB9D49EC}">
  <sheetPr>
    <pageSetUpPr fitToPage="1"/>
  </sheetPr>
  <dimension ref="A1:I626"/>
  <sheetViews>
    <sheetView view="pageBreakPreview" zoomScale="70" zoomScaleNormal="85" zoomScaleSheetLayoutView="70" workbookViewId="0">
      <selection activeCell="G10" sqref="G10"/>
    </sheetView>
  </sheetViews>
  <sheetFormatPr defaultColWidth="11.5" defaultRowHeight="12.75" customHeight="1" x14ac:dyDescent="0.2"/>
  <cols>
    <col min="1" max="1" width="17.1640625" style="512" customWidth="1"/>
    <col min="2" max="2" width="13.5" style="512" customWidth="1"/>
    <col min="3" max="3" width="11.5" style="512"/>
    <col min="4" max="4" width="75" style="552" customWidth="1"/>
    <col min="5" max="5" width="9.83203125" style="512" customWidth="1"/>
    <col min="6" max="6" width="12.6640625" style="512" customWidth="1"/>
    <col min="7" max="7" width="14.1640625" style="512" customWidth="1"/>
    <col min="8" max="8" width="11.33203125" style="512" customWidth="1"/>
    <col min="9" max="9" width="4.6640625" style="512" customWidth="1"/>
    <col min="10" max="16384" width="11.5" style="512"/>
  </cols>
  <sheetData>
    <row r="1" spans="1:9" ht="26.25" x14ac:dyDescent="0.2">
      <c r="A1" s="553"/>
      <c r="B1" s="554"/>
      <c r="C1" s="555" t="s">
        <v>120</v>
      </c>
      <c r="D1" s="556"/>
      <c r="E1" s="554"/>
      <c r="F1" s="554"/>
      <c r="G1" s="554"/>
      <c r="H1" s="557"/>
    </row>
    <row r="2" spans="1:9" ht="16.5" customHeight="1" x14ac:dyDescent="0.2">
      <c r="A2" s="558"/>
      <c r="B2" s="559"/>
      <c r="C2" s="560" t="s">
        <v>1</v>
      </c>
      <c r="D2" s="561"/>
      <c r="E2" s="559"/>
      <c r="F2" s="559"/>
      <c r="G2" s="559"/>
      <c r="H2" s="562"/>
    </row>
    <row r="3" spans="1:9" ht="16.5" customHeight="1" x14ac:dyDescent="0.2">
      <c r="A3" s="558"/>
      <c r="B3" s="559"/>
      <c r="C3" s="560" t="s">
        <v>2</v>
      </c>
      <c r="D3" s="561"/>
      <c r="E3" s="559"/>
      <c r="F3" s="559"/>
      <c r="G3" s="559"/>
      <c r="H3" s="562"/>
    </row>
    <row r="4" spans="1:9" ht="16.5" customHeight="1" x14ac:dyDescent="0.2">
      <c r="A4" s="563"/>
      <c r="B4" s="564"/>
      <c r="C4" s="565" t="s">
        <v>223</v>
      </c>
      <c r="D4" s="566"/>
      <c r="E4" s="564"/>
      <c r="F4" s="564"/>
      <c r="G4" s="564"/>
      <c r="H4" s="567"/>
    </row>
    <row r="5" spans="1:9" ht="27" customHeight="1" x14ac:dyDescent="0.2">
      <c r="A5" s="1598" t="s">
        <v>2711</v>
      </c>
      <c r="B5" s="1598"/>
      <c r="C5" s="1598"/>
      <c r="D5" s="1598"/>
      <c r="E5" s="1598"/>
      <c r="F5" s="1598"/>
      <c r="G5" s="1598"/>
      <c r="H5" s="1598"/>
    </row>
    <row r="6" spans="1:9" ht="35.25" customHeight="1" x14ac:dyDescent="0.2">
      <c r="A6" s="1599" t="s">
        <v>2712</v>
      </c>
      <c r="B6" s="1599"/>
      <c r="C6" s="1599"/>
      <c r="D6" s="1599"/>
      <c r="E6" s="1599"/>
      <c r="F6" s="1599"/>
      <c r="G6" s="1599"/>
      <c r="H6" s="1599"/>
    </row>
    <row r="7" spans="1:9" ht="38.25" customHeight="1" x14ac:dyDescent="0.2">
      <c r="A7" s="1600" t="s">
        <v>2713</v>
      </c>
      <c r="B7" s="1601"/>
      <c r="C7" s="1601"/>
      <c r="D7" s="1601"/>
      <c r="E7" s="1601"/>
      <c r="F7" s="1601"/>
      <c r="G7" s="1601"/>
      <c r="H7" s="1602"/>
    </row>
    <row r="8" spans="1:9" ht="15.75" x14ac:dyDescent="0.2">
      <c r="A8" s="569"/>
      <c r="B8" s="570" t="s">
        <v>1092</v>
      </c>
      <c r="C8" s="1603" t="s">
        <v>2714</v>
      </c>
      <c r="D8" s="1603"/>
      <c r="E8" s="1603"/>
      <c r="F8" s="571" t="s">
        <v>1094</v>
      </c>
      <c r="G8" s="572"/>
      <c r="H8" s="525">
        <f>'BDI Comum - 1.4'!$H$25</f>
        <v>0.24310000000000001</v>
      </c>
    </row>
    <row r="9" spans="1:9" ht="15" customHeight="1" x14ac:dyDescent="0.2">
      <c r="A9" s="573"/>
      <c r="B9" s="570" t="s">
        <v>1095</v>
      </c>
      <c r="C9" s="1604" t="s">
        <v>2715</v>
      </c>
      <c r="D9" s="1604"/>
      <c r="E9" s="1604"/>
      <c r="F9" s="574" t="s">
        <v>1097</v>
      </c>
      <c r="G9" s="575"/>
      <c r="H9" s="576" t="s">
        <v>1098</v>
      </c>
    </row>
    <row r="10" spans="1:9" ht="173.25" customHeight="1" x14ac:dyDescent="0.2">
      <c r="A10" s="577" t="s">
        <v>565</v>
      </c>
      <c r="B10" s="1615" t="s">
        <v>2816</v>
      </c>
      <c r="C10" s="1615"/>
      <c r="D10" s="1615"/>
      <c r="E10" s="1616"/>
      <c r="F10" s="823" t="s">
        <v>1101</v>
      </c>
      <c r="G10" s="824"/>
      <c r="H10" s="826">
        <f>Dados!G91</f>
        <v>0</v>
      </c>
    </row>
    <row r="11" spans="1:9" ht="39.75" x14ac:dyDescent="0.2">
      <c r="A11" s="578"/>
      <c r="B11" s="1610" t="s">
        <v>1102</v>
      </c>
      <c r="C11" s="1610"/>
      <c r="D11" s="1610"/>
      <c r="E11" s="1611"/>
      <c r="F11" s="536" t="s">
        <v>1103</v>
      </c>
      <c r="G11" s="537"/>
      <c r="H11" s="745">
        <f>1-Dados!G91</f>
        <v>1</v>
      </c>
    </row>
    <row r="12" spans="1:9" ht="38.25" x14ac:dyDescent="0.2">
      <c r="A12" s="579" t="s">
        <v>496</v>
      </c>
      <c r="B12" s="580" t="s">
        <v>2817</v>
      </c>
      <c r="C12" s="580" t="s">
        <v>2818</v>
      </c>
      <c r="D12" s="581" t="s">
        <v>1104</v>
      </c>
      <c r="E12" s="580" t="s">
        <v>2819</v>
      </c>
      <c r="F12" s="581" t="s">
        <v>2820</v>
      </c>
      <c r="G12" s="540" t="s">
        <v>2821</v>
      </c>
      <c r="H12" s="581" t="s">
        <v>2822</v>
      </c>
    </row>
    <row r="13" spans="1:9" ht="40.5" customHeight="1" x14ac:dyDescent="0.2">
      <c r="A13" s="834" t="s">
        <v>2718</v>
      </c>
      <c r="B13" s="835"/>
      <c r="C13" s="835"/>
      <c r="D13" s="836" t="s">
        <v>2719</v>
      </c>
      <c r="E13" s="837"/>
      <c r="F13" s="838"/>
      <c r="G13" s="838"/>
      <c r="H13" s="839"/>
      <c r="I13" s="568"/>
    </row>
    <row r="14" spans="1:9" ht="40.5" customHeight="1" x14ac:dyDescent="0.2">
      <c r="A14" s="840" t="s">
        <v>2720</v>
      </c>
      <c r="B14" s="841"/>
      <c r="C14" s="841"/>
      <c r="D14" s="842" t="s">
        <v>2721</v>
      </c>
      <c r="E14" s="843"/>
      <c r="F14" s="844"/>
      <c r="G14" s="844"/>
      <c r="H14" s="845"/>
    </row>
    <row r="15" spans="1:9" ht="40.5" customHeight="1" x14ac:dyDescent="0.2">
      <c r="A15" s="827" t="s">
        <v>2823</v>
      </c>
      <c r="B15" s="828" t="s">
        <v>2824</v>
      </c>
      <c r="C15" s="828"/>
      <c r="D15" s="827" t="s">
        <v>2825</v>
      </c>
      <c r="E15" s="829" t="s">
        <v>646</v>
      </c>
      <c r="F15" s="830">
        <v>271.47000000000003</v>
      </c>
      <c r="G15" s="831">
        <f>(F15*($H$11))</f>
        <v>271.47000000000003</v>
      </c>
      <c r="H15" s="830">
        <f>TRUNC((F15*($H$11))*(1+$H$8),2)</f>
        <v>337.46</v>
      </c>
    </row>
    <row r="16" spans="1:9" ht="40.5" customHeight="1" x14ac:dyDescent="0.2">
      <c r="A16" s="582" t="s">
        <v>2826</v>
      </c>
      <c r="B16" s="583" t="s">
        <v>2827</v>
      </c>
      <c r="C16" s="583"/>
      <c r="D16" s="582" t="s">
        <v>2828</v>
      </c>
      <c r="E16" s="584" t="s">
        <v>646</v>
      </c>
      <c r="F16" s="585">
        <v>103.03</v>
      </c>
      <c r="G16" s="831">
        <f>(F16*($H$11))</f>
        <v>103.03</v>
      </c>
      <c r="H16" s="585">
        <f>TRUNC((F16*($H$11))*(1+$H$8),2)</f>
        <v>128.07</v>
      </c>
    </row>
    <row r="17" spans="1:8" ht="32.25" customHeight="1" x14ac:dyDescent="0.2">
      <c r="A17" s="840" t="s">
        <v>2722</v>
      </c>
      <c r="B17" s="841"/>
      <c r="C17" s="841"/>
      <c r="D17" s="842" t="s">
        <v>2723</v>
      </c>
      <c r="E17" s="843"/>
      <c r="F17" s="844"/>
      <c r="G17" s="844"/>
      <c r="H17" s="845"/>
    </row>
    <row r="18" spans="1:8" ht="49.5" customHeight="1" x14ac:dyDescent="0.2">
      <c r="A18" s="827" t="s">
        <v>2829</v>
      </c>
      <c r="B18" s="828">
        <v>20193</v>
      </c>
      <c r="C18" s="828"/>
      <c r="D18" s="827" t="s">
        <v>1118</v>
      </c>
      <c r="E18" s="829" t="s">
        <v>1119</v>
      </c>
      <c r="F18" s="830">
        <v>16.5</v>
      </c>
      <c r="G18" s="831">
        <f t="shared" ref="G18:G34" si="0">(F18*($H$11))</f>
        <v>16.5</v>
      </c>
      <c r="H18" s="830">
        <f t="shared" ref="H18:H34" si="1">TRUNC((F18*($H$11))*(1+$H$8),2)</f>
        <v>20.51</v>
      </c>
    </row>
    <row r="19" spans="1:8" ht="54" customHeight="1" x14ac:dyDescent="0.2">
      <c r="A19" s="582" t="s">
        <v>2830</v>
      </c>
      <c r="B19" s="583">
        <v>10527</v>
      </c>
      <c r="C19" s="583"/>
      <c r="D19" s="582" t="s">
        <v>1121</v>
      </c>
      <c r="E19" s="584" t="s">
        <v>1122</v>
      </c>
      <c r="F19" s="585">
        <v>22</v>
      </c>
      <c r="G19" s="831">
        <f t="shared" si="0"/>
        <v>22</v>
      </c>
      <c r="H19" s="585">
        <f t="shared" si="1"/>
        <v>27.34</v>
      </c>
    </row>
    <row r="20" spans="1:8" ht="40.5" customHeight="1" x14ac:dyDescent="0.2">
      <c r="A20" s="582" t="s">
        <v>2831</v>
      </c>
      <c r="B20" s="583">
        <v>41805</v>
      </c>
      <c r="C20" s="583"/>
      <c r="D20" s="582" t="s">
        <v>1156</v>
      </c>
      <c r="E20" s="584" t="s">
        <v>1062</v>
      </c>
      <c r="F20" s="585">
        <v>632.5</v>
      </c>
      <c r="G20" s="831">
        <f t="shared" si="0"/>
        <v>632.5</v>
      </c>
      <c r="H20" s="585">
        <f t="shared" si="1"/>
        <v>786.26</v>
      </c>
    </row>
    <row r="21" spans="1:8" ht="40.5" customHeight="1" x14ac:dyDescent="0.2">
      <c r="A21" s="582" t="s">
        <v>2832</v>
      </c>
      <c r="B21" s="583">
        <v>97062</v>
      </c>
      <c r="C21" s="583"/>
      <c r="D21" s="582" t="s">
        <v>2833</v>
      </c>
      <c r="E21" s="584" t="s">
        <v>1161</v>
      </c>
      <c r="F21" s="585">
        <v>6.32</v>
      </c>
      <c r="G21" s="831">
        <f t="shared" si="0"/>
        <v>6.32</v>
      </c>
      <c r="H21" s="585">
        <f t="shared" si="1"/>
        <v>7.85</v>
      </c>
    </row>
    <row r="22" spans="1:8" ht="40.5" customHeight="1" x14ac:dyDescent="0.2">
      <c r="A22" s="582" t="s">
        <v>2834</v>
      </c>
      <c r="B22" s="583">
        <v>97063</v>
      </c>
      <c r="C22" s="583"/>
      <c r="D22" s="582" t="s">
        <v>2835</v>
      </c>
      <c r="E22" s="584" t="s">
        <v>1161</v>
      </c>
      <c r="F22" s="585">
        <v>19.309999999999999</v>
      </c>
      <c r="G22" s="831">
        <f t="shared" si="0"/>
        <v>19.309999999999999</v>
      </c>
      <c r="H22" s="585">
        <f t="shared" si="1"/>
        <v>24</v>
      </c>
    </row>
    <row r="23" spans="1:8" ht="40.5" customHeight="1" x14ac:dyDescent="0.2">
      <c r="A23" s="582" t="s">
        <v>2836</v>
      </c>
      <c r="B23" s="583">
        <v>97064</v>
      </c>
      <c r="C23" s="583"/>
      <c r="D23" s="582" t="s">
        <v>2837</v>
      </c>
      <c r="E23" s="584" t="s">
        <v>1191</v>
      </c>
      <c r="F23" s="585">
        <v>26.96</v>
      </c>
      <c r="G23" s="831">
        <f t="shared" si="0"/>
        <v>26.96</v>
      </c>
      <c r="H23" s="585">
        <f t="shared" si="1"/>
        <v>33.51</v>
      </c>
    </row>
    <row r="24" spans="1:8" ht="40.5" customHeight="1" x14ac:dyDescent="0.2">
      <c r="A24" s="582" t="s">
        <v>2838</v>
      </c>
      <c r="B24" s="583">
        <v>97065</v>
      </c>
      <c r="C24" s="583"/>
      <c r="D24" s="582" t="s">
        <v>2839</v>
      </c>
      <c r="E24" s="584" t="s">
        <v>1332</v>
      </c>
      <c r="F24" s="585">
        <v>12.92</v>
      </c>
      <c r="G24" s="831">
        <f t="shared" si="0"/>
        <v>12.92</v>
      </c>
      <c r="H24" s="585">
        <f t="shared" si="1"/>
        <v>16.059999999999999</v>
      </c>
    </row>
    <row r="25" spans="1:8" ht="40.5" customHeight="1" x14ac:dyDescent="0.2">
      <c r="A25" s="582" t="s">
        <v>2840</v>
      </c>
      <c r="B25" s="583">
        <v>3346</v>
      </c>
      <c r="C25" s="583"/>
      <c r="D25" s="582" t="s">
        <v>1150</v>
      </c>
      <c r="E25" s="584" t="s">
        <v>1126</v>
      </c>
      <c r="F25" s="585">
        <v>21.46</v>
      </c>
      <c r="G25" s="831">
        <f t="shared" si="0"/>
        <v>21.46</v>
      </c>
      <c r="H25" s="585">
        <f t="shared" si="1"/>
        <v>26.67</v>
      </c>
    </row>
    <row r="26" spans="1:8" ht="40.5" customHeight="1" x14ac:dyDescent="0.2">
      <c r="A26" s="582" t="s">
        <v>2841</v>
      </c>
      <c r="B26" s="583">
        <v>3348</v>
      </c>
      <c r="C26" s="583"/>
      <c r="D26" s="582" t="s">
        <v>1148</v>
      </c>
      <c r="E26" s="584" t="s">
        <v>1126</v>
      </c>
      <c r="F26" s="585">
        <v>25.67</v>
      </c>
      <c r="G26" s="831">
        <f t="shared" si="0"/>
        <v>25.67</v>
      </c>
      <c r="H26" s="585">
        <f t="shared" si="1"/>
        <v>31.91</v>
      </c>
    </row>
    <row r="27" spans="1:8" ht="57" customHeight="1" x14ac:dyDescent="0.2">
      <c r="A27" s="582" t="s">
        <v>2842</v>
      </c>
      <c r="B27" s="583">
        <v>4085</v>
      </c>
      <c r="C27" s="583"/>
      <c r="D27" s="582" t="s">
        <v>1142</v>
      </c>
      <c r="E27" s="584" t="s">
        <v>1126</v>
      </c>
      <c r="F27" s="585">
        <v>2.46</v>
      </c>
      <c r="G27" s="831">
        <f t="shared" si="0"/>
        <v>2.46</v>
      </c>
      <c r="H27" s="585">
        <f t="shared" si="1"/>
        <v>3.05</v>
      </c>
    </row>
    <row r="28" spans="1:8" ht="58.5" customHeight="1" x14ac:dyDescent="0.2">
      <c r="A28" s="582" t="s">
        <v>2843</v>
      </c>
      <c r="B28" s="583">
        <v>4084</v>
      </c>
      <c r="C28" s="583"/>
      <c r="D28" s="582" t="s">
        <v>1144</v>
      </c>
      <c r="E28" s="584" t="s">
        <v>1126</v>
      </c>
      <c r="F28" s="585">
        <v>1.76</v>
      </c>
      <c r="G28" s="831">
        <f t="shared" si="0"/>
        <v>1.76</v>
      </c>
      <c r="H28" s="585">
        <f t="shared" si="1"/>
        <v>2.1800000000000002</v>
      </c>
    </row>
    <row r="29" spans="1:8" ht="62.25" customHeight="1" x14ac:dyDescent="0.2">
      <c r="A29" s="582" t="s">
        <v>2844</v>
      </c>
      <c r="B29" s="583">
        <v>40293</v>
      </c>
      <c r="C29" s="583"/>
      <c r="D29" s="582" t="s">
        <v>1154</v>
      </c>
      <c r="E29" s="584" t="s">
        <v>1126</v>
      </c>
      <c r="F29" s="585">
        <v>2.11</v>
      </c>
      <c r="G29" s="831">
        <f t="shared" si="0"/>
        <v>2.11</v>
      </c>
      <c r="H29" s="585">
        <f t="shared" si="1"/>
        <v>2.62</v>
      </c>
    </row>
    <row r="30" spans="1:8" ht="40.5" customHeight="1" x14ac:dyDescent="0.2">
      <c r="A30" s="582" t="s">
        <v>2845</v>
      </c>
      <c r="B30" s="583">
        <v>105115</v>
      </c>
      <c r="C30" s="583"/>
      <c r="D30" s="582" t="s">
        <v>2846</v>
      </c>
      <c r="E30" s="584" t="s">
        <v>646</v>
      </c>
      <c r="F30" s="585">
        <v>134</v>
      </c>
      <c r="G30" s="831">
        <f t="shared" si="0"/>
        <v>134</v>
      </c>
      <c r="H30" s="585">
        <f t="shared" si="1"/>
        <v>166.57</v>
      </c>
    </row>
    <row r="31" spans="1:8" ht="40.5" customHeight="1" x14ac:dyDescent="0.2">
      <c r="A31" s="582" t="s">
        <v>2847</v>
      </c>
      <c r="B31" s="583">
        <v>105116</v>
      </c>
      <c r="C31" s="583"/>
      <c r="D31" s="582" t="s">
        <v>2848</v>
      </c>
      <c r="E31" s="584" t="s">
        <v>646</v>
      </c>
      <c r="F31" s="585">
        <v>12.74</v>
      </c>
      <c r="G31" s="831">
        <f t="shared" si="0"/>
        <v>12.74</v>
      </c>
      <c r="H31" s="585">
        <f t="shared" si="1"/>
        <v>15.83</v>
      </c>
    </row>
    <row r="32" spans="1:8" ht="70.5" customHeight="1" x14ac:dyDescent="0.2">
      <c r="A32" s="582" t="s">
        <v>2849</v>
      </c>
      <c r="B32" s="583" t="s">
        <v>2850</v>
      </c>
      <c r="C32" s="583"/>
      <c r="D32" s="582" t="s">
        <v>2851</v>
      </c>
      <c r="E32" s="584" t="s">
        <v>964</v>
      </c>
      <c r="F32" s="585">
        <v>1649.46</v>
      </c>
      <c r="G32" s="831">
        <f t="shared" si="0"/>
        <v>1649.46</v>
      </c>
      <c r="H32" s="585">
        <f t="shared" si="1"/>
        <v>2050.44</v>
      </c>
    </row>
    <row r="33" spans="1:8" ht="40.5" customHeight="1" x14ac:dyDescent="0.2">
      <c r="A33" s="582" t="s">
        <v>2852</v>
      </c>
      <c r="B33" s="583" t="s">
        <v>2853</v>
      </c>
      <c r="C33" s="583"/>
      <c r="D33" s="582" t="s">
        <v>2854</v>
      </c>
      <c r="E33" s="584" t="s">
        <v>964</v>
      </c>
      <c r="F33" s="585">
        <v>900</v>
      </c>
      <c r="G33" s="831">
        <f t="shared" si="0"/>
        <v>900</v>
      </c>
      <c r="H33" s="585">
        <f t="shared" si="1"/>
        <v>1118.79</v>
      </c>
    </row>
    <row r="34" spans="1:8" ht="60" customHeight="1" x14ac:dyDescent="0.2">
      <c r="A34" s="582" t="s">
        <v>2855</v>
      </c>
      <c r="B34" s="583" t="s">
        <v>1192</v>
      </c>
      <c r="C34" s="583"/>
      <c r="D34" s="582" t="s">
        <v>1193</v>
      </c>
      <c r="E34" s="584" t="s">
        <v>1168</v>
      </c>
      <c r="F34" s="585">
        <v>420</v>
      </c>
      <c r="G34" s="831">
        <f t="shared" si="0"/>
        <v>420</v>
      </c>
      <c r="H34" s="585">
        <f t="shared" si="1"/>
        <v>522.1</v>
      </c>
    </row>
    <row r="35" spans="1:8" ht="30" customHeight="1" x14ac:dyDescent="0.2">
      <c r="A35" s="840" t="s">
        <v>2724</v>
      </c>
      <c r="B35" s="841"/>
      <c r="C35" s="841"/>
      <c r="D35" s="842" t="s">
        <v>2725</v>
      </c>
      <c r="E35" s="843"/>
      <c r="F35" s="844"/>
      <c r="G35" s="844"/>
      <c r="H35" s="845"/>
    </row>
    <row r="36" spans="1:8" ht="40.5" customHeight="1" x14ac:dyDescent="0.2">
      <c r="A36" s="827" t="s">
        <v>2856</v>
      </c>
      <c r="B36" s="828">
        <v>97622</v>
      </c>
      <c r="C36" s="828"/>
      <c r="D36" s="827" t="s">
        <v>2857</v>
      </c>
      <c r="E36" s="829" t="s">
        <v>1332</v>
      </c>
      <c r="F36" s="830">
        <v>60.76</v>
      </c>
      <c r="G36" s="831">
        <f t="shared" ref="G36:G99" si="2">(F36*($H$11))</f>
        <v>60.76</v>
      </c>
      <c r="H36" s="830">
        <f t="shared" ref="H36:H67" si="3">TRUNC((F36*($H$11))*(1+$H$8),2)</f>
        <v>75.53</v>
      </c>
    </row>
    <row r="37" spans="1:8" ht="40.5" customHeight="1" x14ac:dyDescent="0.2">
      <c r="A37" s="582" t="s">
        <v>2858</v>
      </c>
      <c r="B37" s="583">
        <v>97624</v>
      </c>
      <c r="C37" s="583"/>
      <c r="D37" s="582" t="s">
        <v>2859</v>
      </c>
      <c r="E37" s="584" t="s">
        <v>1332</v>
      </c>
      <c r="F37" s="585">
        <v>114.22</v>
      </c>
      <c r="G37" s="831">
        <f t="shared" si="2"/>
        <v>114.22</v>
      </c>
      <c r="H37" s="585">
        <f t="shared" si="3"/>
        <v>141.97999999999999</v>
      </c>
    </row>
    <row r="38" spans="1:8" ht="40.5" customHeight="1" x14ac:dyDescent="0.2">
      <c r="A38" s="582" t="s">
        <v>2860</v>
      </c>
      <c r="B38" s="583">
        <v>97625</v>
      </c>
      <c r="C38" s="583"/>
      <c r="D38" s="582" t="s">
        <v>2861</v>
      </c>
      <c r="E38" s="584" t="s">
        <v>1332</v>
      </c>
      <c r="F38" s="585">
        <v>55.55</v>
      </c>
      <c r="G38" s="831">
        <f t="shared" si="2"/>
        <v>55.55</v>
      </c>
      <c r="H38" s="585">
        <f t="shared" si="3"/>
        <v>69.05</v>
      </c>
    </row>
    <row r="39" spans="1:8" ht="40.5" customHeight="1" x14ac:dyDescent="0.2">
      <c r="A39" s="582" t="s">
        <v>2862</v>
      </c>
      <c r="B39" s="583">
        <v>97626</v>
      </c>
      <c r="C39" s="583"/>
      <c r="D39" s="582" t="s">
        <v>2863</v>
      </c>
      <c r="E39" s="584" t="s">
        <v>1332</v>
      </c>
      <c r="F39" s="585">
        <v>610.57000000000005</v>
      </c>
      <c r="G39" s="831">
        <f t="shared" si="2"/>
        <v>610.57000000000005</v>
      </c>
      <c r="H39" s="585">
        <f t="shared" si="3"/>
        <v>758.99</v>
      </c>
    </row>
    <row r="40" spans="1:8" ht="40.5" customHeight="1" x14ac:dyDescent="0.2">
      <c r="A40" s="582" t="s">
        <v>2864</v>
      </c>
      <c r="B40" s="583">
        <v>97627</v>
      </c>
      <c r="C40" s="583"/>
      <c r="D40" s="582" t="s">
        <v>2865</v>
      </c>
      <c r="E40" s="584" t="s">
        <v>1332</v>
      </c>
      <c r="F40" s="585">
        <v>204.26</v>
      </c>
      <c r="G40" s="831">
        <f t="shared" si="2"/>
        <v>204.26</v>
      </c>
      <c r="H40" s="585">
        <f t="shared" si="3"/>
        <v>253.91</v>
      </c>
    </row>
    <row r="41" spans="1:8" ht="40.5" customHeight="1" x14ac:dyDescent="0.2">
      <c r="A41" s="582" t="s">
        <v>2866</v>
      </c>
      <c r="B41" s="583">
        <v>97628</v>
      </c>
      <c r="C41" s="583"/>
      <c r="D41" s="582" t="s">
        <v>2867</v>
      </c>
      <c r="E41" s="584" t="s">
        <v>1332</v>
      </c>
      <c r="F41" s="585">
        <v>284.36</v>
      </c>
      <c r="G41" s="831">
        <f t="shared" si="2"/>
        <v>284.36</v>
      </c>
      <c r="H41" s="585">
        <f t="shared" si="3"/>
        <v>353.48</v>
      </c>
    </row>
    <row r="42" spans="1:8" ht="40.5" customHeight="1" x14ac:dyDescent="0.2">
      <c r="A42" s="582" t="s">
        <v>2868</v>
      </c>
      <c r="B42" s="583">
        <v>97629</v>
      </c>
      <c r="C42" s="583"/>
      <c r="D42" s="582" t="s">
        <v>2869</v>
      </c>
      <c r="E42" s="584" t="s">
        <v>1332</v>
      </c>
      <c r="F42" s="585">
        <v>95.12</v>
      </c>
      <c r="G42" s="831">
        <f t="shared" si="2"/>
        <v>95.12</v>
      </c>
      <c r="H42" s="585">
        <f t="shared" si="3"/>
        <v>118.24</v>
      </c>
    </row>
    <row r="43" spans="1:8" ht="40.5" customHeight="1" x14ac:dyDescent="0.2">
      <c r="A43" s="582" t="s">
        <v>2870</v>
      </c>
      <c r="B43" s="583">
        <v>97631</v>
      </c>
      <c r="C43" s="583"/>
      <c r="D43" s="582" t="s">
        <v>2871</v>
      </c>
      <c r="E43" s="584" t="s">
        <v>1161</v>
      </c>
      <c r="F43" s="585">
        <v>12.35</v>
      </c>
      <c r="G43" s="831">
        <f t="shared" si="2"/>
        <v>12.35</v>
      </c>
      <c r="H43" s="585">
        <f t="shared" si="3"/>
        <v>15.35</v>
      </c>
    </row>
    <row r="44" spans="1:8" ht="40.5" customHeight="1" x14ac:dyDescent="0.2">
      <c r="A44" s="582" t="s">
        <v>2872</v>
      </c>
      <c r="B44" s="583">
        <v>97632</v>
      </c>
      <c r="C44" s="583"/>
      <c r="D44" s="582" t="s">
        <v>2873</v>
      </c>
      <c r="E44" s="584" t="s">
        <v>1191</v>
      </c>
      <c r="F44" s="585">
        <v>2.88</v>
      </c>
      <c r="G44" s="831">
        <f t="shared" si="2"/>
        <v>2.88</v>
      </c>
      <c r="H44" s="585">
        <f t="shared" si="3"/>
        <v>3.58</v>
      </c>
    </row>
    <row r="45" spans="1:8" ht="40.5" customHeight="1" x14ac:dyDescent="0.2">
      <c r="A45" s="582" t="s">
        <v>2874</v>
      </c>
      <c r="B45" s="583">
        <v>97633</v>
      </c>
      <c r="C45" s="583"/>
      <c r="D45" s="582" t="s">
        <v>2875</v>
      </c>
      <c r="E45" s="584" t="s">
        <v>1161</v>
      </c>
      <c r="F45" s="585">
        <v>25.13</v>
      </c>
      <c r="G45" s="831">
        <f t="shared" si="2"/>
        <v>25.13</v>
      </c>
      <c r="H45" s="585">
        <f t="shared" si="3"/>
        <v>31.23</v>
      </c>
    </row>
    <row r="46" spans="1:8" ht="40.5" customHeight="1" x14ac:dyDescent="0.2">
      <c r="A46" s="582" t="s">
        <v>2876</v>
      </c>
      <c r="B46" s="583">
        <v>97634</v>
      </c>
      <c r="C46" s="583"/>
      <c r="D46" s="582" t="s">
        <v>2877</v>
      </c>
      <c r="E46" s="584" t="s">
        <v>1161</v>
      </c>
      <c r="F46" s="585">
        <v>7.59</v>
      </c>
      <c r="G46" s="831">
        <f t="shared" si="2"/>
        <v>7.59</v>
      </c>
      <c r="H46" s="585">
        <f t="shared" si="3"/>
        <v>9.43</v>
      </c>
    </row>
    <row r="47" spans="1:8" ht="40.5" customHeight="1" x14ac:dyDescent="0.2">
      <c r="A47" s="582" t="s">
        <v>2878</v>
      </c>
      <c r="B47" s="583">
        <v>97635</v>
      </c>
      <c r="C47" s="583"/>
      <c r="D47" s="582" t="s">
        <v>2879</v>
      </c>
      <c r="E47" s="584" t="s">
        <v>1161</v>
      </c>
      <c r="F47" s="585">
        <v>16.32</v>
      </c>
      <c r="G47" s="831">
        <f t="shared" si="2"/>
        <v>16.32</v>
      </c>
      <c r="H47" s="585">
        <f t="shared" si="3"/>
        <v>20.28</v>
      </c>
    </row>
    <row r="48" spans="1:8" ht="40.5" customHeight="1" x14ac:dyDescent="0.2">
      <c r="A48" s="582" t="s">
        <v>2880</v>
      </c>
      <c r="B48" s="583">
        <v>97637</v>
      </c>
      <c r="C48" s="583"/>
      <c r="D48" s="582" t="s">
        <v>2881</v>
      </c>
      <c r="E48" s="584" t="s">
        <v>1161</v>
      </c>
      <c r="F48" s="585">
        <v>3.03</v>
      </c>
      <c r="G48" s="831">
        <f t="shared" si="2"/>
        <v>3.03</v>
      </c>
      <c r="H48" s="585">
        <f t="shared" si="3"/>
        <v>3.76</v>
      </c>
    </row>
    <row r="49" spans="1:8" ht="40.5" customHeight="1" x14ac:dyDescent="0.2">
      <c r="A49" s="582" t="s">
        <v>2882</v>
      </c>
      <c r="B49" s="583">
        <v>97638</v>
      </c>
      <c r="C49" s="583"/>
      <c r="D49" s="582" t="s">
        <v>2883</v>
      </c>
      <c r="E49" s="584" t="s">
        <v>1161</v>
      </c>
      <c r="F49" s="585">
        <v>8.83</v>
      </c>
      <c r="G49" s="831">
        <f t="shared" si="2"/>
        <v>8.83</v>
      </c>
      <c r="H49" s="585">
        <f t="shared" si="3"/>
        <v>10.97</v>
      </c>
    </row>
    <row r="50" spans="1:8" ht="40.5" customHeight="1" x14ac:dyDescent="0.2">
      <c r="A50" s="582" t="s">
        <v>2884</v>
      </c>
      <c r="B50" s="583">
        <v>97639</v>
      </c>
      <c r="C50" s="583"/>
      <c r="D50" s="582" t="s">
        <v>2885</v>
      </c>
      <c r="E50" s="584" t="s">
        <v>1161</v>
      </c>
      <c r="F50" s="585">
        <v>22.34</v>
      </c>
      <c r="G50" s="831">
        <f t="shared" si="2"/>
        <v>22.34</v>
      </c>
      <c r="H50" s="585">
        <f t="shared" si="3"/>
        <v>27.77</v>
      </c>
    </row>
    <row r="51" spans="1:8" ht="40.5" customHeight="1" x14ac:dyDescent="0.2">
      <c r="A51" s="582" t="s">
        <v>2886</v>
      </c>
      <c r="B51" s="583">
        <v>97641</v>
      </c>
      <c r="C51" s="583"/>
      <c r="D51" s="582" t="s">
        <v>2887</v>
      </c>
      <c r="E51" s="584" t="s">
        <v>1161</v>
      </c>
      <c r="F51" s="585">
        <v>3.21</v>
      </c>
      <c r="G51" s="831">
        <f t="shared" si="2"/>
        <v>3.21</v>
      </c>
      <c r="H51" s="585">
        <f t="shared" si="3"/>
        <v>3.99</v>
      </c>
    </row>
    <row r="52" spans="1:8" ht="40.5" customHeight="1" x14ac:dyDescent="0.2">
      <c r="A52" s="582" t="s">
        <v>2888</v>
      </c>
      <c r="B52" s="583">
        <v>97642</v>
      </c>
      <c r="C52" s="583"/>
      <c r="D52" s="582" t="s">
        <v>2889</v>
      </c>
      <c r="E52" s="584" t="s">
        <v>1161</v>
      </c>
      <c r="F52" s="585">
        <v>2.95</v>
      </c>
      <c r="G52" s="831">
        <f t="shared" si="2"/>
        <v>2.95</v>
      </c>
      <c r="H52" s="585">
        <f t="shared" si="3"/>
        <v>3.66</v>
      </c>
    </row>
    <row r="53" spans="1:8" ht="40.5" customHeight="1" x14ac:dyDescent="0.2">
      <c r="A53" s="582" t="s">
        <v>2890</v>
      </c>
      <c r="B53" s="583">
        <v>97643</v>
      </c>
      <c r="C53" s="583"/>
      <c r="D53" s="582" t="s">
        <v>2891</v>
      </c>
      <c r="E53" s="584" t="s">
        <v>1161</v>
      </c>
      <c r="F53" s="585">
        <v>27.38</v>
      </c>
      <c r="G53" s="831">
        <f t="shared" si="2"/>
        <v>27.38</v>
      </c>
      <c r="H53" s="585">
        <f t="shared" si="3"/>
        <v>34.03</v>
      </c>
    </row>
    <row r="54" spans="1:8" ht="40.5" customHeight="1" x14ac:dyDescent="0.2">
      <c r="A54" s="582" t="s">
        <v>2892</v>
      </c>
      <c r="B54" s="583">
        <v>97644</v>
      </c>
      <c r="C54" s="583"/>
      <c r="D54" s="582" t="s">
        <v>2893</v>
      </c>
      <c r="E54" s="584" t="s">
        <v>1161</v>
      </c>
      <c r="F54" s="585">
        <v>10.35</v>
      </c>
      <c r="G54" s="831">
        <f t="shared" si="2"/>
        <v>10.35</v>
      </c>
      <c r="H54" s="585">
        <f t="shared" si="3"/>
        <v>12.86</v>
      </c>
    </row>
    <row r="55" spans="1:8" ht="40.5" customHeight="1" x14ac:dyDescent="0.2">
      <c r="A55" s="582" t="s">
        <v>2894</v>
      </c>
      <c r="B55" s="583">
        <v>97645</v>
      </c>
      <c r="C55" s="583"/>
      <c r="D55" s="582" t="s">
        <v>2895</v>
      </c>
      <c r="E55" s="584" t="s">
        <v>1161</v>
      </c>
      <c r="F55" s="585">
        <v>26.72</v>
      </c>
      <c r="G55" s="831">
        <f t="shared" si="2"/>
        <v>26.72</v>
      </c>
      <c r="H55" s="585">
        <f t="shared" si="3"/>
        <v>33.21</v>
      </c>
    </row>
    <row r="56" spans="1:8" ht="40.5" customHeight="1" x14ac:dyDescent="0.2">
      <c r="A56" s="582" t="s">
        <v>2896</v>
      </c>
      <c r="B56" s="583">
        <v>97647</v>
      </c>
      <c r="C56" s="583"/>
      <c r="D56" s="582" t="s">
        <v>2897</v>
      </c>
      <c r="E56" s="584" t="s">
        <v>1161</v>
      </c>
      <c r="F56" s="585">
        <v>3.85</v>
      </c>
      <c r="G56" s="831">
        <f t="shared" si="2"/>
        <v>3.85</v>
      </c>
      <c r="H56" s="585">
        <f t="shared" si="3"/>
        <v>4.78</v>
      </c>
    </row>
    <row r="57" spans="1:8" ht="40.5" customHeight="1" x14ac:dyDescent="0.2">
      <c r="A57" s="582" t="s">
        <v>2898</v>
      </c>
      <c r="B57" s="583">
        <v>97648</v>
      </c>
      <c r="C57" s="583"/>
      <c r="D57" s="582" t="s">
        <v>2899</v>
      </c>
      <c r="E57" s="584" t="s">
        <v>1161</v>
      </c>
      <c r="F57" s="585">
        <v>2.21</v>
      </c>
      <c r="G57" s="831">
        <f t="shared" si="2"/>
        <v>2.21</v>
      </c>
      <c r="H57" s="585">
        <f t="shared" si="3"/>
        <v>2.74</v>
      </c>
    </row>
    <row r="58" spans="1:8" ht="40.5" customHeight="1" x14ac:dyDescent="0.2">
      <c r="A58" s="582" t="s">
        <v>2900</v>
      </c>
      <c r="B58" s="583">
        <v>97649</v>
      </c>
      <c r="C58" s="583"/>
      <c r="D58" s="582" t="s">
        <v>2901</v>
      </c>
      <c r="E58" s="584" t="s">
        <v>1161</v>
      </c>
      <c r="F58" s="585">
        <v>4.8600000000000003</v>
      </c>
      <c r="G58" s="831">
        <f t="shared" si="2"/>
        <v>4.8600000000000003</v>
      </c>
      <c r="H58" s="585">
        <f t="shared" si="3"/>
        <v>6.04</v>
      </c>
    </row>
    <row r="59" spans="1:8" ht="40.5" customHeight="1" x14ac:dyDescent="0.2">
      <c r="A59" s="582" t="s">
        <v>2902</v>
      </c>
      <c r="B59" s="583">
        <v>97650</v>
      </c>
      <c r="C59" s="583"/>
      <c r="D59" s="582" t="s">
        <v>2903</v>
      </c>
      <c r="E59" s="584" t="s">
        <v>1161</v>
      </c>
      <c r="F59" s="585">
        <v>8.3000000000000007</v>
      </c>
      <c r="G59" s="831">
        <f t="shared" si="2"/>
        <v>8.3000000000000007</v>
      </c>
      <c r="H59" s="585">
        <f t="shared" si="3"/>
        <v>10.31</v>
      </c>
    </row>
    <row r="60" spans="1:8" ht="40.5" customHeight="1" x14ac:dyDescent="0.2">
      <c r="A60" s="582" t="s">
        <v>2904</v>
      </c>
      <c r="B60" s="583">
        <v>97651</v>
      </c>
      <c r="C60" s="583"/>
      <c r="D60" s="582" t="s">
        <v>2905</v>
      </c>
      <c r="E60" s="584" t="s">
        <v>646</v>
      </c>
      <c r="F60" s="585">
        <v>90.41</v>
      </c>
      <c r="G60" s="831">
        <f t="shared" si="2"/>
        <v>90.41</v>
      </c>
      <c r="H60" s="585">
        <f t="shared" si="3"/>
        <v>112.38</v>
      </c>
    </row>
    <row r="61" spans="1:8" ht="40.5" customHeight="1" x14ac:dyDescent="0.2">
      <c r="A61" s="582" t="s">
        <v>2906</v>
      </c>
      <c r="B61" s="583">
        <v>97652</v>
      </c>
      <c r="C61" s="583"/>
      <c r="D61" s="582" t="s">
        <v>2907</v>
      </c>
      <c r="E61" s="584" t="s">
        <v>646</v>
      </c>
      <c r="F61" s="585">
        <v>204.97</v>
      </c>
      <c r="G61" s="831">
        <f t="shared" si="2"/>
        <v>204.97</v>
      </c>
      <c r="H61" s="585">
        <f t="shared" si="3"/>
        <v>254.79</v>
      </c>
    </row>
    <row r="62" spans="1:8" ht="40.5" customHeight="1" x14ac:dyDescent="0.2">
      <c r="A62" s="582" t="s">
        <v>2908</v>
      </c>
      <c r="B62" s="583">
        <v>97653</v>
      </c>
      <c r="C62" s="583"/>
      <c r="D62" s="582" t="s">
        <v>2909</v>
      </c>
      <c r="E62" s="584" t="s">
        <v>646</v>
      </c>
      <c r="F62" s="585">
        <v>149.74</v>
      </c>
      <c r="G62" s="831">
        <f t="shared" si="2"/>
        <v>149.74</v>
      </c>
      <c r="H62" s="585">
        <f t="shared" si="3"/>
        <v>186.14</v>
      </c>
    </row>
    <row r="63" spans="1:8" ht="40.5" customHeight="1" x14ac:dyDescent="0.2">
      <c r="A63" s="582" t="s">
        <v>2910</v>
      </c>
      <c r="B63" s="583">
        <v>97654</v>
      </c>
      <c r="C63" s="583"/>
      <c r="D63" s="582" t="s">
        <v>2911</v>
      </c>
      <c r="E63" s="584" t="s">
        <v>646</v>
      </c>
      <c r="F63" s="585">
        <v>187.23</v>
      </c>
      <c r="G63" s="831">
        <f t="shared" si="2"/>
        <v>187.23</v>
      </c>
      <c r="H63" s="585">
        <f t="shared" si="3"/>
        <v>232.74</v>
      </c>
    </row>
    <row r="64" spans="1:8" ht="40.5" customHeight="1" x14ac:dyDescent="0.2">
      <c r="A64" s="582" t="s">
        <v>2912</v>
      </c>
      <c r="B64" s="583">
        <v>97655</v>
      </c>
      <c r="C64" s="583"/>
      <c r="D64" s="582" t="s">
        <v>2913</v>
      </c>
      <c r="E64" s="584" t="s">
        <v>1161</v>
      </c>
      <c r="F64" s="585">
        <v>34.26</v>
      </c>
      <c r="G64" s="831">
        <f t="shared" si="2"/>
        <v>34.26</v>
      </c>
      <c r="H64" s="585">
        <f t="shared" si="3"/>
        <v>42.58</v>
      </c>
    </row>
    <row r="65" spans="1:8" ht="40.5" customHeight="1" x14ac:dyDescent="0.2">
      <c r="A65" s="582" t="s">
        <v>2914</v>
      </c>
      <c r="B65" s="583">
        <v>97656</v>
      </c>
      <c r="C65" s="583"/>
      <c r="D65" s="582" t="s">
        <v>2915</v>
      </c>
      <c r="E65" s="584" t="s">
        <v>646</v>
      </c>
      <c r="F65" s="585">
        <v>319.01</v>
      </c>
      <c r="G65" s="831">
        <f t="shared" si="2"/>
        <v>319.01</v>
      </c>
      <c r="H65" s="585">
        <f t="shared" si="3"/>
        <v>396.56</v>
      </c>
    </row>
    <row r="66" spans="1:8" ht="40.5" customHeight="1" x14ac:dyDescent="0.2">
      <c r="A66" s="582" t="s">
        <v>2916</v>
      </c>
      <c r="B66" s="583">
        <v>97657</v>
      </c>
      <c r="C66" s="583"/>
      <c r="D66" s="582" t="s">
        <v>2917</v>
      </c>
      <c r="E66" s="584" t="s">
        <v>646</v>
      </c>
      <c r="F66" s="585">
        <v>632.30999999999995</v>
      </c>
      <c r="G66" s="831">
        <f t="shared" si="2"/>
        <v>632.30999999999995</v>
      </c>
      <c r="H66" s="585">
        <f t="shared" si="3"/>
        <v>786.02</v>
      </c>
    </row>
    <row r="67" spans="1:8" ht="40.5" customHeight="1" x14ac:dyDescent="0.2">
      <c r="A67" s="582" t="s">
        <v>2918</v>
      </c>
      <c r="B67" s="583">
        <v>97658</v>
      </c>
      <c r="C67" s="583"/>
      <c r="D67" s="582" t="s">
        <v>2919</v>
      </c>
      <c r="E67" s="584" t="s">
        <v>646</v>
      </c>
      <c r="F67" s="585">
        <v>224.04</v>
      </c>
      <c r="G67" s="831">
        <f t="shared" si="2"/>
        <v>224.04</v>
      </c>
      <c r="H67" s="585">
        <f t="shared" si="3"/>
        <v>278.5</v>
      </c>
    </row>
    <row r="68" spans="1:8" ht="40.5" customHeight="1" x14ac:dyDescent="0.2">
      <c r="A68" s="582" t="s">
        <v>2920</v>
      </c>
      <c r="B68" s="583">
        <v>97659</v>
      </c>
      <c r="C68" s="583"/>
      <c r="D68" s="582" t="s">
        <v>2921</v>
      </c>
      <c r="E68" s="584" t="s">
        <v>646</v>
      </c>
      <c r="F68" s="585">
        <v>307.74</v>
      </c>
      <c r="G68" s="831">
        <f t="shared" si="2"/>
        <v>307.74</v>
      </c>
      <c r="H68" s="585">
        <f t="shared" ref="H68:H99" si="4">TRUNC((F68*($H$11))*(1+$H$8),2)</f>
        <v>382.55</v>
      </c>
    </row>
    <row r="69" spans="1:8" ht="40.5" customHeight="1" x14ac:dyDescent="0.2">
      <c r="A69" s="582" t="s">
        <v>2922</v>
      </c>
      <c r="B69" s="583">
        <v>97660</v>
      </c>
      <c r="C69" s="583"/>
      <c r="D69" s="582" t="s">
        <v>2923</v>
      </c>
      <c r="E69" s="584" t="s">
        <v>646</v>
      </c>
      <c r="F69" s="585">
        <v>0.72</v>
      </c>
      <c r="G69" s="831">
        <f t="shared" si="2"/>
        <v>0.72</v>
      </c>
      <c r="H69" s="585">
        <f t="shared" si="4"/>
        <v>0.89</v>
      </c>
    </row>
    <row r="70" spans="1:8" ht="40.5" customHeight="1" x14ac:dyDescent="0.2">
      <c r="A70" s="582" t="s">
        <v>2924</v>
      </c>
      <c r="B70" s="583">
        <v>97661</v>
      </c>
      <c r="C70" s="583"/>
      <c r="D70" s="582" t="s">
        <v>2925</v>
      </c>
      <c r="E70" s="584" t="s">
        <v>1191</v>
      </c>
      <c r="F70" s="585">
        <v>0.77</v>
      </c>
      <c r="G70" s="831">
        <f t="shared" si="2"/>
        <v>0.77</v>
      </c>
      <c r="H70" s="585">
        <f t="shared" si="4"/>
        <v>0.95</v>
      </c>
    </row>
    <row r="71" spans="1:8" ht="40.5" customHeight="1" x14ac:dyDescent="0.2">
      <c r="A71" s="582" t="s">
        <v>2926</v>
      </c>
      <c r="B71" s="583">
        <v>97662</v>
      </c>
      <c r="C71" s="583"/>
      <c r="D71" s="582" t="s">
        <v>2927</v>
      </c>
      <c r="E71" s="584" t="s">
        <v>1191</v>
      </c>
      <c r="F71" s="585">
        <v>0.54</v>
      </c>
      <c r="G71" s="831">
        <f t="shared" si="2"/>
        <v>0.54</v>
      </c>
      <c r="H71" s="585">
        <f t="shared" si="4"/>
        <v>0.67</v>
      </c>
    </row>
    <row r="72" spans="1:8" ht="40.5" customHeight="1" x14ac:dyDescent="0.2">
      <c r="A72" s="582" t="s">
        <v>2928</v>
      </c>
      <c r="B72" s="583">
        <v>97663</v>
      </c>
      <c r="C72" s="583"/>
      <c r="D72" s="582" t="s">
        <v>2929</v>
      </c>
      <c r="E72" s="584" t="s">
        <v>646</v>
      </c>
      <c r="F72" s="585">
        <v>13.68</v>
      </c>
      <c r="G72" s="831">
        <f t="shared" si="2"/>
        <v>13.68</v>
      </c>
      <c r="H72" s="585">
        <f t="shared" si="4"/>
        <v>17</v>
      </c>
    </row>
    <row r="73" spans="1:8" ht="40.5" customHeight="1" x14ac:dyDescent="0.2">
      <c r="A73" s="582" t="s">
        <v>2930</v>
      </c>
      <c r="B73" s="583">
        <v>97664</v>
      </c>
      <c r="C73" s="583"/>
      <c r="D73" s="582" t="s">
        <v>2931</v>
      </c>
      <c r="E73" s="584" t="s">
        <v>646</v>
      </c>
      <c r="F73" s="585">
        <v>1.7</v>
      </c>
      <c r="G73" s="831">
        <f t="shared" si="2"/>
        <v>1.7</v>
      </c>
      <c r="H73" s="585">
        <f t="shared" si="4"/>
        <v>2.11</v>
      </c>
    </row>
    <row r="74" spans="1:8" ht="40.5" customHeight="1" x14ac:dyDescent="0.2">
      <c r="A74" s="582" t="s">
        <v>2932</v>
      </c>
      <c r="B74" s="583">
        <v>97665</v>
      </c>
      <c r="C74" s="583"/>
      <c r="D74" s="582" t="s">
        <v>2933</v>
      </c>
      <c r="E74" s="584" t="s">
        <v>646</v>
      </c>
      <c r="F74" s="585">
        <v>1.95</v>
      </c>
      <c r="G74" s="831">
        <f t="shared" si="2"/>
        <v>1.95</v>
      </c>
      <c r="H74" s="585">
        <f t="shared" si="4"/>
        <v>2.42</v>
      </c>
    </row>
    <row r="75" spans="1:8" ht="40.5" customHeight="1" x14ac:dyDescent="0.2">
      <c r="A75" s="582" t="s">
        <v>2934</v>
      </c>
      <c r="B75" s="583">
        <v>97666</v>
      </c>
      <c r="C75" s="583"/>
      <c r="D75" s="582" t="s">
        <v>2935</v>
      </c>
      <c r="E75" s="584" t="s">
        <v>646</v>
      </c>
      <c r="F75" s="585">
        <v>9.9700000000000006</v>
      </c>
      <c r="G75" s="831">
        <f t="shared" si="2"/>
        <v>9.9700000000000006</v>
      </c>
      <c r="H75" s="585">
        <f t="shared" si="4"/>
        <v>12.39</v>
      </c>
    </row>
    <row r="76" spans="1:8" ht="40.5" customHeight="1" x14ac:dyDescent="0.2">
      <c r="A76" s="582" t="s">
        <v>2936</v>
      </c>
      <c r="B76" s="583">
        <v>102190</v>
      </c>
      <c r="C76" s="583"/>
      <c r="D76" s="582" t="s">
        <v>2937</v>
      </c>
      <c r="E76" s="584" t="s">
        <v>1161</v>
      </c>
      <c r="F76" s="585">
        <v>18.86</v>
      </c>
      <c r="G76" s="831">
        <f t="shared" si="2"/>
        <v>18.86</v>
      </c>
      <c r="H76" s="585">
        <f t="shared" si="4"/>
        <v>23.44</v>
      </c>
    </row>
    <row r="77" spans="1:8" ht="40.5" customHeight="1" x14ac:dyDescent="0.2">
      <c r="A77" s="582" t="s">
        <v>2938</v>
      </c>
      <c r="B77" s="583">
        <v>102191</v>
      </c>
      <c r="C77" s="583"/>
      <c r="D77" s="582" t="s">
        <v>2939</v>
      </c>
      <c r="E77" s="584" t="s">
        <v>1161</v>
      </c>
      <c r="F77" s="585">
        <v>22.92</v>
      </c>
      <c r="G77" s="831">
        <f t="shared" si="2"/>
        <v>22.92</v>
      </c>
      <c r="H77" s="585">
        <f t="shared" si="4"/>
        <v>28.49</v>
      </c>
    </row>
    <row r="78" spans="1:8" ht="40.5" customHeight="1" x14ac:dyDescent="0.2">
      <c r="A78" s="582" t="s">
        <v>2940</v>
      </c>
      <c r="B78" s="583">
        <v>102192</v>
      </c>
      <c r="C78" s="583"/>
      <c r="D78" s="582" t="s">
        <v>2941</v>
      </c>
      <c r="E78" s="584" t="s">
        <v>1161</v>
      </c>
      <c r="F78" s="585">
        <v>16.36</v>
      </c>
      <c r="G78" s="831">
        <f t="shared" si="2"/>
        <v>16.36</v>
      </c>
      <c r="H78" s="585">
        <f t="shared" si="4"/>
        <v>20.329999999999998</v>
      </c>
    </row>
    <row r="79" spans="1:8" ht="40.5" customHeight="1" x14ac:dyDescent="0.2">
      <c r="A79" s="582" t="s">
        <v>2942</v>
      </c>
      <c r="B79" s="583">
        <v>104789</v>
      </c>
      <c r="C79" s="583"/>
      <c r="D79" s="582" t="s">
        <v>2943</v>
      </c>
      <c r="E79" s="584" t="s">
        <v>1332</v>
      </c>
      <c r="F79" s="585">
        <v>213.81</v>
      </c>
      <c r="G79" s="831">
        <f t="shared" si="2"/>
        <v>213.81</v>
      </c>
      <c r="H79" s="585">
        <f t="shared" si="4"/>
        <v>265.77999999999997</v>
      </c>
    </row>
    <row r="80" spans="1:8" ht="40.5" customHeight="1" x14ac:dyDescent="0.2">
      <c r="A80" s="582" t="s">
        <v>2944</v>
      </c>
      <c r="B80" s="583">
        <v>104790</v>
      </c>
      <c r="C80" s="583"/>
      <c r="D80" s="582" t="s">
        <v>2945</v>
      </c>
      <c r="E80" s="584" t="s">
        <v>1332</v>
      </c>
      <c r="F80" s="585">
        <v>117.43</v>
      </c>
      <c r="G80" s="831">
        <f t="shared" si="2"/>
        <v>117.43</v>
      </c>
      <c r="H80" s="585">
        <f t="shared" si="4"/>
        <v>145.97</v>
      </c>
    </row>
    <row r="81" spans="1:8" ht="40.5" customHeight="1" x14ac:dyDescent="0.2">
      <c r="A81" s="582" t="s">
        <v>2946</v>
      </c>
      <c r="B81" s="583" t="s">
        <v>2947</v>
      </c>
      <c r="C81" s="583"/>
      <c r="D81" s="582" t="s">
        <v>2948</v>
      </c>
      <c r="E81" s="584" t="s">
        <v>1161</v>
      </c>
      <c r="F81" s="585">
        <v>25.76</v>
      </c>
      <c r="G81" s="831">
        <f t="shared" si="2"/>
        <v>25.76</v>
      </c>
      <c r="H81" s="585">
        <f t="shared" si="4"/>
        <v>32.020000000000003</v>
      </c>
    </row>
    <row r="82" spans="1:8" ht="40.5" customHeight="1" x14ac:dyDescent="0.2">
      <c r="A82" s="582" t="s">
        <v>2949</v>
      </c>
      <c r="B82" s="583" t="s">
        <v>2950</v>
      </c>
      <c r="C82" s="583"/>
      <c r="D82" s="582" t="s">
        <v>2951</v>
      </c>
      <c r="E82" s="584" t="s">
        <v>1161</v>
      </c>
      <c r="F82" s="585">
        <v>25.76</v>
      </c>
      <c r="G82" s="831">
        <f t="shared" si="2"/>
        <v>25.76</v>
      </c>
      <c r="H82" s="585">
        <f t="shared" si="4"/>
        <v>32.020000000000003</v>
      </c>
    </row>
    <row r="83" spans="1:8" ht="40.5" customHeight="1" x14ac:dyDescent="0.2">
      <c r="A83" s="582" t="s">
        <v>2952</v>
      </c>
      <c r="B83" s="583" t="s">
        <v>2953</v>
      </c>
      <c r="C83" s="583"/>
      <c r="D83" s="582" t="s">
        <v>2954</v>
      </c>
      <c r="E83" s="584" t="s">
        <v>1161</v>
      </c>
      <c r="F83" s="585">
        <v>30.9</v>
      </c>
      <c r="G83" s="831">
        <f t="shared" si="2"/>
        <v>30.9</v>
      </c>
      <c r="H83" s="585">
        <f t="shared" si="4"/>
        <v>38.409999999999997</v>
      </c>
    </row>
    <row r="84" spans="1:8" ht="40.5" customHeight="1" x14ac:dyDescent="0.2">
      <c r="A84" s="582" t="s">
        <v>2955</v>
      </c>
      <c r="B84" s="583" t="s">
        <v>2956</v>
      </c>
      <c r="C84" s="583"/>
      <c r="D84" s="582" t="s">
        <v>2957</v>
      </c>
      <c r="E84" s="584" t="s">
        <v>1161</v>
      </c>
      <c r="F84" s="585">
        <v>15.45</v>
      </c>
      <c r="G84" s="831">
        <f t="shared" si="2"/>
        <v>15.45</v>
      </c>
      <c r="H84" s="585">
        <f t="shared" si="4"/>
        <v>19.2</v>
      </c>
    </row>
    <row r="85" spans="1:8" ht="40.5" customHeight="1" x14ac:dyDescent="0.2">
      <c r="A85" s="582" t="s">
        <v>2958</v>
      </c>
      <c r="B85" s="583" t="s">
        <v>2959</v>
      </c>
      <c r="C85" s="583"/>
      <c r="D85" s="582" t="s">
        <v>2960</v>
      </c>
      <c r="E85" s="584" t="s">
        <v>1161</v>
      </c>
      <c r="F85" s="585">
        <v>30.9</v>
      </c>
      <c r="G85" s="831">
        <f t="shared" si="2"/>
        <v>30.9</v>
      </c>
      <c r="H85" s="585">
        <f t="shared" si="4"/>
        <v>38.409999999999997</v>
      </c>
    </row>
    <row r="86" spans="1:8" ht="40.5" customHeight="1" x14ac:dyDescent="0.2">
      <c r="A86" s="582" t="s">
        <v>2961</v>
      </c>
      <c r="B86" s="583" t="s">
        <v>2962</v>
      </c>
      <c r="C86" s="583"/>
      <c r="D86" s="582" t="s">
        <v>2963</v>
      </c>
      <c r="E86" s="584" t="s">
        <v>1161</v>
      </c>
      <c r="F86" s="585">
        <v>20.6</v>
      </c>
      <c r="G86" s="831">
        <f t="shared" si="2"/>
        <v>20.6</v>
      </c>
      <c r="H86" s="585">
        <f t="shared" si="4"/>
        <v>25.6</v>
      </c>
    </row>
    <row r="87" spans="1:8" ht="40.5" customHeight="1" x14ac:dyDescent="0.2">
      <c r="A87" s="582" t="s">
        <v>2964</v>
      </c>
      <c r="B87" s="583" t="s">
        <v>2965</v>
      </c>
      <c r="C87" s="583"/>
      <c r="D87" s="582" t="s">
        <v>2966</v>
      </c>
      <c r="E87" s="584" t="s">
        <v>1161</v>
      </c>
      <c r="F87" s="585">
        <v>30.9</v>
      </c>
      <c r="G87" s="831">
        <f t="shared" si="2"/>
        <v>30.9</v>
      </c>
      <c r="H87" s="585">
        <f t="shared" si="4"/>
        <v>38.409999999999997</v>
      </c>
    </row>
    <row r="88" spans="1:8" ht="40.5" customHeight="1" x14ac:dyDescent="0.2">
      <c r="A88" s="582" t="s">
        <v>2967</v>
      </c>
      <c r="B88" s="583" t="s">
        <v>2968</v>
      </c>
      <c r="C88" s="583"/>
      <c r="D88" s="582" t="s">
        <v>2969</v>
      </c>
      <c r="E88" s="584" t="s">
        <v>1161</v>
      </c>
      <c r="F88" s="585">
        <v>10.29</v>
      </c>
      <c r="G88" s="831">
        <f t="shared" si="2"/>
        <v>10.29</v>
      </c>
      <c r="H88" s="585">
        <f t="shared" si="4"/>
        <v>12.79</v>
      </c>
    </row>
    <row r="89" spans="1:8" ht="40.5" customHeight="1" x14ac:dyDescent="0.2">
      <c r="A89" s="582" t="s">
        <v>2970</v>
      </c>
      <c r="B89" s="583" t="s">
        <v>2971</v>
      </c>
      <c r="C89" s="583"/>
      <c r="D89" s="582" t="s">
        <v>2972</v>
      </c>
      <c r="E89" s="584" t="s">
        <v>1161</v>
      </c>
      <c r="F89" s="585">
        <v>18.27</v>
      </c>
      <c r="G89" s="831">
        <f t="shared" si="2"/>
        <v>18.27</v>
      </c>
      <c r="H89" s="585">
        <f t="shared" si="4"/>
        <v>22.71</v>
      </c>
    </row>
    <row r="90" spans="1:8" ht="40.5" customHeight="1" x14ac:dyDescent="0.2">
      <c r="A90" s="582" t="s">
        <v>2973</v>
      </c>
      <c r="B90" s="583" t="s">
        <v>2974</v>
      </c>
      <c r="C90" s="583"/>
      <c r="D90" s="582" t="s">
        <v>2975</v>
      </c>
      <c r="E90" s="584" t="s">
        <v>1161</v>
      </c>
      <c r="F90" s="585">
        <v>10.29</v>
      </c>
      <c r="G90" s="831">
        <f t="shared" si="2"/>
        <v>10.29</v>
      </c>
      <c r="H90" s="585">
        <f t="shared" si="4"/>
        <v>12.79</v>
      </c>
    </row>
    <row r="91" spans="1:8" ht="40.5" customHeight="1" x14ac:dyDescent="0.2">
      <c r="A91" s="582" t="s">
        <v>2976</v>
      </c>
      <c r="B91" s="583" t="s">
        <v>2977</v>
      </c>
      <c r="C91" s="583"/>
      <c r="D91" s="582" t="s">
        <v>2978</v>
      </c>
      <c r="E91" s="584" t="s">
        <v>1161</v>
      </c>
      <c r="F91" s="585">
        <v>52.68</v>
      </c>
      <c r="G91" s="831">
        <f t="shared" si="2"/>
        <v>52.68</v>
      </c>
      <c r="H91" s="585">
        <f t="shared" si="4"/>
        <v>65.48</v>
      </c>
    </row>
    <row r="92" spans="1:8" ht="40.5" customHeight="1" x14ac:dyDescent="0.2">
      <c r="A92" s="582" t="s">
        <v>2979</v>
      </c>
      <c r="B92" s="583" t="s">
        <v>2980</v>
      </c>
      <c r="C92" s="583"/>
      <c r="D92" s="582" t="s">
        <v>2981</v>
      </c>
      <c r="E92" s="584" t="s">
        <v>1191</v>
      </c>
      <c r="F92" s="585">
        <v>3.08</v>
      </c>
      <c r="G92" s="831">
        <f t="shared" si="2"/>
        <v>3.08</v>
      </c>
      <c r="H92" s="585">
        <f t="shared" si="4"/>
        <v>3.82</v>
      </c>
    </row>
    <row r="93" spans="1:8" ht="40.5" customHeight="1" x14ac:dyDescent="0.2">
      <c r="A93" s="582" t="s">
        <v>2982</v>
      </c>
      <c r="B93" s="583" t="s">
        <v>2983</v>
      </c>
      <c r="C93" s="583"/>
      <c r="D93" s="582" t="s">
        <v>2984</v>
      </c>
      <c r="E93" s="584" t="s">
        <v>1191</v>
      </c>
      <c r="F93" s="585">
        <v>3.08</v>
      </c>
      <c r="G93" s="831">
        <f t="shared" si="2"/>
        <v>3.08</v>
      </c>
      <c r="H93" s="585">
        <f t="shared" si="4"/>
        <v>3.82</v>
      </c>
    </row>
    <row r="94" spans="1:8" ht="40.5" customHeight="1" x14ac:dyDescent="0.2">
      <c r="A94" s="582" t="s">
        <v>2985</v>
      </c>
      <c r="B94" s="583" t="s">
        <v>2986</v>
      </c>
      <c r="C94" s="583"/>
      <c r="D94" s="582" t="s">
        <v>2987</v>
      </c>
      <c r="E94" s="584" t="s">
        <v>1161</v>
      </c>
      <c r="F94" s="585">
        <v>39.64</v>
      </c>
      <c r="G94" s="831">
        <f t="shared" si="2"/>
        <v>39.64</v>
      </c>
      <c r="H94" s="585">
        <f t="shared" si="4"/>
        <v>49.27</v>
      </c>
    </row>
    <row r="95" spans="1:8" ht="40.5" customHeight="1" x14ac:dyDescent="0.2">
      <c r="A95" s="582" t="s">
        <v>2988</v>
      </c>
      <c r="B95" s="583" t="s">
        <v>2989</v>
      </c>
      <c r="C95" s="583"/>
      <c r="D95" s="582" t="s">
        <v>2990</v>
      </c>
      <c r="E95" s="584" t="s">
        <v>1161</v>
      </c>
      <c r="F95" s="585">
        <v>39.64</v>
      </c>
      <c r="G95" s="831">
        <f t="shared" si="2"/>
        <v>39.64</v>
      </c>
      <c r="H95" s="585">
        <f t="shared" si="4"/>
        <v>49.27</v>
      </c>
    </row>
    <row r="96" spans="1:8" ht="40.5" customHeight="1" x14ac:dyDescent="0.2">
      <c r="A96" s="582" t="s">
        <v>2991</v>
      </c>
      <c r="B96" s="583" t="s">
        <v>2992</v>
      </c>
      <c r="C96" s="583"/>
      <c r="D96" s="582" t="s">
        <v>2993</v>
      </c>
      <c r="E96" s="584" t="s">
        <v>1161</v>
      </c>
      <c r="F96" s="585">
        <v>21.89</v>
      </c>
      <c r="G96" s="831">
        <f t="shared" si="2"/>
        <v>21.89</v>
      </c>
      <c r="H96" s="585">
        <f t="shared" si="4"/>
        <v>27.21</v>
      </c>
    </row>
    <row r="97" spans="1:8" ht="40.5" customHeight="1" x14ac:dyDescent="0.2">
      <c r="A97" s="582" t="s">
        <v>2994</v>
      </c>
      <c r="B97" s="583" t="s">
        <v>2995</v>
      </c>
      <c r="C97" s="583"/>
      <c r="D97" s="582" t="s">
        <v>2996</v>
      </c>
      <c r="E97" s="584" t="s">
        <v>1161</v>
      </c>
      <c r="F97" s="585">
        <v>59.23</v>
      </c>
      <c r="G97" s="831">
        <f t="shared" si="2"/>
        <v>59.23</v>
      </c>
      <c r="H97" s="585">
        <f t="shared" si="4"/>
        <v>73.62</v>
      </c>
    </row>
    <row r="98" spans="1:8" ht="40.5" customHeight="1" x14ac:dyDescent="0.2">
      <c r="A98" s="582" t="s">
        <v>2997</v>
      </c>
      <c r="B98" s="583" t="s">
        <v>2998</v>
      </c>
      <c r="C98" s="583"/>
      <c r="D98" s="582" t="s">
        <v>2999</v>
      </c>
      <c r="E98" s="584" t="s">
        <v>1161</v>
      </c>
      <c r="F98" s="585">
        <v>21.89</v>
      </c>
      <c r="G98" s="831">
        <f t="shared" si="2"/>
        <v>21.89</v>
      </c>
      <c r="H98" s="585">
        <f t="shared" si="4"/>
        <v>27.21</v>
      </c>
    </row>
    <row r="99" spans="1:8" ht="40.5" customHeight="1" x14ac:dyDescent="0.2">
      <c r="A99" s="582" t="s">
        <v>3000</v>
      </c>
      <c r="B99" s="583" t="s">
        <v>3001</v>
      </c>
      <c r="C99" s="583"/>
      <c r="D99" s="582" t="s">
        <v>3002</v>
      </c>
      <c r="E99" s="584" t="s">
        <v>1161</v>
      </c>
      <c r="F99" s="585">
        <v>21.89</v>
      </c>
      <c r="G99" s="831">
        <f t="shared" si="2"/>
        <v>21.89</v>
      </c>
      <c r="H99" s="585">
        <f t="shared" si="4"/>
        <v>27.21</v>
      </c>
    </row>
    <row r="100" spans="1:8" ht="40.5" customHeight="1" x14ac:dyDescent="0.2">
      <c r="A100" s="582" t="s">
        <v>3003</v>
      </c>
      <c r="B100" s="583" t="s">
        <v>3004</v>
      </c>
      <c r="C100" s="583"/>
      <c r="D100" s="582" t="s">
        <v>3005</v>
      </c>
      <c r="E100" s="584" t="s">
        <v>646</v>
      </c>
      <c r="F100" s="585">
        <v>14.28</v>
      </c>
      <c r="G100" s="831">
        <f t="shared" ref="G100:G118" si="5">(F100*($H$11))</f>
        <v>14.28</v>
      </c>
      <c r="H100" s="585">
        <f t="shared" ref="H100:H118" si="6">TRUNC((F100*($H$11))*(1+$H$8),2)</f>
        <v>17.75</v>
      </c>
    </row>
    <row r="101" spans="1:8" ht="40.5" customHeight="1" x14ac:dyDescent="0.2">
      <c r="A101" s="582" t="s">
        <v>3006</v>
      </c>
      <c r="B101" s="583" t="s">
        <v>3007</v>
      </c>
      <c r="C101" s="583"/>
      <c r="D101" s="582" t="s">
        <v>3008</v>
      </c>
      <c r="E101" s="584" t="s">
        <v>646</v>
      </c>
      <c r="F101" s="585">
        <v>22.85</v>
      </c>
      <c r="G101" s="831">
        <f t="shared" si="5"/>
        <v>22.85</v>
      </c>
      <c r="H101" s="585">
        <f t="shared" si="6"/>
        <v>28.4</v>
      </c>
    </row>
    <row r="102" spans="1:8" ht="40.5" customHeight="1" x14ac:dyDescent="0.2">
      <c r="A102" s="582" t="s">
        <v>3009</v>
      </c>
      <c r="B102" s="583" t="s">
        <v>3010</v>
      </c>
      <c r="C102" s="583"/>
      <c r="D102" s="582" t="s">
        <v>3011</v>
      </c>
      <c r="E102" s="584" t="s">
        <v>646</v>
      </c>
      <c r="F102" s="585">
        <v>22.85</v>
      </c>
      <c r="G102" s="831">
        <f t="shared" si="5"/>
        <v>22.85</v>
      </c>
      <c r="H102" s="585">
        <f t="shared" si="6"/>
        <v>28.4</v>
      </c>
    </row>
    <row r="103" spans="1:8" ht="40.5" customHeight="1" x14ac:dyDescent="0.2">
      <c r="A103" s="582" t="s">
        <v>3012</v>
      </c>
      <c r="B103" s="583" t="s">
        <v>3013</v>
      </c>
      <c r="C103" s="583"/>
      <c r="D103" s="582" t="s">
        <v>3014</v>
      </c>
      <c r="E103" s="584" t="s">
        <v>646</v>
      </c>
      <c r="F103" s="585">
        <v>22.85</v>
      </c>
      <c r="G103" s="831">
        <f t="shared" si="5"/>
        <v>22.85</v>
      </c>
      <c r="H103" s="585">
        <f t="shared" si="6"/>
        <v>28.4</v>
      </c>
    </row>
    <row r="104" spans="1:8" ht="40.5" customHeight="1" x14ac:dyDescent="0.2">
      <c r="A104" s="582" t="s">
        <v>3015</v>
      </c>
      <c r="B104" s="583" t="s">
        <v>3016</v>
      </c>
      <c r="C104" s="583"/>
      <c r="D104" s="582" t="s">
        <v>3017</v>
      </c>
      <c r="E104" s="584" t="s">
        <v>646</v>
      </c>
      <c r="F104" s="585">
        <v>22.85</v>
      </c>
      <c r="G104" s="831">
        <f t="shared" si="5"/>
        <v>22.85</v>
      </c>
      <c r="H104" s="585">
        <f t="shared" si="6"/>
        <v>28.4</v>
      </c>
    </row>
    <row r="105" spans="1:8" ht="40.5" customHeight="1" x14ac:dyDescent="0.2">
      <c r="A105" s="582" t="s">
        <v>3018</v>
      </c>
      <c r="B105" s="583" t="s">
        <v>3019</v>
      </c>
      <c r="C105" s="583"/>
      <c r="D105" s="582" t="s">
        <v>3020</v>
      </c>
      <c r="E105" s="584" t="s">
        <v>646</v>
      </c>
      <c r="F105" s="585">
        <v>8.27</v>
      </c>
      <c r="G105" s="831">
        <f t="shared" si="5"/>
        <v>8.27</v>
      </c>
      <c r="H105" s="585">
        <f t="shared" si="6"/>
        <v>10.28</v>
      </c>
    </row>
    <row r="106" spans="1:8" ht="40.5" customHeight="1" x14ac:dyDescent="0.2">
      <c r="A106" s="582" t="s">
        <v>3021</v>
      </c>
      <c r="B106" s="583" t="s">
        <v>3022</v>
      </c>
      <c r="C106" s="583"/>
      <c r="D106" s="582" t="s">
        <v>3023</v>
      </c>
      <c r="E106" s="584" t="s">
        <v>646</v>
      </c>
      <c r="F106" s="585">
        <v>8.27</v>
      </c>
      <c r="G106" s="831">
        <f t="shared" si="5"/>
        <v>8.27</v>
      </c>
      <c r="H106" s="585">
        <f t="shared" si="6"/>
        <v>10.28</v>
      </c>
    </row>
    <row r="107" spans="1:8" ht="40.5" customHeight="1" x14ac:dyDescent="0.2">
      <c r="A107" s="582" t="s">
        <v>3024</v>
      </c>
      <c r="B107" s="583" t="s">
        <v>3025</v>
      </c>
      <c r="C107" s="583"/>
      <c r="D107" s="582" t="s">
        <v>3026</v>
      </c>
      <c r="E107" s="584" t="s">
        <v>646</v>
      </c>
      <c r="F107" s="585">
        <v>22.85</v>
      </c>
      <c r="G107" s="831">
        <f t="shared" si="5"/>
        <v>22.85</v>
      </c>
      <c r="H107" s="585">
        <f t="shared" si="6"/>
        <v>28.4</v>
      </c>
    </row>
    <row r="108" spans="1:8" ht="40.5" customHeight="1" x14ac:dyDescent="0.2">
      <c r="A108" s="582" t="s">
        <v>3027</v>
      </c>
      <c r="B108" s="583" t="s">
        <v>3028</v>
      </c>
      <c r="C108" s="583"/>
      <c r="D108" s="582" t="s">
        <v>3029</v>
      </c>
      <c r="E108" s="584" t="s">
        <v>646</v>
      </c>
      <c r="F108" s="585">
        <v>8.27</v>
      </c>
      <c r="G108" s="831">
        <f t="shared" si="5"/>
        <v>8.27</v>
      </c>
      <c r="H108" s="585">
        <f t="shared" si="6"/>
        <v>10.28</v>
      </c>
    </row>
    <row r="109" spans="1:8" ht="40.5" customHeight="1" x14ac:dyDescent="0.2">
      <c r="A109" s="582" t="s">
        <v>3030</v>
      </c>
      <c r="B109" s="583" t="s">
        <v>3031</v>
      </c>
      <c r="C109" s="583"/>
      <c r="D109" s="582" t="s">
        <v>3032</v>
      </c>
      <c r="E109" s="584" t="s">
        <v>646</v>
      </c>
      <c r="F109" s="585">
        <v>13.78</v>
      </c>
      <c r="G109" s="831">
        <f t="shared" si="5"/>
        <v>13.78</v>
      </c>
      <c r="H109" s="585">
        <f t="shared" si="6"/>
        <v>17.12</v>
      </c>
    </row>
    <row r="110" spans="1:8" ht="40.5" customHeight="1" x14ac:dyDescent="0.2">
      <c r="A110" s="582" t="s">
        <v>3033</v>
      </c>
      <c r="B110" s="583" t="s">
        <v>3034</v>
      </c>
      <c r="C110" s="583"/>
      <c r="D110" s="582" t="s">
        <v>3035</v>
      </c>
      <c r="E110" s="584" t="s">
        <v>646</v>
      </c>
      <c r="F110" s="585">
        <v>46.79</v>
      </c>
      <c r="G110" s="831">
        <f t="shared" si="5"/>
        <v>46.79</v>
      </c>
      <c r="H110" s="585">
        <f t="shared" si="6"/>
        <v>58.16</v>
      </c>
    </row>
    <row r="111" spans="1:8" ht="40.5" customHeight="1" x14ac:dyDescent="0.2">
      <c r="A111" s="582" t="s">
        <v>3036</v>
      </c>
      <c r="B111" s="583" t="s">
        <v>3037</v>
      </c>
      <c r="C111" s="583"/>
      <c r="D111" s="582" t="s">
        <v>3038</v>
      </c>
      <c r="E111" s="584" t="s">
        <v>646</v>
      </c>
      <c r="F111" s="585">
        <v>25.76</v>
      </c>
      <c r="G111" s="831">
        <f t="shared" si="5"/>
        <v>25.76</v>
      </c>
      <c r="H111" s="585">
        <f t="shared" si="6"/>
        <v>32.020000000000003</v>
      </c>
    </row>
    <row r="112" spans="1:8" ht="40.5" customHeight="1" x14ac:dyDescent="0.2">
      <c r="A112" s="582" t="s">
        <v>3039</v>
      </c>
      <c r="B112" s="583" t="s">
        <v>3040</v>
      </c>
      <c r="C112" s="583"/>
      <c r="D112" s="582" t="s">
        <v>3041</v>
      </c>
      <c r="E112" s="584" t="s">
        <v>646</v>
      </c>
      <c r="F112" s="585">
        <v>57.65</v>
      </c>
      <c r="G112" s="831">
        <f t="shared" si="5"/>
        <v>57.65</v>
      </c>
      <c r="H112" s="585">
        <f t="shared" si="6"/>
        <v>71.66</v>
      </c>
    </row>
    <row r="113" spans="1:9" s="568" customFormat="1" ht="40.5" customHeight="1" x14ac:dyDescent="0.2">
      <c r="A113" s="582" t="s">
        <v>3042</v>
      </c>
      <c r="B113" s="583" t="s">
        <v>3043</v>
      </c>
      <c r="C113" s="583"/>
      <c r="D113" s="582" t="s">
        <v>3044</v>
      </c>
      <c r="E113" s="584" t="s">
        <v>1161</v>
      </c>
      <c r="F113" s="585">
        <v>15.26</v>
      </c>
      <c r="G113" s="831">
        <f t="shared" si="5"/>
        <v>15.26</v>
      </c>
      <c r="H113" s="585">
        <f t="shared" si="6"/>
        <v>18.96</v>
      </c>
      <c r="I113" s="512"/>
    </row>
    <row r="114" spans="1:9" ht="40.5" customHeight="1" x14ac:dyDescent="0.2">
      <c r="A114" s="582" t="s">
        <v>3045</v>
      </c>
      <c r="B114" s="583" t="s">
        <v>3046</v>
      </c>
      <c r="C114" s="583"/>
      <c r="D114" s="582" t="s">
        <v>3047</v>
      </c>
      <c r="E114" s="584" t="s">
        <v>1161</v>
      </c>
      <c r="F114" s="585">
        <v>13.78</v>
      </c>
      <c r="G114" s="831">
        <f t="shared" si="5"/>
        <v>13.78</v>
      </c>
      <c r="H114" s="585">
        <f t="shared" si="6"/>
        <v>17.12</v>
      </c>
    </row>
    <row r="115" spans="1:9" ht="40.5" customHeight="1" x14ac:dyDescent="0.2">
      <c r="A115" s="582" t="s">
        <v>3048</v>
      </c>
      <c r="B115" s="583" t="s">
        <v>3049</v>
      </c>
      <c r="C115" s="583"/>
      <c r="D115" s="582" t="s">
        <v>3050</v>
      </c>
      <c r="E115" s="584" t="s">
        <v>1332</v>
      </c>
      <c r="F115" s="585">
        <v>164.24</v>
      </c>
      <c r="G115" s="831">
        <f t="shared" si="5"/>
        <v>164.24</v>
      </c>
      <c r="H115" s="585">
        <f t="shared" si="6"/>
        <v>204.16</v>
      </c>
    </row>
    <row r="116" spans="1:9" ht="40.5" customHeight="1" x14ac:dyDescent="0.2">
      <c r="A116" s="582" t="s">
        <v>3051</v>
      </c>
      <c r="B116" s="583" t="s">
        <v>3052</v>
      </c>
      <c r="C116" s="583"/>
      <c r="D116" s="582" t="s">
        <v>3053</v>
      </c>
      <c r="E116" s="584" t="s">
        <v>1231</v>
      </c>
      <c r="F116" s="585">
        <v>10.49</v>
      </c>
      <c r="G116" s="831">
        <f t="shared" si="5"/>
        <v>10.49</v>
      </c>
      <c r="H116" s="585">
        <f t="shared" si="6"/>
        <v>13.04</v>
      </c>
    </row>
    <row r="117" spans="1:9" ht="40.5" customHeight="1" x14ac:dyDescent="0.2">
      <c r="A117" s="582" t="s">
        <v>3054</v>
      </c>
      <c r="B117" s="583" t="s">
        <v>3055</v>
      </c>
      <c r="C117" s="583"/>
      <c r="D117" s="582" t="s">
        <v>3056</v>
      </c>
      <c r="E117" s="584" t="s">
        <v>1236</v>
      </c>
      <c r="F117" s="585">
        <v>45.28</v>
      </c>
      <c r="G117" s="831">
        <f t="shared" si="5"/>
        <v>45.28</v>
      </c>
      <c r="H117" s="585">
        <f t="shared" si="6"/>
        <v>56.28</v>
      </c>
    </row>
    <row r="118" spans="1:9" ht="40.5" customHeight="1" x14ac:dyDescent="0.2">
      <c r="A118" s="582" t="s">
        <v>3057</v>
      </c>
      <c r="B118" s="583" t="s">
        <v>3058</v>
      </c>
      <c r="C118" s="583"/>
      <c r="D118" s="582" t="s">
        <v>3059</v>
      </c>
      <c r="E118" s="584" t="s">
        <v>1236</v>
      </c>
      <c r="F118" s="585">
        <v>84</v>
      </c>
      <c r="G118" s="831">
        <f t="shared" si="5"/>
        <v>84</v>
      </c>
      <c r="H118" s="585">
        <f t="shared" si="6"/>
        <v>104.42</v>
      </c>
    </row>
    <row r="119" spans="1:9" ht="40.5" customHeight="1" x14ac:dyDescent="0.2">
      <c r="A119" s="834" t="s">
        <v>2726</v>
      </c>
      <c r="B119" s="835"/>
      <c r="C119" s="835"/>
      <c r="D119" s="836" t="s">
        <v>2727</v>
      </c>
      <c r="E119" s="837"/>
      <c r="F119" s="838"/>
      <c r="G119" s="838"/>
      <c r="H119" s="839"/>
      <c r="I119" s="568"/>
    </row>
    <row r="120" spans="1:9" ht="40.5" customHeight="1" x14ac:dyDescent="0.2">
      <c r="A120" s="840" t="s">
        <v>2728</v>
      </c>
      <c r="B120" s="841"/>
      <c r="C120" s="841"/>
      <c r="D120" s="842" t="s">
        <v>2729</v>
      </c>
      <c r="E120" s="843"/>
      <c r="F120" s="844"/>
      <c r="G120" s="844"/>
      <c r="H120" s="845"/>
    </row>
    <row r="121" spans="1:9" ht="40.5" customHeight="1" x14ac:dyDescent="0.2">
      <c r="A121" s="827" t="s">
        <v>3060</v>
      </c>
      <c r="B121" s="828" t="s">
        <v>3061</v>
      </c>
      <c r="C121" s="828"/>
      <c r="D121" s="827" t="s">
        <v>3062</v>
      </c>
      <c r="E121" s="829" t="s">
        <v>646</v>
      </c>
      <c r="F121" s="830">
        <v>134.55000000000001</v>
      </c>
      <c r="G121" s="831">
        <f>(F121*($H$11))</f>
        <v>134.55000000000001</v>
      </c>
      <c r="H121" s="830">
        <f>TRUNC((F121*($H$11))*(1+$H$8),2)</f>
        <v>167.25</v>
      </c>
    </row>
    <row r="122" spans="1:9" ht="40.5" customHeight="1" x14ac:dyDescent="0.2">
      <c r="A122" s="582" t="s">
        <v>3063</v>
      </c>
      <c r="B122" s="583" t="s">
        <v>3064</v>
      </c>
      <c r="C122" s="583"/>
      <c r="D122" s="582" t="s">
        <v>3065</v>
      </c>
      <c r="E122" s="584" t="s">
        <v>646</v>
      </c>
      <c r="F122" s="585">
        <v>121.08</v>
      </c>
      <c r="G122" s="831">
        <f>(F122*($H$11))</f>
        <v>121.08</v>
      </c>
      <c r="H122" s="585">
        <f>TRUNC((F122*($H$11))*(1+$H$8),2)</f>
        <v>150.51</v>
      </c>
    </row>
    <row r="123" spans="1:9" ht="40.5" customHeight="1" x14ac:dyDescent="0.2">
      <c r="A123" s="840" t="s">
        <v>2730</v>
      </c>
      <c r="B123" s="841"/>
      <c r="C123" s="841"/>
      <c r="D123" s="842" t="s">
        <v>2731</v>
      </c>
      <c r="E123" s="843"/>
      <c r="F123" s="844"/>
      <c r="G123" s="844"/>
      <c r="H123" s="845"/>
    </row>
    <row r="124" spans="1:9" ht="40.5" customHeight="1" x14ac:dyDescent="0.2">
      <c r="A124" s="827" t="s">
        <v>3066</v>
      </c>
      <c r="B124" s="828">
        <v>94990</v>
      </c>
      <c r="C124" s="828"/>
      <c r="D124" s="827" t="s">
        <v>3067</v>
      </c>
      <c r="E124" s="829" t="s">
        <v>1332</v>
      </c>
      <c r="F124" s="830">
        <v>863.96</v>
      </c>
      <c r="G124" s="831">
        <f t="shared" ref="G124:G131" si="7">(F124*($H$11))</f>
        <v>863.96</v>
      </c>
      <c r="H124" s="830">
        <f t="shared" ref="H124:H131" si="8">TRUNC((F124*($H$11))*(1+$H$8),2)</f>
        <v>1073.98</v>
      </c>
    </row>
    <row r="125" spans="1:9" ht="40.5" customHeight="1" x14ac:dyDescent="0.2">
      <c r="A125" s="582" t="s">
        <v>3068</v>
      </c>
      <c r="B125" s="583">
        <v>94991</v>
      </c>
      <c r="C125" s="583"/>
      <c r="D125" s="582" t="s">
        <v>3069</v>
      </c>
      <c r="E125" s="584" t="s">
        <v>1332</v>
      </c>
      <c r="F125" s="585">
        <v>761.56</v>
      </c>
      <c r="G125" s="831">
        <f t="shared" si="7"/>
        <v>761.56</v>
      </c>
      <c r="H125" s="585">
        <f t="shared" si="8"/>
        <v>946.69</v>
      </c>
    </row>
    <row r="126" spans="1:9" ht="40.5" customHeight="1" x14ac:dyDescent="0.2">
      <c r="A126" s="582" t="s">
        <v>3070</v>
      </c>
      <c r="B126" s="583">
        <v>94992</v>
      </c>
      <c r="C126" s="583"/>
      <c r="D126" s="582" t="s">
        <v>3071</v>
      </c>
      <c r="E126" s="584" t="s">
        <v>1161</v>
      </c>
      <c r="F126" s="585">
        <v>82.3</v>
      </c>
      <c r="G126" s="831">
        <f t="shared" si="7"/>
        <v>82.3</v>
      </c>
      <c r="H126" s="585">
        <f t="shared" si="8"/>
        <v>102.3</v>
      </c>
    </row>
    <row r="127" spans="1:9" ht="40.5" customHeight="1" x14ac:dyDescent="0.2">
      <c r="A127" s="582" t="s">
        <v>3072</v>
      </c>
      <c r="B127" s="583">
        <v>94993</v>
      </c>
      <c r="C127" s="583"/>
      <c r="D127" s="582" t="s">
        <v>3073</v>
      </c>
      <c r="E127" s="584" t="s">
        <v>1161</v>
      </c>
      <c r="F127" s="585">
        <v>76.150000000000006</v>
      </c>
      <c r="G127" s="831">
        <f t="shared" si="7"/>
        <v>76.150000000000006</v>
      </c>
      <c r="H127" s="585">
        <f t="shared" si="8"/>
        <v>94.66</v>
      </c>
    </row>
    <row r="128" spans="1:9" ht="40.5" customHeight="1" x14ac:dyDescent="0.2">
      <c r="A128" s="582" t="s">
        <v>3074</v>
      </c>
      <c r="B128" s="583">
        <v>94994</v>
      </c>
      <c r="C128" s="583"/>
      <c r="D128" s="582" t="s">
        <v>3075</v>
      </c>
      <c r="E128" s="584" t="s">
        <v>1161</v>
      </c>
      <c r="F128" s="585">
        <v>100.01</v>
      </c>
      <c r="G128" s="831">
        <f t="shared" si="7"/>
        <v>100.01</v>
      </c>
      <c r="H128" s="585">
        <f t="shared" si="8"/>
        <v>124.32</v>
      </c>
    </row>
    <row r="129" spans="1:8" ht="40.5" customHeight="1" x14ac:dyDescent="0.2">
      <c r="A129" s="582" t="s">
        <v>3076</v>
      </c>
      <c r="B129" s="583">
        <v>94995</v>
      </c>
      <c r="C129" s="583"/>
      <c r="D129" s="582" t="s">
        <v>3077</v>
      </c>
      <c r="E129" s="584" t="s">
        <v>1161</v>
      </c>
      <c r="F129" s="585">
        <v>91.82</v>
      </c>
      <c r="G129" s="831">
        <f t="shared" si="7"/>
        <v>91.82</v>
      </c>
      <c r="H129" s="585">
        <f t="shared" si="8"/>
        <v>114.14</v>
      </c>
    </row>
    <row r="130" spans="1:8" ht="40.5" customHeight="1" x14ac:dyDescent="0.2">
      <c r="A130" s="582" t="s">
        <v>3078</v>
      </c>
      <c r="B130" s="583">
        <v>101090</v>
      </c>
      <c r="C130" s="583"/>
      <c r="D130" s="582" t="s">
        <v>3079</v>
      </c>
      <c r="E130" s="584" t="s">
        <v>1161</v>
      </c>
      <c r="F130" s="585">
        <v>236.09</v>
      </c>
      <c r="G130" s="831">
        <f t="shared" si="7"/>
        <v>236.09</v>
      </c>
      <c r="H130" s="585">
        <f t="shared" si="8"/>
        <v>293.48</v>
      </c>
    </row>
    <row r="131" spans="1:8" ht="40.5" customHeight="1" x14ac:dyDescent="0.2">
      <c r="A131" s="582" t="s">
        <v>3080</v>
      </c>
      <c r="B131" s="583" t="s">
        <v>3081</v>
      </c>
      <c r="C131" s="583"/>
      <c r="D131" s="582" t="s">
        <v>3082</v>
      </c>
      <c r="E131" s="584" t="s">
        <v>1257</v>
      </c>
      <c r="F131" s="585">
        <v>142.41999999999999</v>
      </c>
      <c r="G131" s="831">
        <f t="shared" si="7"/>
        <v>142.41999999999999</v>
      </c>
      <c r="H131" s="585">
        <f t="shared" si="8"/>
        <v>177.04</v>
      </c>
    </row>
    <row r="132" spans="1:8" ht="40.5" customHeight="1" x14ac:dyDescent="0.2">
      <c r="A132" s="840" t="s">
        <v>2732</v>
      </c>
      <c r="B132" s="841"/>
      <c r="C132" s="841"/>
      <c r="D132" s="842" t="s">
        <v>2712</v>
      </c>
      <c r="E132" s="843"/>
      <c r="F132" s="844"/>
      <c r="G132" s="844"/>
      <c r="H132" s="845"/>
    </row>
    <row r="133" spans="1:8" ht="40.5" customHeight="1" x14ac:dyDescent="0.2">
      <c r="A133" s="827" t="s">
        <v>3083</v>
      </c>
      <c r="B133" s="828">
        <v>98458</v>
      </c>
      <c r="C133" s="828"/>
      <c r="D133" s="827" t="s">
        <v>3084</v>
      </c>
      <c r="E133" s="829" t="s">
        <v>1161</v>
      </c>
      <c r="F133" s="830">
        <v>99.69</v>
      </c>
      <c r="G133" s="831">
        <f t="shared" ref="G133:G179" si="9">(F133*($H$11))</f>
        <v>99.69</v>
      </c>
      <c r="H133" s="830">
        <f t="shared" ref="H133:H179" si="10">TRUNC((F133*($H$11))*(1+$H$8),2)</f>
        <v>123.92</v>
      </c>
    </row>
    <row r="134" spans="1:8" ht="40.5" customHeight="1" x14ac:dyDescent="0.2">
      <c r="A134" s="582" t="s">
        <v>3085</v>
      </c>
      <c r="B134" s="583">
        <v>94962</v>
      </c>
      <c r="C134" s="583"/>
      <c r="D134" s="582" t="s">
        <v>3086</v>
      </c>
      <c r="E134" s="584" t="s">
        <v>1332</v>
      </c>
      <c r="F134" s="585">
        <v>466.52</v>
      </c>
      <c r="G134" s="831">
        <f t="shared" si="9"/>
        <v>466.52</v>
      </c>
      <c r="H134" s="585">
        <f t="shared" si="10"/>
        <v>579.92999999999995</v>
      </c>
    </row>
    <row r="135" spans="1:8" ht="40.5" customHeight="1" x14ac:dyDescent="0.2">
      <c r="A135" s="582" t="s">
        <v>3087</v>
      </c>
      <c r="B135" s="583">
        <v>94963</v>
      </c>
      <c r="C135" s="583"/>
      <c r="D135" s="582" t="s">
        <v>3088</v>
      </c>
      <c r="E135" s="584" t="s">
        <v>1332</v>
      </c>
      <c r="F135" s="585">
        <v>508.67</v>
      </c>
      <c r="G135" s="831">
        <f t="shared" si="9"/>
        <v>508.67</v>
      </c>
      <c r="H135" s="585">
        <f t="shared" si="10"/>
        <v>632.32000000000005</v>
      </c>
    </row>
    <row r="136" spans="1:8" ht="40.5" customHeight="1" x14ac:dyDescent="0.2">
      <c r="A136" s="582" t="s">
        <v>3089</v>
      </c>
      <c r="B136" s="583">
        <v>94974</v>
      </c>
      <c r="C136" s="583"/>
      <c r="D136" s="582" t="s">
        <v>3090</v>
      </c>
      <c r="E136" s="584" t="s">
        <v>1332</v>
      </c>
      <c r="F136" s="585">
        <v>525.34</v>
      </c>
      <c r="G136" s="831">
        <f t="shared" si="9"/>
        <v>525.34</v>
      </c>
      <c r="H136" s="585">
        <f t="shared" si="10"/>
        <v>653.04999999999995</v>
      </c>
    </row>
    <row r="137" spans="1:8" ht="40.5" customHeight="1" x14ac:dyDescent="0.2">
      <c r="A137" s="582" t="s">
        <v>3091</v>
      </c>
      <c r="B137" s="583" t="s">
        <v>3092</v>
      </c>
      <c r="C137" s="583"/>
      <c r="D137" s="582" t="s">
        <v>3093</v>
      </c>
      <c r="E137" s="584" t="s">
        <v>1236</v>
      </c>
      <c r="F137" s="585">
        <v>3236.1</v>
      </c>
      <c r="G137" s="831">
        <f t="shared" si="9"/>
        <v>3236.1</v>
      </c>
      <c r="H137" s="585">
        <f t="shared" si="10"/>
        <v>4022.79</v>
      </c>
    </row>
    <row r="138" spans="1:8" ht="40.5" customHeight="1" x14ac:dyDescent="0.2">
      <c r="A138" s="582" t="s">
        <v>3094</v>
      </c>
      <c r="B138" s="583" t="s">
        <v>3095</v>
      </c>
      <c r="C138" s="583"/>
      <c r="D138" s="582" t="s">
        <v>3096</v>
      </c>
      <c r="E138" s="584" t="s">
        <v>1236</v>
      </c>
      <c r="F138" s="585">
        <v>2195.42</v>
      </c>
      <c r="G138" s="831">
        <f t="shared" si="9"/>
        <v>2195.42</v>
      </c>
      <c r="H138" s="585">
        <f t="shared" si="10"/>
        <v>2729.12</v>
      </c>
    </row>
    <row r="139" spans="1:8" ht="40.5" customHeight="1" x14ac:dyDescent="0.2">
      <c r="A139" s="582" t="s">
        <v>3097</v>
      </c>
      <c r="B139" s="583" t="s">
        <v>3098</v>
      </c>
      <c r="C139" s="583"/>
      <c r="D139" s="582" t="s">
        <v>3099</v>
      </c>
      <c r="E139" s="584" t="s">
        <v>1332</v>
      </c>
      <c r="F139" s="585">
        <v>657.14</v>
      </c>
      <c r="G139" s="831">
        <f t="shared" si="9"/>
        <v>657.14</v>
      </c>
      <c r="H139" s="585">
        <f t="shared" si="10"/>
        <v>816.89</v>
      </c>
    </row>
    <row r="140" spans="1:8" ht="40.5" customHeight="1" x14ac:dyDescent="0.2">
      <c r="A140" s="582" t="s">
        <v>3100</v>
      </c>
      <c r="B140" s="583" t="s">
        <v>3101</v>
      </c>
      <c r="C140" s="583"/>
      <c r="D140" s="582" t="s">
        <v>3102</v>
      </c>
      <c r="E140" s="584" t="s">
        <v>1332</v>
      </c>
      <c r="F140" s="585">
        <v>384.18</v>
      </c>
      <c r="G140" s="831">
        <f t="shared" si="9"/>
        <v>384.18</v>
      </c>
      <c r="H140" s="585">
        <f t="shared" si="10"/>
        <v>477.57</v>
      </c>
    </row>
    <row r="141" spans="1:8" ht="40.5" customHeight="1" x14ac:dyDescent="0.2">
      <c r="A141" s="582" t="s">
        <v>3103</v>
      </c>
      <c r="B141" s="583" t="s">
        <v>3104</v>
      </c>
      <c r="C141" s="583"/>
      <c r="D141" s="582" t="s">
        <v>3105</v>
      </c>
      <c r="E141" s="584" t="s">
        <v>1161</v>
      </c>
      <c r="F141" s="585">
        <v>197.98</v>
      </c>
      <c r="G141" s="831">
        <f t="shared" si="9"/>
        <v>197.98</v>
      </c>
      <c r="H141" s="585">
        <f t="shared" si="10"/>
        <v>246.1</v>
      </c>
    </row>
    <row r="142" spans="1:8" ht="40.5" customHeight="1" x14ac:dyDescent="0.2">
      <c r="A142" s="582" t="s">
        <v>3106</v>
      </c>
      <c r="B142" s="583" t="s">
        <v>3107</v>
      </c>
      <c r="C142" s="583"/>
      <c r="D142" s="582" t="s">
        <v>3108</v>
      </c>
      <c r="E142" s="584" t="s">
        <v>1161</v>
      </c>
      <c r="F142" s="585">
        <v>148.56</v>
      </c>
      <c r="G142" s="831">
        <f t="shared" si="9"/>
        <v>148.56</v>
      </c>
      <c r="H142" s="585">
        <f t="shared" si="10"/>
        <v>184.67</v>
      </c>
    </row>
    <row r="143" spans="1:8" ht="40.5" customHeight="1" x14ac:dyDescent="0.2">
      <c r="A143" s="582" t="s">
        <v>3109</v>
      </c>
      <c r="B143" s="583" t="s">
        <v>3110</v>
      </c>
      <c r="C143" s="583"/>
      <c r="D143" s="582" t="s">
        <v>3111</v>
      </c>
      <c r="E143" s="584" t="s">
        <v>1161</v>
      </c>
      <c r="F143" s="585">
        <v>74.98</v>
      </c>
      <c r="G143" s="831">
        <f t="shared" si="9"/>
        <v>74.98</v>
      </c>
      <c r="H143" s="585">
        <f t="shared" si="10"/>
        <v>93.2</v>
      </c>
    </row>
    <row r="144" spans="1:8" ht="40.5" customHeight="1" x14ac:dyDescent="0.2">
      <c r="A144" s="582" t="s">
        <v>3112</v>
      </c>
      <c r="B144" s="583" t="s">
        <v>3113</v>
      </c>
      <c r="C144" s="583"/>
      <c r="D144" s="582" t="s">
        <v>3114</v>
      </c>
      <c r="E144" s="584" t="s">
        <v>1161</v>
      </c>
      <c r="F144" s="585">
        <v>177.65</v>
      </c>
      <c r="G144" s="831">
        <f t="shared" si="9"/>
        <v>177.65</v>
      </c>
      <c r="H144" s="585">
        <f t="shared" si="10"/>
        <v>220.83</v>
      </c>
    </row>
    <row r="145" spans="1:8" ht="40.5" customHeight="1" x14ac:dyDescent="0.2">
      <c r="A145" s="582" t="s">
        <v>3115</v>
      </c>
      <c r="B145" s="583" t="s">
        <v>3116</v>
      </c>
      <c r="C145" s="583"/>
      <c r="D145" s="582" t="s">
        <v>3117</v>
      </c>
      <c r="E145" s="584" t="s">
        <v>1161</v>
      </c>
      <c r="F145" s="585">
        <v>143.66</v>
      </c>
      <c r="G145" s="831">
        <f t="shared" si="9"/>
        <v>143.66</v>
      </c>
      <c r="H145" s="585">
        <f t="shared" si="10"/>
        <v>178.58</v>
      </c>
    </row>
    <row r="146" spans="1:8" ht="40.5" customHeight="1" x14ac:dyDescent="0.2">
      <c r="A146" s="582" t="s">
        <v>3118</v>
      </c>
      <c r="B146" s="583" t="s">
        <v>3119</v>
      </c>
      <c r="C146" s="583"/>
      <c r="D146" s="582" t="s">
        <v>3120</v>
      </c>
      <c r="E146" s="584" t="s">
        <v>1181</v>
      </c>
      <c r="F146" s="585">
        <v>13.47</v>
      </c>
      <c r="G146" s="831">
        <f t="shared" si="9"/>
        <v>13.47</v>
      </c>
      <c r="H146" s="585">
        <f t="shared" si="10"/>
        <v>16.739999999999998</v>
      </c>
    </row>
    <row r="147" spans="1:8" ht="40.5" customHeight="1" x14ac:dyDescent="0.2">
      <c r="A147" s="582" t="s">
        <v>3121</v>
      </c>
      <c r="B147" s="583" t="s">
        <v>3122</v>
      </c>
      <c r="C147" s="583"/>
      <c r="D147" s="582" t="s">
        <v>3123</v>
      </c>
      <c r="E147" s="584" t="s">
        <v>1181</v>
      </c>
      <c r="F147" s="585">
        <v>10.72</v>
      </c>
      <c r="G147" s="831">
        <f t="shared" si="9"/>
        <v>10.72</v>
      </c>
      <c r="H147" s="585">
        <f t="shared" si="10"/>
        <v>13.32</v>
      </c>
    </row>
    <row r="148" spans="1:8" ht="40.5" customHeight="1" x14ac:dyDescent="0.2">
      <c r="A148" s="582" t="s">
        <v>3124</v>
      </c>
      <c r="B148" s="583" t="s">
        <v>3125</v>
      </c>
      <c r="C148" s="583"/>
      <c r="D148" s="582" t="s">
        <v>3126</v>
      </c>
      <c r="E148" s="584" t="s">
        <v>1161</v>
      </c>
      <c r="F148" s="585">
        <v>36.659999999999997</v>
      </c>
      <c r="G148" s="831">
        <f t="shared" si="9"/>
        <v>36.659999999999997</v>
      </c>
      <c r="H148" s="585">
        <f t="shared" si="10"/>
        <v>45.57</v>
      </c>
    </row>
    <row r="149" spans="1:8" ht="40.5" customHeight="1" x14ac:dyDescent="0.2">
      <c r="A149" s="582" t="s">
        <v>3127</v>
      </c>
      <c r="B149" s="583" t="s">
        <v>3128</v>
      </c>
      <c r="C149" s="583"/>
      <c r="D149" s="582" t="s">
        <v>3129</v>
      </c>
      <c r="E149" s="584" t="s">
        <v>646</v>
      </c>
      <c r="F149" s="585">
        <v>74.13</v>
      </c>
      <c r="G149" s="831">
        <f t="shared" si="9"/>
        <v>74.13</v>
      </c>
      <c r="H149" s="585">
        <f t="shared" si="10"/>
        <v>92.15</v>
      </c>
    </row>
    <row r="150" spans="1:8" ht="40.5" customHeight="1" x14ac:dyDescent="0.2">
      <c r="A150" s="582" t="s">
        <v>3130</v>
      </c>
      <c r="B150" s="583" t="s">
        <v>3131</v>
      </c>
      <c r="C150" s="583"/>
      <c r="D150" s="582" t="s">
        <v>3132</v>
      </c>
      <c r="E150" s="584" t="s">
        <v>1332</v>
      </c>
      <c r="F150" s="585">
        <v>310.95</v>
      </c>
      <c r="G150" s="831">
        <f t="shared" si="9"/>
        <v>310.95</v>
      </c>
      <c r="H150" s="585">
        <f t="shared" si="10"/>
        <v>386.54</v>
      </c>
    </row>
    <row r="151" spans="1:8" ht="40.5" customHeight="1" x14ac:dyDescent="0.2">
      <c r="A151" s="582" t="s">
        <v>3133</v>
      </c>
      <c r="B151" s="583">
        <v>97625</v>
      </c>
      <c r="C151" s="583"/>
      <c r="D151" s="582" t="s">
        <v>2861</v>
      </c>
      <c r="E151" s="584" t="s">
        <v>1332</v>
      </c>
      <c r="F151" s="585">
        <v>55.55</v>
      </c>
      <c r="G151" s="831">
        <f t="shared" si="9"/>
        <v>55.55</v>
      </c>
      <c r="H151" s="585">
        <f t="shared" si="10"/>
        <v>69.05</v>
      </c>
    </row>
    <row r="152" spans="1:8" ht="40.5" customHeight="1" x14ac:dyDescent="0.2">
      <c r="A152" s="582" t="s">
        <v>3134</v>
      </c>
      <c r="B152" s="583" t="s">
        <v>3135</v>
      </c>
      <c r="C152" s="583"/>
      <c r="D152" s="582" t="s">
        <v>3136</v>
      </c>
      <c r="E152" s="584" t="s">
        <v>1332</v>
      </c>
      <c r="F152" s="585">
        <v>89.56</v>
      </c>
      <c r="G152" s="831">
        <f t="shared" si="9"/>
        <v>89.56</v>
      </c>
      <c r="H152" s="585">
        <f t="shared" si="10"/>
        <v>111.33</v>
      </c>
    </row>
    <row r="153" spans="1:8" ht="40.5" customHeight="1" x14ac:dyDescent="0.2">
      <c r="A153" s="582" t="s">
        <v>3137</v>
      </c>
      <c r="B153" s="583" t="s">
        <v>3138</v>
      </c>
      <c r="C153" s="583"/>
      <c r="D153" s="582" t="s">
        <v>3139</v>
      </c>
      <c r="E153" s="584" t="s">
        <v>1332</v>
      </c>
      <c r="F153" s="585">
        <v>50.48</v>
      </c>
      <c r="G153" s="831">
        <f t="shared" si="9"/>
        <v>50.48</v>
      </c>
      <c r="H153" s="585">
        <f t="shared" si="10"/>
        <v>62.75</v>
      </c>
    </row>
    <row r="154" spans="1:8" ht="40.5" customHeight="1" x14ac:dyDescent="0.2">
      <c r="A154" s="582" t="s">
        <v>3140</v>
      </c>
      <c r="B154" s="583" t="s">
        <v>3141</v>
      </c>
      <c r="C154" s="583"/>
      <c r="D154" s="582" t="s">
        <v>3142</v>
      </c>
      <c r="E154" s="584" t="s">
        <v>1332</v>
      </c>
      <c r="F154" s="585">
        <v>36.44</v>
      </c>
      <c r="G154" s="831">
        <f t="shared" si="9"/>
        <v>36.44</v>
      </c>
      <c r="H154" s="585">
        <f t="shared" si="10"/>
        <v>45.29</v>
      </c>
    </row>
    <row r="155" spans="1:8" ht="40.5" customHeight="1" x14ac:dyDescent="0.2">
      <c r="A155" s="582" t="s">
        <v>3143</v>
      </c>
      <c r="B155" s="583" t="s">
        <v>3144</v>
      </c>
      <c r="C155" s="583"/>
      <c r="D155" s="582" t="s">
        <v>3145</v>
      </c>
      <c r="E155" s="584" t="s">
        <v>1332</v>
      </c>
      <c r="F155" s="585">
        <v>17.7</v>
      </c>
      <c r="G155" s="831">
        <f t="shared" si="9"/>
        <v>17.7</v>
      </c>
      <c r="H155" s="585">
        <f t="shared" si="10"/>
        <v>22</v>
      </c>
    </row>
    <row r="156" spans="1:8" ht="40.5" customHeight="1" x14ac:dyDescent="0.2">
      <c r="A156" s="582" t="s">
        <v>3146</v>
      </c>
      <c r="B156" s="583" t="s">
        <v>3147</v>
      </c>
      <c r="C156" s="583"/>
      <c r="D156" s="582" t="s">
        <v>3148</v>
      </c>
      <c r="E156" s="584" t="s">
        <v>1181</v>
      </c>
      <c r="F156" s="585">
        <v>54.32</v>
      </c>
      <c r="G156" s="831">
        <f t="shared" si="9"/>
        <v>54.32</v>
      </c>
      <c r="H156" s="585">
        <f t="shared" si="10"/>
        <v>67.52</v>
      </c>
    </row>
    <row r="157" spans="1:8" ht="40.5" customHeight="1" x14ac:dyDescent="0.2">
      <c r="A157" s="582" t="s">
        <v>3149</v>
      </c>
      <c r="B157" s="583" t="s">
        <v>3150</v>
      </c>
      <c r="C157" s="583"/>
      <c r="D157" s="582" t="s">
        <v>3151</v>
      </c>
      <c r="E157" s="584" t="s">
        <v>1161</v>
      </c>
      <c r="F157" s="585">
        <v>115.78</v>
      </c>
      <c r="G157" s="831">
        <f t="shared" si="9"/>
        <v>115.78</v>
      </c>
      <c r="H157" s="585">
        <f t="shared" si="10"/>
        <v>143.91999999999999</v>
      </c>
    </row>
    <row r="158" spans="1:8" ht="40.5" customHeight="1" x14ac:dyDescent="0.2">
      <c r="A158" s="582" t="s">
        <v>3152</v>
      </c>
      <c r="B158" s="583" t="s">
        <v>3153</v>
      </c>
      <c r="C158" s="583"/>
      <c r="D158" s="582" t="s">
        <v>3154</v>
      </c>
      <c r="E158" s="584" t="s">
        <v>1161</v>
      </c>
      <c r="F158" s="585">
        <v>106.1</v>
      </c>
      <c r="G158" s="831">
        <f t="shared" si="9"/>
        <v>106.1</v>
      </c>
      <c r="H158" s="585">
        <f t="shared" si="10"/>
        <v>131.88999999999999</v>
      </c>
    </row>
    <row r="159" spans="1:8" ht="40.5" customHeight="1" x14ac:dyDescent="0.2">
      <c r="A159" s="582" t="s">
        <v>3155</v>
      </c>
      <c r="B159" s="583" t="s">
        <v>3156</v>
      </c>
      <c r="C159" s="583"/>
      <c r="D159" s="582" t="s">
        <v>3157</v>
      </c>
      <c r="E159" s="584" t="s">
        <v>1161</v>
      </c>
      <c r="F159" s="585">
        <v>114.52</v>
      </c>
      <c r="G159" s="831">
        <f t="shared" si="9"/>
        <v>114.52</v>
      </c>
      <c r="H159" s="585">
        <f t="shared" si="10"/>
        <v>142.35</v>
      </c>
    </row>
    <row r="160" spans="1:8" ht="40.5" customHeight="1" x14ac:dyDescent="0.2">
      <c r="A160" s="582" t="s">
        <v>3158</v>
      </c>
      <c r="B160" s="583" t="s">
        <v>3159</v>
      </c>
      <c r="C160" s="583"/>
      <c r="D160" s="582" t="s">
        <v>3160</v>
      </c>
      <c r="E160" s="584" t="s">
        <v>1161</v>
      </c>
      <c r="F160" s="585">
        <v>82.99</v>
      </c>
      <c r="G160" s="831">
        <f t="shared" si="9"/>
        <v>82.99</v>
      </c>
      <c r="H160" s="585">
        <f t="shared" si="10"/>
        <v>103.16</v>
      </c>
    </row>
    <row r="161" spans="1:9" ht="40.5" customHeight="1" x14ac:dyDescent="0.2">
      <c r="A161" s="582" t="s">
        <v>3161</v>
      </c>
      <c r="B161" s="583" t="s">
        <v>3162</v>
      </c>
      <c r="C161" s="583"/>
      <c r="D161" s="582" t="s">
        <v>3163</v>
      </c>
      <c r="E161" s="584" t="s">
        <v>1161</v>
      </c>
      <c r="F161" s="585">
        <v>43.03</v>
      </c>
      <c r="G161" s="831">
        <f t="shared" si="9"/>
        <v>43.03</v>
      </c>
      <c r="H161" s="585">
        <f t="shared" si="10"/>
        <v>53.49</v>
      </c>
    </row>
    <row r="162" spans="1:9" ht="40.5" customHeight="1" x14ac:dyDescent="0.2">
      <c r="A162" s="582" t="s">
        <v>3164</v>
      </c>
      <c r="B162" s="583" t="s">
        <v>3165</v>
      </c>
      <c r="C162" s="583"/>
      <c r="D162" s="582" t="s">
        <v>3166</v>
      </c>
      <c r="E162" s="584" t="s">
        <v>1191</v>
      </c>
      <c r="F162" s="585">
        <v>43.84</v>
      </c>
      <c r="G162" s="831">
        <f t="shared" si="9"/>
        <v>43.84</v>
      </c>
      <c r="H162" s="585">
        <f t="shared" si="10"/>
        <v>54.49</v>
      </c>
    </row>
    <row r="163" spans="1:9" ht="40.5" customHeight="1" x14ac:dyDescent="0.2">
      <c r="A163" s="582" t="s">
        <v>3167</v>
      </c>
      <c r="B163" s="583" t="s">
        <v>3168</v>
      </c>
      <c r="C163" s="583"/>
      <c r="D163" s="582" t="s">
        <v>3169</v>
      </c>
      <c r="E163" s="584" t="s">
        <v>1191</v>
      </c>
      <c r="F163" s="585">
        <v>95.8</v>
      </c>
      <c r="G163" s="831">
        <f t="shared" si="9"/>
        <v>95.8</v>
      </c>
      <c r="H163" s="585">
        <f t="shared" si="10"/>
        <v>119.08</v>
      </c>
    </row>
    <row r="164" spans="1:9" ht="40.5" customHeight="1" x14ac:dyDescent="0.2">
      <c r="A164" s="582" t="s">
        <v>3170</v>
      </c>
      <c r="B164" s="583" t="s">
        <v>3171</v>
      </c>
      <c r="C164" s="583"/>
      <c r="D164" s="582" t="s">
        <v>3172</v>
      </c>
      <c r="E164" s="584" t="s">
        <v>1191</v>
      </c>
      <c r="F164" s="585">
        <v>113.79</v>
      </c>
      <c r="G164" s="831">
        <f t="shared" si="9"/>
        <v>113.79</v>
      </c>
      <c r="H164" s="585">
        <f t="shared" si="10"/>
        <v>141.44999999999999</v>
      </c>
    </row>
    <row r="165" spans="1:9" ht="40.5" customHeight="1" x14ac:dyDescent="0.2">
      <c r="A165" s="582" t="s">
        <v>3173</v>
      </c>
      <c r="B165" s="583" t="s">
        <v>3174</v>
      </c>
      <c r="C165" s="583"/>
      <c r="D165" s="582" t="s">
        <v>3175</v>
      </c>
      <c r="E165" s="584" t="s">
        <v>1161</v>
      </c>
      <c r="F165" s="585">
        <v>38.380000000000003</v>
      </c>
      <c r="G165" s="831">
        <f t="shared" si="9"/>
        <v>38.380000000000003</v>
      </c>
      <c r="H165" s="585">
        <f t="shared" si="10"/>
        <v>47.71</v>
      </c>
    </row>
    <row r="166" spans="1:9" ht="40.5" customHeight="1" x14ac:dyDescent="0.2">
      <c r="A166" s="582" t="s">
        <v>3176</v>
      </c>
      <c r="B166" s="583" t="s">
        <v>3177</v>
      </c>
      <c r="C166" s="583"/>
      <c r="D166" s="582" t="s">
        <v>3178</v>
      </c>
      <c r="E166" s="584" t="s">
        <v>1181</v>
      </c>
      <c r="F166" s="585">
        <v>20.07</v>
      </c>
      <c r="G166" s="831">
        <f t="shared" si="9"/>
        <v>20.07</v>
      </c>
      <c r="H166" s="585">
        <f t="shared" si="10"/>
        <v>24.94</v>
      </c>
    </row>
    <row r="167" spans="1:9" ht="40.5" customHeight="1" x14ac:dyDescent="0.2">
      <c r="A167" s="582" t="s">
        <v>3179</v>
      </c>
      <c r="B167" s="583" t="s">
        <v>3180</v>
      </c>
      <c r="C167" s="583"/>
      <c r="D167" s="582" t="s">
        <v>3181</v>
      </c>
      <c r="E167" s="584" t="s">
        <v>1161</v>
      </c>
      <c r="F167" s="585">
        <v>98.85</v>
      </c>
      <c r="G167" s="831">
        <f t="shared" si="9"/>
        <v>98.85</v>
      </c>
      <c r="H167" s="585">
        <f t="shared" si="10"/>
        <v>122.88</v>
      </c>
    </row>
    <row r="168" spans="1:9" ht="40.5" customHeight="1" x14ac:dyDescent="0.2">
      <c r="A168" s="582" t="s">
        <v>3182</v>
      </c>
      <c r="B168" s="583" t="s">
        <v>3183</v>
      </c>
      <c r="C168" s="583"/>
      <c r="D168" s="582" t="s">
        <v>3184</v>
      </c>
      <c r="E168" s="584" t="s">
        <v>1191</v>
      </c>
      <c r="F168" s="585">
        <v>64.41</v>
      </c>
      <c r="G168" s="831">
        <f t="shared" si="9"/>
        <v>64.41</v>
      </c>
      <c r="H168" s="585">
        <f t="shared" si="10"/>
        <v>80.06</v>
      </c>
    </row>
    <row r="169" spans="1:9" ht="40.5" customHeight="1" x14ac:dyDescent="0.2">
      <c r="A169" s="582" t="s">
        <v>3185</v>
      </c>
      <c r="B169" s="583" t="s">
        <v>3186</v>
      </c>
      <c r="C169" s="583"/>
      <c r="D169" s="582" t="s">
        <v>3187</v>
      </c>
      <c r="E169" s="584" t="s">
        <v>1161</v>
      </c>
      <c r="F169" s="585">
        <v>65.05</v>
      </c>
      <c r="G169" s="831">
        <f t="shared" si="9"/>
        <v>65.05</v>
      </c>
      <c r="H169" s="585">
        <f t="shared" si="10"/>
        <v>80.86</v>
      </c>
    </row>
    <row r="170" spans="1:9" ht="40.5" customHeight="1" x14ac:dyDescent="0.2">
      <c r="A170" s="582" t="s">
        <v>3188</v>
      </c>
      <c r="B170" s="583" t="s">
        <v>3189</v>
      </c>
      <c r="C170" s="583"/>
      <c r="D170" s="582" t="s">
        <v>3190</v>
      </c>
      <c r="E170" s="584" t="s">
        <v>1161</v>
      </c>
      <c r="F170" s="585">
        <v>64.59</v>
      </c>
      <c r="G170" s="831">
        <f t="shared" si="9"/>
        <v>64.59</v>
      </c>
      <c r="H170" s="585">
        <f t="shared" si="10"/>
        <v>80.290000000000006</v>
      </c>
    </row>
    <row r="171" spans="1:9" ht="40.5" customHeight="1" x14ac:dyDescent="0.2">
      <c r="A171" s="582" t="s">
        <v>3191</v>
      </c>
      <c r="B171" s="583" t="s">
        <v>3192</v>
      </c>
      <c r="C171" s="583"/>
      <c r="D171" s="582" t="s">
        <v>3193</v>
      </c>
      <c r="E171" s="584" t="s">
        <v>1161</v>
      </c>
      <c r="F171" s="585">
        <v>34.520000000000003</v>
      </c>
      <c r="G171" s="831">
        <f t="shared" si="9"/>
        <v>34.520000000000003</v>
      </c>
      <c r="H171" s="585">
        <f t="shared" si="10"/>
        <v>42.91</v>
      </c>
    </row>
    <row r="172" spans="1:9" ht="40.5" customHeight="1" x14ac:dyDescent="0.2">
      <c r="A172" s="582" t="s">
        <v>3194</v>
      </c>
      <c r="B172" s="583" t="s">
        <v>3195</v>
      </c>
      <c r="C172" s="583"/>
      <c r="D172" s="582" t="s">
        <v>3196</v>
      </c>
      <c r="E172" s="584" t="s">
        <v>1161</v>
      </c>
      <c r="F172" s="585">
        <v>97.19</v>
      </c>
      <c r="G172" s="831">
        <f t="shared" si="9"/>
        <v>97.19</v>
      </c>
      <c r="H172" s="585">
        <f t="shared" si="10"/>
        <v>120.81</v>
      </c>
    </row>
    <row r="173" spans="1:9" ht="40.5" customHeight="1" x14ac:dyDescent="0.2">
      <c r="A173" s="582" t="s">
        <v>3197</v>
      </c>
      <c r="B173" s="583" t="s">
        <v>3198</v>
      </c>
      <c r="C173" s="583"/>
      <c r="D173" s="582" t="s">
        <v>3199</v>
      </c>
      <c r="E173" s="584" t="s">
        <v>1191</v>
      </c>
      <c r="F173" s="585">
        <v>115.69</v>
      </c>
      <c r="G173" s="831">
        <f t="shared" si="9"/>
        <v>115.69</v>
      </c>
      <c r="H173" s="585">
        <f t="shared" si="10"/>
        <v>143.81</v>
      </c>
    </row>
    <row r="174" spans="1:9" s="568" customFormat="1" ht="40.5" customHeight="1" x14ac:dyDescent="0.2">
      <c r="A174" s="582" t="s">
        <v>3200</v>
      </c>
      <c r="B174" s="583" t="s">
        <v>3201</v>
      </c>
      <c r="C174" s="583"/>
      <c r="D174" s="582" t="s">
        <v>3202</v>
      </c>
      <c r="E174" s="584" t="s">
        <v>1161</v>
      </c>
      <c r="F174" s="585">
        <v>152.44</v>
      </c>
      <c r="G174" s="831">
        <f t="shared" si="9"/>
        <v>152.44</v>
      </c>
      <c r="H174" s="585">
        <f t="shared" si="10"/>
        <v>189.49</v>
      </c>
      <c r="I174" s="512"/>
    </row>
    <row r="175" spans="1:9" ht="40.5" customHeight="1" x14ac:dyDescent="0.2">
      <c r="A175" s="582" t="s">
        <v>3203</v>
      </c>
      <c r="B175" s="583" t="s">
        <v>3204</v>
      </c>
      <c r="C175" s="583"/>
      <c r="D175" s="582" t="s">
        <v>3205</v>
      </c>
      <c r="E175" s="584" t="s">
        <v>1191</v>
      </c>
      <c r="F175" s="585">
        <v>17.93</v>
      </c>
      <c r="G175" s="831">
        <f t="shared" si="9"/>
        <v>17.93</v>
      </c>
      <c r="H175" s="585">
        <f t="shared" si="10"/>
        <v>22.28</v>
      </c>
    </row>
    <row r="176" spans="1:9" ht="40.5" customHeight="1" x14ac:dyDescent="0.2">
      <c r="A176" s="582" t="s">
        <v>3206</v>
      </c>
      <c r="B176" s="583" t="s">
        <v>3207</v>
      </c>
      <c r="C176" s="583"/>
      <c r="D176" s="582" t="s">
        <v>3208</v>
      </c>
      <c r="E176" s="584" t="s">
        <v>1168</v>
      </c>
      <c r="F176" s="585">
        <v>5.31</v>
      </c>
      <c r="G176" s="831">
        <f t="shared" si="9"/>
        <v>5.31</v>
      </c>
      <c r="H176" s="585">
        <f t="shared" si="10"/>
        <v>6.6</v>
      </c>
    </row>
    <row r="177" spans="1:9" ht="40.5" customHeight="1" x14ac:dyDescent="0.2">
      <c r="A177" s="582" t="s">
        <v>3209</v>
      </c>
      <c r="B177" s="583" t="s">
        <v>3210</v>
      </c>
      <c r="C177" s="583"/>
      <c r="D177" s="582" t="s">
        <v>3211</v>
      </c>
      <c r="E177" s="584" t="s">
        <v>1231</v>
      </c>
      <c r="F177" s="585">
        <v>3.18</v>
      </c>
      <c r="G177" s="831">
        <f t="shared" si="9"/>
        <v>3.18</v>
      </c>
      <c r="H177" s="585">
        <f t="shared" si="10"/>
        <v>3.95</v>
      </c>
    </row>
    <row r="178" spans="1:9" ht="40.5" customHeight="1" x14ac:dyDescent="0.2">
      <c r="A178" s="582" t="s">
        <v>3212</v>
      </c>
      <c r="B178" s="583" t="s">
        <v>3213</v>
      </c>
      <c r="C178" s="583"/>
      <c r="D178" s="582" t="s">
        <v>3214</v>
      </c>
      <c r="E178" s="584" t="s">
        <v>646</v>
      </c>
      <c r="F178" s="585">
        <v>5000</v>
      </c>
      <c r="G178" s="831">
        <f t="shared" si="9"/>
        <v>5000</v>
      </c>
      <c r="H178" s="585">
        <f t="shared" si="10"/>
        <v>6215.5</v>
      </c>
    </row>
    <row r="179" spans="1:9" ht="40.5" customHeight="1" x14ac:dyDescent="0.2">
      <c r="A179" s="582" t="s">
        <v>3215</v>
      </c>
      <c r="B179" s="583" t="s">
        <v>3216</v>
      </c>
      <c r="C179" s="583"/>
      <c r="D179" s="582" t="s">
        <v>3217</v>
      </c>
      <c r="E179" s="584" t="s">
        <v>1126</v>
      </c>
      <c r="F179" s="585">
        <v>53.85</v>
      </c>
      <c r="G179" s="831">
        <f t="shared" si="9"/>
        <v>53.85</v>
      </c>
      <c r="H179" s="585">
        <f t="shared" si="10"/>
        <v>66.94</v>
      </c>
    </row>
    <row r="180" spans="1:9" ht="40.5" customHeight="1" x14ac:dyDescent="0.2">
      <c r="A180" s="834" t="s">
        <v>2733</v>
      </c>
      <c r="B180" s="835"/>
      <c r="C180" s="835"/>
      <c r="D180" s="836" t="s">
        <v>2734</v>
      </c>
      <c r="E180" s="837"/>
      <c r="F180" s="838"/>
      <c r="G180" s="838"/>
      <c r="H180" s="839"/>
      <c r="I180" s="568"/>
    </row>
    <row r="181" spans="1:9" ht="40.5" customHeight="1" x14ac:dyDescent="0.2">
      <c r="A181" s="840" t="s">
        <v>2735</v>
      </c>
      <c r="B181" s="841"/>
      <c r="C181" s="841"/>
      <c r="D181" s="842" t="s">
        <v>2729</v>
      </c>
      <c r="E181" s="843"/>
      <c r="F181" s="844"/>
      <c r="G181" s="844"/>
      <c r="H181" s="845"/>
    </row>
    <row r="182" spans="1:9" ht="40.5" customHeight="1" x14ac:dyDescent="0.2">
      <c r="A182" s="840" t="s">
        <v>2736</v>
      </c>
      <c r="B182" s="841"/>
      <c r="C182" s="841"/>
      <c r="D182" s="842" t="s">
        <v>2731</v>
      </c>
      <c r="E182" s="843"/>
      <c r="F182" s="844"/>
      <c r="G182" s="844"/>
      <c r="H182" s="845"/>
    </row>
    <row r="183" spans="1:9" ht="40.5" customHeight="1" x14ac:dyDescent="0.2">
      <c r="A183" s="827" t="s">
        <v>3218</v>
      </c>
      <c r="B183" s="828" t="s">
        <v>3219</v>
      </c>
      <c r="C183" s="828"/>
      <c r="D183" s="827" t="s">
        <v>3220</v>
      </c>
      <c r="E183" s="829" t="s">
        <v>646</v>
      </c>
      <c r="F183" s="830">
        <v>110.66</v>
      </c>
      <c r="G183" s="831">
        <f t="shared" ref="G183:G205" si="11">(F183*($H$11))</f>
        <v>110.66</v>
      </c>
      <c r="H183" s="830">
        <f t="shared" ref="H183:H205" si="12">TRUNC((F183*($H$11))*(1+$H$8),2)</f>
        <v>137.56</v>
      </c>
    </row>
    <row r="184" spans="1:9" ht="40.5" customHeight="1" x14ac:dyDescent="0.2">
      <c r="A184" s="582" t="s">
        <v>3221</v>
      </c>
      <c r="B184" s="583" t="s">
        <v>3222</v>
      </c>
      <c r="C184" s="583"/>
      <c r="D184" s="582" t="s">
        <v>3223</v>
      </c>
      <c r="E184" s="584" t="s">
        <v>646</v>
      </c>
      <c r="F184" s="585">
        <v>459.52</v>
      </c>
      <c r="G184" s="831">
        <f t="shared" si="11"/>
        <v>459.52</v>
      </c>
      <c r="H184" s="585">
        <f t="shared" si="12"/>
        <v>571.22</v>
      </c>
    </row>
    <row r="185" spans="1:9" ht="40.5" customHeight="1" x14ac:dyDescent="0.2">
      <c r="A185" s="582" t="s">
        <v>3224</v>
      </c>
      <c r="B185" s="583" t="s">
        <v>3225</v>
      </c>
      <c r="C185" s="583"/>
      <c r="D185" s="582" t="s">
        <v>3226</v>
      </c>
      <c r="E185" s="584" t="s">
        <v>646</v>
      </c>
      <c r="F185" s="585">
        <v>204.25</v>
      </c>
      <c r="G185" s="831">
        <f t="shared" si="11"/>
        <v>204.25</v>
      </c>
      <c r="H185" s="585">
        <f t="shared" si="12"/>
        <v>253.9</v>
      </c>
    </row>
    <row r="186" spans="1:9" ht="40.5" customHeight="1" x14ac:dyDescent="0.2">
      <c r="A186" s="582" t="s">
        <v>3227</v>
      </c>
      <c r="B186" s="583" t="s">
        <v>3228</v>
      </c>
      <c r="C186" s="583"/>
      <c r="D186" s="582" t="s">
        <v>3229</v>
      </c>
      <c r="E186" s="584" t="s">
        <v>1191</v>
      </c>
      <c r="F186" s="585">
        <v>34.29</v>
      </c>
      <c r="G186" s="831">
        <f t="shared" si="11"/>
        <v>34.29</v>
      </c>
      <c r="H186" s="585">
        <f t="shared" si="12"/>
        <v>42.62</v>
      </c>
    </row>
    <row r="187" spans="1:9" ht="40.5" customHeight="1" x14ac:dyDescent="0.2">
      <c r="A187" s="582" t="s">
        <v>3230</v>
      </c>
      <c r="B187" s="583" t="s">
        <v>3231</v>
      </c>
      <c r="C187" s="583"/>
      <c r="D187" s="582" t="s">
        <v>3232</v>
      </c>
      <c r="E187" s="584" t="s">
        <v>1191</v>
      </c>
      <c r="F187" s="585">
        <v>50.68</v>
      </c>
      <c r="G187" s="831">
        <f t="shared" si="11"/>
        <v>50.68</v>
      </c>
      <c r="H187" s="585">
        <f t="shared" si="12"/>
        <v>63</v>
      </c>
    </row>
    <row r="188" spans="1:9" ht="40.5" customHeight="1" x14ac:dyDescent="0.2">
      <c r="A188" s="582" t="s">
        <v>3233</v>
      </c>
      <c r="B188" s="583" t="s">
        <v>3234</v>
      </c>
      <c r="C188" s="583"/>
      <c r="D188" s="582" t="s">
        <v>3235</v>
      </c>
      <c r="E188" s="584" t="s">
        <v>1191</v>
      </c>
      <c r="F188" s="585">
        <v>103.84</v>
      </c>
      <c r="G188" s="831">
        <f t="shared" si="11"/>
        <v>103.84</v>
      </c>
      <c r="H188" s="585">
        <f t="shared" si="12"/>
        <v>129.08000000000001</v>
      </c>
    </row>
    <row r="189" spans="1:9" ht="40.5" customHeight="1" x14ac:dyDescent="0.2">
      <c r="A189" s="582" t="s">
        <v>3236</v>
      </c>
      <c r="B189" s="583" t="s">
        <v>3237</v>
      </c>
      <c r="C189" s="583"/>
      <c r="D189" s="582" t="s">
        <v>3238</v>
      </c>
      <c r="E189" s="584" t="s">
        <v>1191</v>
      </c>
      <c r="F189" s="585">
        <v>78.290000000000006</v>
      </c>
      <c r="G189" s="831">
        <f t="shared" si="11"/>
        <v>78.290000000000006</v>
      </c>
      <c r="H189" s="585">
        <f t="shared" si="12"/>
        <v>97.32</v>
      </c>
    </row>
    <row r="190" spans="1:9" ht="40.5" customHeight="1" x14ac:dyDescent="0.2">
      <c r="A190" s="582" t="s">
        <v>3239</v>
      </c>
      <c r="B190" s="583" t="s">
        <v>3240</v>
      </c>
      <c r="C190" s="583"/>
      <c r="D190" s="582" t="s">
        <v>3241</v>
      </c>
      <c r="E190" s="584" t="s">
        <v>1191</v>
      </c>
      <c r="F190" s="585">
        <v>61.09</v>
      </c>
      <c r="G190" s="831">
        <f t="shared" si="11"/>
        <v>61.09</v>
      </c>
      <c r="H190" s="585">
        <f t="shared" si="12"/>
        <v>75.94</v>
      </c>
    </row>
    <row r="191" spans="1:9" ht="40.5" customHeight="1" x14ac:dyDescent="0.2">
      <c r="A191" s="582" t="s">
        <v>3242</v>
      </c>
      <c r="B191" s="583" t="s">
        <v>3243</v>
      </c>
      <c r="C191" s="583"/>
      <c r="D191" s="582" t="s">
        <v>3244</v>
      </c>
      <c r="E191" s="584" t="s">
        <v>1191</v>
      </c>
      <c r="F191" s="585">
        <v>75.08</v>
      </c>
      <c r="G191" s="831">
        <f t="shared" si="11"/>
        <v>75.08</v>
      </c>
      <c r="H191" s="585">
        <f t="shared" si="12"/>
        <v>93.33</v>
      </c>
    </row>
    <row r="192" spans="1:9" ht="40.5" customHeight="1" x14ac:dyDescent="0.2">
      <c r="A192" s="582" t="s">
        <v>3245</v>
      </c>
      <c r="B192" s="583" t="s">
        <v>3246</v>
      </c>
      <c r="C192" s="583"/>
      <c r="D192" s="582" t="s">
        <v>3247</v>
      </c>
      <c r="E192" s="584" t="s">
        <v>646</v>
      </c>
      <c r="F192" s="585">
        <v>425.21</v>
      </c>
      <c r="G192" s="831">
        <f t="shared" si="11"/>
        <v>425.21</v>
      </c>
      <c r="H192" s="585">
        <f t="shared" si="12"/>
        <v>528.57000000000005</v>
      </c>
    </row>
    <row r="193" spans="1:8" ht="40.5" customHeight="1" x14ac:dyDescent="0.2">
      <c r="A193" s="582" t="s">
        <v>3248</v>
      </c>
      <c r="B193" s="583" t="s">
        <v>3249</v>
      </c>
      <c r="C193" s="583"/>
      <c r="D193" s="582" t="s">
        <v>3250</v>
      </c>
      <c r="E193" s="584" t="s">
        <v>646</v>
      </c>
      <c r="F193" s="585">
        <v>178.04</v>
      </c>
      <c r="G193" s="831">
        <f t="shared" si="11"/>
        <v>178.04</v>
      </c>
      <c r="H193" s="585">
        <f t="shared" si="12"/>
        <v>221.32</v>
      </c>
    </row>
    <row r="194" spans="1:8" ht="40.5" customHeight="1" x14ac:dyDescent="0.2">
      <c r="A194" s="582" t="s">
        <v>3251</v>
      </c>
      <c r="B194" s="583" t="s">
        <v>3252</v>
      </c>
      <c r="C194" s="583"/>
      <c r="D194" s="582" t="s">
        <v>3253</v>
      </c>
      <c r="E194" s="584" t="s">
        <v>646</v>
      </c>
      <c r="F194" s="585">
        <v>416.79</v>
      </c>
      <c r="G194" s="831">
        <f t="shared" si="11"/>
        <v>416.79</v>
      </c>
      <c r="H194" s="585">
        <f t="shared" si="12"/>
        <v>518.11</v>
      </c>
    </row>
    <row r="195" spans="1:8" ht="40.5" customHeight="1" x14ac:dyDescent="0.2">
      <c r="A195" s="582" t="s">
        <v>3254</v>
      </c>
      <c r="B195" s="583" t="s">
        <v>3255</v>
      </c>
      <c r="C195" s="583"/>
      <c r="D195" s="582" t="s">
        <v>3256</v>
      </c>
      <c r="E195" s="584" t="s">
        <v>646</v>
      </c>
      <c r="F195" s="585">
        <v>1258.95</v>
      </c>
      <c r="G195" s="831">
        <f t="shared" si="11"/>
        <v>1258.95</v>
      </c>
      <c r="H195" s="585">
        <f t="shared" si="12"/>
        <v>1565</v>
      </c>
    </row>
    <row r="196" spans="1:8" ht="40.5" customHeight="1" x14ac:dyDescent="0.2">
      <c r="A196" s="582" t="s">
        <v>3257</v>
      </c>
      <c r="B196" s="583" t="s">
        <v>3258</v>
      </c>
      <c r="C196" s="583"/>
      <c r="D196" s="582" t="s">
        <v>3259</v>
      </c>
      <c r="E196" s="584" t="s">
        <v>646</v>
      </c>
      <c r="F196" s="585">
        <v>56.89</v>
      </c>
      <c r="G196" s="831">
        <f t="shared" si="11"/>
        <v>56.89</v>
      </c>
      <c r="H196" s="585">
        <f t="shared" si="12"/>
        <v>70.709999999999994</v>
      </c>
    </row>
    <row r="197" spans="1:8" ht="40.5" customHeight="1" x14ac:dyDescent="0.2">
      <c r="A197" s="582" t="s">
        <v>3260</v>
      </c>
      <c r="B197" s="583" t="s">
        <v>3261</v>
      </c>
      <c r="C197" s="583"/>
      <c r="D197" s="582" t="s">
        <v>3262</v>
      </c>
      <c r="E197" s="584" t="s">
        <v>646</v>
      </c>
      <c r="F197" s="585">
        <v>559.84</v>
      </c>
      <c r="G197" s="831">
        <f t="shared" si="11"/>
        <v>559.84</v>
      </c>
      <c r="H197" s="585">
        <f t="shared" si="12"/>
        <v>695.93</v>
      </c>
    </row>
    <row r="198" spans="1:8" ht="40.5" customHeight="1" x14ac:dyDescent="0.2">
      <c r="A198" s="582" t="s">
        <v>3263</v>
      </c>
      <c r="B198" s="583" t="s">
        <v>3264</v>
      </c>
      <c r="C198" s="583"/>
      <c r="D198" s="582" t="s">
        <v>3265</v>
      </c>
      <c r="E198" s="584" t="s">
        <v>646</v>
      </c>
      <c r="F198" s="585">
        <v>48.96</v>
      </c>
      <c r="G198" s="831">
        <f t="shared" si="11"/>
        <v>48.96</v>
      </c>
      <c r="H198" s="585">
        <f t="shared" si="12"/>
        <v>60.86</v>
      </c>
    </row>
    <row r="199" spans="1:8" ht="40.5" customHeight="1" x14ac:dyDescent="0.2">
      <c r="A199" s="582" t="s">
        <v>3266</v>
      </c>
      <c r="B199" s="583" t="s">
        <v>3267</v>
      </c>
      <c r="C199" s="583"/>
      <c r="D199" s="582" t="s">
        <v>3268</v>
      </c>
      <c r="E199" s="584" t="s">
        <v>1191</v>
      </c>
      <c r="F199" s="585">
        <v>62.95</v>
      </c>
      <c r="G199" s="831">
        <f t="shared" si="11"/>
        <v>62.95</v>
      </c>
      <c r="H199" s="585">
        <f t="shared" si="12"/>
        <v>78.25</v>
      </c>
    </row>
    <row r="200" spans="1:8" ht="40.5" customHeight="1" x14ac:dyDescent="0.2">
      <c r="A200" s="582" t="s">
        <v>3269</v>
      </c>
      <c r="B200" s="583" t="s">
        <v>3270</v>
      </c>
      <c r="C200" s="583"/>
      <c r="D200" s="582" t="s">
        <v>3271</v>
      </c>
      <c r="E200" s="584" t="s">
        <v>646</v>
      </c>
      <c r="F200" s="585">
        <v>3037.01</v>
      </c>
      <c r="G200" s="831">
        <f t="shared" si="11"/>
        <v>3037.01</v>
      </c>
      <c r="H200" s="585">
        <f t="shared" si="12"/>
        <v>3775.3</v>
      </c>
    </row>
    <row r="201" spans="1:8" ht="40.5" customHeight="1" x14ac:dyDescent="0.2">
      <c r="A201" s="582" t="s">
        <v>3272</v>
      </c>
      <c r="B201" s="583" t="s">
        <v>3273</v>
      </c>
      <c r="C201" s="583"/>
      <c r="D201" s="582" t="s">
        <v>3274</v>
      </c>
      <c r="E201" s="584" t="s">
        <v>646</v>
      </c>
      <c r="F201" s="585">
        <v>5143.1899999999996</v>
      </c>
      <c r="G201" s="831">
        <f t="shared" si="11"/>
        <v>5143.1899999999996</v>
      </c>
      <c r="H201" s="585">
        <f t="shared" si="12"/>
        <v>6393.49</v>
      </c>
    </row>
    <row r="202" spans="1:8" ht="40.5" customHeight="1" x14ac:dyDescent="0.2">
      <c r="A202" s="582" t="s">
        <v>3275</v>
      </c>
      <c r="B202" s="583" t="s">
        <v>3276</v>
      </c>
      <c r="C202" s="583"/>
      <c r="D202" s="582" t="s">
        <v>3277</v>
      </c>
      <c r="E202" s="584" t="s">
        <v>646</v>
      </c>
      <c r="F202" s="585">
        <v>9312.76</v>
      </c>
      <c r="G202" s="831">
        <f t="shared" si="11"/>
        <v>9312.76</v>
      </c>
      <c r="H202" s="585">
        <f t="shared" si="12"/>
        <v>11576.69</v>
      </c>
    </row>
    <row r="203" spans="1:8" ht="40.5" customHeight="1" x14ac:dyDescent="0.2">
      <c r="A203" s="582" t="s">
        <v>3278</v>
      </c>
      <c r="B203" s="583" t="s">
        <v>3279</v>
      </c>
      <c r="C203" s="583"/>
      <c r="D203" s="582" t="s">
        <v>3229</v>
      </c>
      <c r="E203" s="584" t="s">
        <v>1191</v>
      </c>
      <c r="F203" s="585">
        <v>34.29</v>
      </c>
      <c r="G203" s="831">
        <f t="shared" si="11"/>
        <v>34.29</v>
      </c>
      <c r="H203" s="585">
        <f t="shared" si="12"/>
        <v>42.62</v>
      </c>
    </row>
    <row r="204" spans="1:8" ht="40.5" customHeight="1" x14ac:dyDescent="0.2">
      <c r="A204" s="582" t="s">
        <v>3280</v>
      </c>
      <c r="B204" s="583" t="s">
        <v>3281</v>
      </c>
      <c r="C204" s="583"/>
      <c r="D204" s="582" t="s">
        <v>3232</v>
      </c>
      <c r="E204" s="584" t="s">
        <v>1191</v>
      </c>
      <c r="F204" s="585">
        <v>50.68</v>
      </c>
      <c r="G204" s="831">
        <f t="shared" si="11"/>
        <v>50.68</v>
      </c>
      <c r="H204" s="585">
        <f t="shared" si="12"/>
        <v>63</v>
      </c>
    </row>
    <row r="205" spans="1:8" ht="40.5" customHeight="1" x14ac:dyDescent="0.2">
      <c r="A205" s="582" t="s">
        <v>3282</v>
      </c>
      <c r="B205" s="583">
        <v>98558</v>
      </c>
      <c r="C205" s="583"/>
      <c r="D205" s="582" t="s">
        <v>3283</v>
      </c>
      <c r="E205" s="584" t="s">
        <v>646</v>
      </c>
      <c r="F205" s="585">
        <v>9.6300000000000008</v>
      </c>
      <c r="G205" s="831">
        <f t="shared" si="11"/>
        <v>9.6300000000000008</v>
      </c>
      <c r="H205" s="585">
        <f t="shared" si="12"/>
        <v>11.97</v>
      </c>
    </row>
    <row r="206" spans="1:8" ht="40.5" customHeight="1" x14ac:dyDescent="0.2">
      <c r="A206" s="840" t="s">
        <v>2737</v>
      </c>
      <c r="B206" s="841"/>
      <c r="C206" s="841"/>
      <c r="D206" s="842" t="s">
        <v>2712</v>
      </c>
      <c r="E206" s="843"/>
      <c r="F206" s="844"/>
      <c r="G206" s="844"/>
      <c r="H206" s="845"/>
    </row>
    <row r="207" spans="1:8" ht="40.5" customHeight="1" x14ac:dyDescent="0.2">
      <c r="A207" s="827" t="s">
        <v>3284</v>
      </c>
      <c r="B207" s="828" t="s">
        <v>3285</v>
      </c>
      <c r="C207" s="828"/>
      <c r="D207" s="827" t="s">
        <v>3286</v>
      </c>
      <c r="E207" s="829" t="s">
        <v>646</v>
      </c>
      <c r="F207" s="830">
        <v>149.94999999999999</v>
      </c>
      <c r="G207" s="831">
        <f t="shared" ref="G207:G219" si="13">(F207*($H$11))</f>
        <v>149.94999999999999</v>
      </c>
      <c r="H207" s="830">
        <f t="shared" ref="H207:H219" si="14">TRUNC((F207*($H$11))*(1+$H$8),2)</f>
        <v>186.4</v>
      </c>
    </row>
    <row r="208" spans="1:8" ht="40.5" customHeight="1" x14ac:dyDescent="0.2">
      <c r="A208" s="582" t="s">
        <v>3287</v>
      </c>
      <c r="B208" s="583" t="s">
        <v>3288</v>
      </c>
      <c r="C208" s="583"/>
      <c r="D208" s="582" t="s">
        <v>3289</v>
      </c>
      <c r="E208" s="584" t="s">
        <v>646</v>
      </c>
      <c r="F208" s="585">
        <v>299.89999999999998</v>
      </c>
      <c r="G208" s="831">
        <f t="shared" si="13"/>
        <v>299.89999999999998</v>
      </c>
      <c r="H208" s="585">
        <f t="shared" si="14"/>
        <v>372.8</v>
      </c>
    </row>
    <row r="209" spans="1:9" ht="40.5" customHeight="1" x14ac:dyDescent="0.2">
      <c r="A209" s="582" t="s">
        <v>3290</v>
      </c>
      <c r="B209" s="583" t="s">
        <v>3291</v>
      </c>
      <c r="C209" s="583"/>
      <c r="D209" s="582" t="s">
        <v>3292</v>
      </c>
      <c r="E209" s="584" t="s">
        <v>646</v>
      </c>
      <c r="F209" s="585">
        <v>328.38</v>
      </c>
      <c r="G209" s="831">
        <f t="shared" si="13"/>
        <v>328.38</v>
      </c>
      <c r="H209" s="585">
        <f t="shared" si="14"/>
        <v>408.2</v>
      </c>
    </row>
    <row r="210" spans="1:9" ht="40.5" customHeight="1" x14ac:dyDescent="0.2">
      <c r="A210" s="582" t="s">
        <v>3293</v>
      </c>
      <c r="B210" s="583" t="s">
        <v>3294</v>
      </c>
      <c r="C210" s="583"/>
      <c r="D210" s="582" t="s">
        <v>3295</v>
      </c>
      <c r="E210" s="584" t="s">
        <v>646</v>
      </c>
      <c r="F210" s="585">
        <v>75.86</v>
      </c>
      <c r="G210" s="831">
        <f t="shared" si="13"/>
        <v>75.86</v>
      </c>
      <c r="H210" s="585">
        <f t="shared" si="14"/>
        <v>94.3</v>
      </c>
    </row>
    <row r="211" spans="1:9" ht="40.5" customHeight="1" x14ac:dyDescent="0.2">
      <c r="A211" s="582" t="s">
        <v>3296</v>
      </c>
      <c r="B211" s="583" t="s">
        <v>3297</v>
      </c>
      <c r="C211" s="583"/>
      <c r="D211" s="582" t="s">
        <v>3298</v>
      </c>
      <c r="E211" s="584" t="s">
        <v>646</v>
      </c>
      <c r="F211" s="585">
        <v>64.97</v>
      </c>
      <c r="G211" s="831">
        <f t="shared" si="13"/>
        <v>64.97</v>
      </c>
      <c r="H211" s="585">
        <f t="shared" si="14"/>
        <v>80.760000000000005</v>
      </c>
    </row>
    <row r="212" spans="1:9" ht="40.5" customHeight="1" x14ac:dyDescent="0.2">
      <c r="A212" s="582" t="s">
        <v>3299</v>
      </c>
      <c r="B212" s="583" t="s">
        <v>3300</v>
      </c>
      <c r="C212" s="583"/>
      <c r="D212" s="582" t="s">
        <v>3301</v>
      </c>
      <c r="E212" s="584" t="s">
        <v>646</v>
      </c>
      <c r="F212" s="585">
        <v>391.8</v>
      </c>
      <c r="G212" s="831">
        <f t="shared" si="13"/>
        <v>391.8</v>
      </c>
      <c r="H212" s="585">
        <f t="shared" si="14"/>
        <v>487.04</v>
      </c>
    </row>
    <row r="213" spans="1:9" ht="40.5" customHeight="1" x14ac:dyDescent="0.2">
      <c r="A213" s="582" t="s">
        <v>3302</v>
      </c>
      <c r="B213" s="583" t="s">
        <v>3303</v>
      </c>
      <c r="C213" s="583"/>
      <c r="D213" s="582" t="s">
        <v>3304</v>
      </c>
      <c r="E213" s="584" t="s">
        <v>646</v>
      </c>
      <c r="F213" s="585">
        <v>392.99</v>
      </c>
      <c r="G213" s="831">
        <f t="shared" si="13"/>
        <v>392.99</v>
      </c>
      <c r="H213" s="585">
        <f t="shared" si="14"/>
        <v>488.52</v>
      </c>
    </row>
    <row r="214" spans="1:9" s="568" customFormat="1" ht="40.5" customHeight="1" x14ac:dyDescent="0.2">
      <c r="A214" s="582" t="s">
        <v>3305</v>
      </c>
      <c r="B214" s="583" t="s">
        <v>3306</v>
      </c>
      <c r="C214" s="583"/>
      <c r="D214" s="582" t="s">
        <v>3307</v>
      </c>
      <c r="E214" s="584" t="s">
        <v>646</v>
      </c>
      <c r="F214" s="585">
        <v>197.44</v>
      </c>
      <c r="G214" s="831">
        <f t="shared" si="13"/>
        <v>197.44</v>
      </c>
      <c r="H214" s="585">
        <f t="shared" si="14"/>
        <v>245.43</v>
      </c>
      <c r="I214" s="512"/>
    </row>
    <row r="215" spans="1:9" ht="40.5" customHeight="1" x14ac:dyDescent="0.2">
      <c r="A215" s="582" t="s">
        <v>3308</v>
      </c>
      <c r="B215" s="583" t="s">
        <v>3309</v>
      </c>
      <c r="C215" s="583"/>
      <c r="D215" s="582" t="s">
        <v>3310</v>
      </c>
      <c r="E215" s="584" t="s">
        <v>646</v>
      </c>
      <c r="F215" s="585">
        <v>81.53</v>
      </c>
      <c r="G215" s="831">
        <f t="shared" si="13"/>
        <v>81.53</v>
      </c>
      <c r="H215" s="585">
        <f t="shared" si="14"/>
        <v>101.34</v>
      </c>
    </row>
    <row r="216" spans="1:9" ht="40.5" customHeight="1" x14ac:dyDescent="0.2">
      <c r="A216" s="582" t="s">
        <v>3311</v>
      </c>
      <c r="B216" s="583" t="s">
        <v>3312</v>
      </c>
      <c r="C216" s="583"/>
      <c r="D216" s="582" t="s">
        <v>3313</v>
      </c>
      <c r="E216" s="584" t="s">
        <v>646</v>
      </c>
      <c r="F216" s="585">
        <v>114.63</v>
      </c>
      <c r="G216" s="831">
        <f t="shared" si="13"/>
        <v>114.63</v>
      </c>
      <c r="H216" s="585">
        <f t="shared" si="14"/>
        <v>142.49</v>
      </c>
    </row>
    <row r="217" spans="1:9" ht="40.5" customHeight="1" x14ac:dyDescent="0.2">
      <c r="A217" s="582" t="s">
        <v>3314</v>
      </c>
      <c r="B217" s="583" t="s">
        <v>3315</v>
      </c>
      <c r="C217" s="583"/>
      <c r="D217" s="582" t="s">
        <v>3316</v>
      </c>
      <c r="E217" s="584" t="s">
        <v>646</v>
      </c>
      <c r="F217" s="585">
        <v>853.87</v>
      </c>
      <c r="G217" s="831">
        <f t="shared" si="13"/>
        <v>853.87</v>
      </c>
      <c r="H217" s="585">
        <f t="shared" si="14"/>
        <v>1061.44</v>
      </c>
    </row>
    <row r="218" spans="1:9" ht="40.5" customHeight="1" x14ac:dyDescent="0.2">
      <c r="A218" s="582" t="s">
        <v>3317</v>
      </c>
      <c r="B218" s="583" t="s">
        <v>3318</v>
      </c>
      <c r="C218" s="583"/>
      <c r="D218" s="582" t="s">
        <v>3319</v>
      </c>
      <c r="E218" s="584" t="s">
        <v>646</v>
      </c>
      <c r="F218" s="585">
        <v>5000</v>
      </c>
      <c r="G218" s="831">
        <f t="shared" si="13"/>
        <v>5000</v>
      </c>
      <c r="H218" s="585">
        <f t="shared" si="14"/>
        <v>6215.5</v>
      </c>
    </row>
    <row r="219" spans="1:9" ht="40.5" customHeight="1" x14ac:dyDescent="0.2">
      <c r="A219" s="582" t="s">
        <v>3320</v>
      </c>
      <c r="B219" s="583" t="s">
        <v>3321</v>
      </c>
      <c r="C219" s="583"/>
      <c r="D219" s="582" t="s">
        <v>3322</v>
      </c>
      <c r="E219" s="584" t="s">
        <v>1126</v>
      </c>
      <c r="F219" s="585">
        <v>54.96</v>
      </c>
      <c r="G219" s="831">
        <f t="shared" si="13"/>
        <v>54.96</v>
      </c>
      <c r="H219" s="585">
        <f t="shared" si="14"/>
        <v>68.319999999999993</v>
      </c>
    </row>
    <row r="220" spans="1:9" ht="40.5" customHeight="1" x14ac:dyDescent="0.2">
      <c r="A220" s="834" t="s">
        <v>2738</v>
      </c>
      <c r="B220" s="835"/>
      <c r="C220" s="835"/>
      <c r="D220" s="836" t="s">
        <v>2739</v>
      </c>
      <c r="E220" s="837"/>
      <c r="F220" s="838"/>
      <c r="G220" s="838"/>
      <c r="H220" s="839"/>
      <c r="I220" s="568"/>
    </row>
    <row r="221" spans="1:9" ht="40.5" customHeight="1" x14ac:dyDescent="0.2">
      <c r="A221" s="840" t="s">
        <v>2740</v>
      </c>
      <c r="B221" s="841"/>
      <c r="C221" s="841"/>
      <c r="D221" s="842" t="s">
        <v>2729</v>
      </c>
      <c r="E221" s="843"/>
      <c r="F221" s="844"/>
      <c r="G221" s="844"/>
      <c r="H221" s="845"/>
    </row>
    <row r="222" spans="1:9" ht="40.5" customHeight="1" x14ac:dyDescent="0.2">
      <c r="A222" s="840" t="s">
        <v>2741</v>
      </c>
      <c r="B222" s="841"/>
      <c r="C222" s="841"/>
      <c r="D222" s="842" t="s">
        <v>2731</v>
      </c>
      <c r="E222" s="843"/>
      <c r="F222" s="844"/>
      <c r="G222" s="844"/>
      <c r="H222" s="845"/>
    </row>
    <row r="223" spans="1:9" ht="40.5" customHeight="1" x14ac:dyDescent="0.2">
      <c r="A223" s="827" t="s">
        <v>3323</v>
      </c>
      <c r="B223" s="828" t="s">
        <v>3324</v>
      </c>
      <c r="C223" s="828"/>
      <c r="D223" s="827" t="s">
        <v>3325</v>
      </c>
      <c r="E223" s="829" t="s">
        <v>1191</v>
      </c>
      <c r="F223" s="830">
        <v>160.91999999999999</v>
      </c>
      <c r="G223" s="831">
        <f t="shared" ref="G223:G238" si="15">(F223*($H$11))</f>
        <v>160.91999999999999</v>
      </c>
      <c r="H223" s="830">
        <f t="shared" ref="H223:H238" si="16">TRUNC((F223*($H$11))*(1+$H$8),2)</f>
        <v>200.03</v>
      </c>
    </row>
    <row r="224" spans="1:9" ht="40.5" customHeight="1" x14ac:dyDescent="0.2">
      <c r="A224" s="582" t="s">
        <v>3326</v>
      </c>
      <c r="B224" s="583" t="s">
        <v>3327</v>
      </c>
      <c r="C224" s="583"/>
      <c r="D224" s="582" t="s">
        <v>3328</v>
      </c>
      <c r="E224" s="584" t="s">
        <v>1191</v>
      </c>
      <c r="F224" s="585">
        <v>257.83999999999997</v>
      </c>
      <c r="G224" s="831">
        <f t="shared" si="15"/>
        <v>257.83999999999997</v>
      </c>
      <c r="H224" s="585">
        <f t="shared" si="16"/>
        <v>320.52</v>
      </c>
    </row>
    <row r="225" spans="1:9" ht="40.5" customHeight="1" x14ac:dyDescent="0.2">
      <c r="A225" s="582" t="s">
        <v>3329</v>
      </c>
      <c r="B225" s="583" t="s">
        <v>3330</v>
      </c>
      <c r="C225" s="583"/>
      <c r="D225" s="582" t="s">
        <v>3331</v>
      </c>
      <c r="E225" s="584" t="s">
        <v>1191</v>
      </c>
      <c r="F225" s="585">
        <v>489.17</v>
      </c>
      <c r="G225" s="831">
        <f t="shared" si="15"/>
        <v>489.17</v>
      </c>
      <c r="H225" s="585">
        <f t="shared" si="16"/>
        <v>608.08000000000004</v>
      </c>
    </row>
    <row r="226" spans="1:9" ht="40.5" customHeight="1" x14ac:dyDescent="0.2">
      <c r="A226" s="582" t="s">
        <v>3332</v>
      </c>
      <c r="B226" s="583" t="s">
        <v>3333</v>
      </c>
      <c r="C226" s="583"/>
      <c r="D226" s="582" t="s">
        <v>3334</v>
      </c>
      <c r="E226" s="584" t="s">
        <v>646</v>
      </c>
      <c r="F226" s="585">
        <v>631.39</v>
      </c>
      <c r="G226" s="831">
        <f t="shared" si="15"/>
        <v>631.39</v>
      </c>
      <c r="H226" s="585">
        <f t="shared" si="16"/>
        <v>784.88</v>
      </c>
    </row>
    <row r="227" spans="1:9" ht="40.5" customHeight="1" x14ac:dyDescent="0.2">
      <c r="A227" s="582" t="s">
        <v>3335</v>
      </c>
      <c r="B227" s="583" t="s">
        <v>3336</v>
      </c>
      <c r="C227" s="583"/>
      <c r="D227" s="582" t="s">
        <v>3337</v>
      </c>
      <c r="E227" s="584" t="s">
        <v>646</v>
      </c>
      <c r="F227" s="585">
        <v>404.96</v>
      </c>
      <c r="G227" s="831">
        <f t="shared" si="15"/>
        <v>404.96</v>
      </c>
      <c r="H227" s="585">
        <f t="shared" si="16"/>
        <v>503.4</v>
      </c>
    </row>
    <row r="228" spans="1:9" ht="40.5" customHeight="1" x14ac:dyDescent="0.2">
      <c r="A228" s="582" t="s">
        <v>3338</v>
      </c>
      <c r="B228" s="583" t="s">
        <v>3339</v>
      </c>
      <c r="C228" s="583"/>
      <c r="D228" s="582" t="s">
        <v>3340</v>
      </c>
      <c r="E228" s="584" t="s">
        <v>646</v>
      </c>
      <c r="F228" s="585">
        <v>1968.09</v>
      </c>
      <c r="G228" s="831">
        <f t="shared" si="15"/>
        <v>1968.09</v>
      </c>
      <c r="H228" s="585">
        <f t="shared" si="16"/>
        <v>2446.5300000000002</v>
      </c>
    </row>
    <row r="229" spans="1:9" ht="40.5" customHeight="1" x14ac:dyDescent="0.2">
      <c r="A229" s="582" t="s">
        <v>3341</v>
      </c>
      <c r="B229" s="583" t="s">
        <v>3342</v>
      </c>
      <c r="C229" s="583"/>
      <c r="D229" s="582" t="s">
        <v>3343</v>
      </c>
      <c r="E229" s="584" t="s">
        <v>646</v>
      </c>
      <c r="F229" s="585">
        <v>64.349999999999994</v>
      </c>
      <c r="G229" s="831">
        <f t="shared" si="15"/>
        <v>64.349999999999994</v>
      </c>
      <c r="H229" s="585">
        <f t="shared" si="16"/>
        <v>79.989999999999995</v>
      </c>
    </row>
    <row r="230" spans="1:9" ht="40.5" customHeight="1" x14ac:dyDescent="0.2">
      <c r="A230" s="582" t="s">
        <v>3344</v>
      </c>
      <c r="B230" s="583" t="s">
        <v>3345</v>
      </c>
      <c r="C230" s="583"/>
      <c r="D230" s="582" t="s">
        <v>3346</v>
      </c>
      <c r="E230" s="584" t="s">
        <v>646</v>
      </c>
      <c r="F230" s="585">
        <v>405.12</v>
      </c>
      <c r="G230" s="831">
        <f t="shared" si="15"/>
        <v>405.12</v>
      </c>
      <c r="H230" s="585">
        <f t="shared" si="16"/>
        <v>503.6</v>
      </c>
    </row>
    <row r="231" spans="1:9" ht="40.5" customHeight="1" x14ac:dyDescent="0.2">
      <c r="A231" s="582" t="s">
        <v>3347</v>
      </c>
      <c r="B231" s="583" t="s">
        <v>3348</v>
      </c>
      <c r="C231" s="583"/>
      <c r="D231" s="582" t="s">
        <v>3349</v>
      </c>
      <c r="E231" s="584" t="s">
        <v>646</v>
      </c>
      <c r="F231" s="585">
        <v>263.29000000000002</v>
      </c>
      <c r="G231" s="831">
        <f t="shared" si="15"/>
        <v>263.29000000000002</v>
      </c>
      <c r="H231" s="585">
        <f t="shared" si="16"/>
        <v>327.29000000000002</v>
      </c>
    </row>
    <row r="232" spans="1:9" ht="40.5" customHeight="1" x14ac:dyDescent="0.2">
      <c r="A232" s="582" t="s">
        <v>3350</v>
      </c>
      <c r="B232" s="583" t="s">
        <v>3351</v>
      </c>
      <c r="C232" s="583"/>
      <c r="D232" s="582" t="s">
        <v>3352</v>
      </c>
      <c r="E232" s="584" t="s">
        <v>646</v>
      </c>
      <c r="F232" s="585">
        <v>230.43</v>
      </c>
      <c r="G232" s="831">
        <f t="shared" si="15"/>
        <v>230.43</v>
      </c>
      <c r="H232" s="585">
        <f t="shared" si="16"/>
        <v>286.44</v>
      </c>
    </row>
    <row r="233" spans="1:9" ht="40.5" customHeight="1" x14ac:dyDescent="0.2">
      <c r="A233" s="582" t="s">
        <v>3353</v>
      </c>
      <c r="B233" s="583" t="s">
        <v>3354</v>
      </c>
      <c r="C233" s="583"/>
      <c r="D233" s="582" t="s">
        <v>3355</v>
      </c>
      <c r="E233" s="584" t="s">
        <v>646</v>
      </c>
      <c r="F233" s="585">
        <v>221.91</v>
      </c>
      <c r="G233" s="831">
        <f t="shared" si="15"/>
        <v>221.91</v>
      </c>
      <c r="H233" s="585">
        <f t="shared" si="16"/>
        <v>275.85000000000002</v>
      </c>
    </row>
    <row r="234" spans="1:9" ht="40.5" customHeight="1" x14ac:dyDescent="0.2">
      <c r="A234" s="582" t="s">
        <v>3356</v>
      </c>
      <c r="B234" s="583" t="s">
        <v>3357</v>
      </c>
      <c r="C234" s="583"/>
      <c r="D234" s="582" t="s">
        <v>3358</v>
      </c>
      <c r="E234" s="584" t="s">
        <v>646</v>
      </c>
      <c r="F234" s="585">
        <v>1965.07</v>
      </c>
      <c r="G234" s="831">
        <f t="shared" si="15"/>
        <v>1965.07</v>
      </c>
      <c r="H234" s="585">
        <f t="shared" si="16"/>
        <v>2442.77</v>
      </c>
    </row>
    <row r="235" spans="1:9" ht="40.5" customHeight="1" x14ac:dyDescent="0.2">
      <c r="A235" s="582" t="s">
        <v>3359</v>
      </c>
      <c r="B235" s="583" t="s">
        <v>3360</v>
      </c>
      <c r="C235" s="583"/>
      <c r="D235" s="582" t="s">
        <v>3361</v>
      </c>
      <c r="E235" s="584" t="s">
        <v>646</v>
      </c>
      <c r="F235" s="585">
        <v>71.260000000000005</v>
      </c>
      <c r="G235" s="831">
        <f t="shared" si="15"/>
        <v>71.260000000000005</v>
      </c>
      <c r="H235" s="585">
        <f t="shared" si="16"/>
        <v>88.58</v>
      </c>
    </row>
    <row r="236" spans="1:9" ht="40.5" customHeight="1" x14ac:dyDescent="0.2">
      <c r="A236" s="582" t="s">
        <v>3362</v>
      </c>
      <c r="B236" s="583" t="s">
        <v>3363</v>
      </c>
      <c r="C236" s="583"/>
      <c r="D236" s="582" t="s">
        <v>2642</v>
      </c>
      <c r="E236" s="584" t="s">
        <v>1191</v>
      </c>
      <c r="F236" s="585">
        <v>36.18</v>
      </c>
      <c r="G236" s="831">
        <f t="shared" si="15"/>
        <v>36.18</v>
      </c>
      <c r="H236" s="585">
        <f t="shared" si="16"/>
        <v>44.97</v>
      </c>
    </row>
    <row r="237" spans="1:9" ht="40.5" customHeight="1" x14ac:dyDescent="0.2">
      <c r="A237" s="582" t="s">
        <v>3364</v>
      </c>
      <c r="B237" s="583" t="s">
        <v>3365</v>
      </c>
      <c r="C237" s="583"/>
      <c r="D237" s="582" t="s">
        <v>3366</v>
      </c>
      <c r="E237" s="584" t="s">
        <v>646</v>
      </c>
      <c r="F237" s="585">
        <v>26.45</v>
      </c>
      <c r="G237" s="831">
        <f t="shared" si="15"/>
        <v>26.45</v>
      </c>
      <c r="H237" s="585">
        <f t="shared" si="16"/>
        <v>32.869999999999997</v>
      </c>
    </row>
    <row r="238" spans="1:9" ht="40.5" customHeight="1" x14ac:dyDescent="0.2">
      <c r="A238" s="582" t="s">
        <v>3367</v>
      </c>
      <c r="B238" s="583" t="s">
        <v>3368</v>
      </c>
      <c r="C238" s="583"/>
      <c r="D238" s="582" t="s">
        <v>3369</v>
      </c>
      <c r="E238" s="584" t="s">
        <v>646</v>
      </c>
      <c r="F238" s="585">
        <v>149.12</v>
      </c>
      <c r="G238" s="831">
        <f t="shared" si="15"/>
        <v>149.12</v>
      </c>
      <c r="H238" s="585">
        <f t="shared" si="16"/>
        <v>185.37</v>
      </c>
    </row>
    <row r="239" spans="1:9" s="568" customFormat="1" ht="40.5" customHeight="1" x14ac:dyDescent="0.2">
      <c r="A239" s="840" t="s">
        <v>2742</v>
      </c>
      <c r="B239" s="841"/>
      <c r="C239" s="841"/>
      <c r="D239" s="842" t="s">
        <v>2712</v>
      </c>
      <c r="E239" s="843"/>
      <c r="F239" s="844"/>
      <c r="G239" s="844"/>
      <c r="H239" s="845"/>
      <c r="I239" s="512"/>
    </row>
    <row r="240" spans="1:9" ht="40.5" customHeight="1" x14ac:dyDescent="0.2">
      <c r="A240" s="827" t="s">
        <v>3370</v>
      </c>
      <c r="B240" s="828" t="s">
        <v>3371</v>
      </c>
      <c r="C240" s="828"/>
      <c r="D240" s="827" t="s">
        <v>3372</v>
      </c>
      <c r="E240" s="829" t="s">
        <v>646</v>
      </c>
      <c r="F240" s="830">
        <v>5000</v>
      </c>
      <c r="G240" s="831">
        <f>(F240*($H$11))</f>
        <v>5000</v>
      </c>
      <c r="H240" s="830">
        <f>TRUNC((F240*($H$11))*(1+$H$8),2)</f>
        <v>6215.5</v>
      </c>
    </row>
    <row r="241" spans="1:9" ht="40.5" customHeight="1" x14ac:dyDescent="0.2">
      <c r="A241" s="582" t="s">
        <v>3373</v>
      </c>
      <c r="B241" s="583" t="s">
        <v>3374</v>
      </c>
      <c r="C241" s="583"/>
      <c r="D241" s="582" t="s">
        <v>3375</v>
      </c>
      <c r="E241" s="584" t="s">
        <v>1126</v>
      </c>
      <c r="F241" s="585">
        <v>54.96</v>
      </c>
      <c r="G241" s="831">
        <f>(F241*($H$11))</f>
        <v>54.96</v>
      </c>
      <c r="H241" s="585">
        <f>TRUNC((F241*($H$11))*(1+$H$8),2)</f>
        <v>68.319999999999993</v>
      </c>
    </row>
    <row r="242" spans="1:9" ht="40.5" customHeight="1" x14ac:dyDescent="0.2">
      <c r="A242" s="582" t="s">
        <v>3376</v>
      </c>
      <c r="B242" s="583" t="s">
        <v>3377</v>
      </c>
      <c r="C242" s="583"/>
      <c r="D242" s="582" t="s">
        <v>3378</v>
      </c>
      <c r="E242" s="584" t="s">
        <v>3379</v>
      </c>
      <c r="F242" s="585">
        <v>1741.7</v>
      </c>
      <c r="G242" s="831">
        <f>(F242*($H$11))</f>
        <v>1741.7</v>
      </c>
      <c r="H242" s="585">
        <f>TRUNC((F242*($H$11))*(1+$H$8),2)</f>
        <v>2165.1</v>
      </c>
    </row>
    <row r="243" spans="1:9" ht="40.5" customHeight="1" x14ac:dyDescent="0.2">
      <c r="A243" s="582" t="s">
        <v>3380</v>
      </c>
      <c r="B243" s="583" t="s">
        <v>3381</v>
      </c>
      <c r="C243" s="583"/>
      <c r="D243" s="582" t="s">
        <v>3382</v>
      </c>
      <c r="E243" s="584" t="s">
        <v>646</v>
      </c>
      <c r="F243" s="585">
        <v>1178.67</v>
      </c>
      <c r="G243" s="831">
        <f>(F243*($H$11))</f>
        <v>1178.67</v>
      </c>
      <c r="H243" s="585">
        <f>TRUNC((F243*($H$11))*(1+$H$8),2)</f>
        <v>1465.2</v>
      </c>
    </row>
    <row r="244" spans="1:9" ht="40.5" customHeight="1" x14ac:dyDescent="0.2">
      <c r="A244" s="582" t="s">
        <v>3383</v>
      </c>
      <c r="B244" s="583" t="s">
        <v>3384</v>
      </c>
      <c r="C244" s="583"/>
      <c r="D244" s="582" t="s">
        <v>3385</v>
      </c>
      <c r="E244" s="584" t="s">
        <v>646</v>
      </c>
      <c r="F244" s="585">
        <v>2254.31</v>
      </c>
      <c r="G244" s="831">
        <f>(F244*($H$11))</f>
        <v>2254.31</v>
      </c>
      <c r="H244" s="585">
        <f>TRUNC((F244*($H$11))*(1+$H$8),2)</f>
        <v>2802.33</v>
      </c>
    </row>
    <row r="245" spans="1:9" ht="40.5" customHeight="1" x14ac:dyDescent="0.2">
      <c r="A245" s="834" t="s">
        <v>2743</v>
      </c>
      <c r="B245" s="835"/>
      <c r="C245" s="835"/>
      <c r="D245" s="836" t="s">
        <v>2744</v>
      </c>
      <c r="E245" s="837"/>
      <c r="F245" s="838"/>
      <c r="G245" s="838"/>
      <c r="H245" s="839"/>
      <c r="I245" s="568"/>
    </row>
    <row r="246" spans="1:9" ht="40.5" customHeight="1" x14ac:dyDescent="0.2">
      <c r="A246" s="840" t="s">
        <v>2745</v>
      </c>
      <c r="B246" s="841"/>
      <c r="C246" s="841"/>
      <c r="D246" s="842" t="s">
        <v>2729</v>
      </c>
      <c r="E246" s="843"/>
      <c r="F246" s="844"/>
      <c r="G246" s="844"/>
      <c r="H246" s="845"/>
    </row>
    <row r="247" spans="1:9" ht="40.5" customHeight="1" x14ac:dyDescent="0.2">
      <c r="A247" s="840" t="s">
        <v>2746</v>
      </c>
      <c r="B247" s="841"/>
      <c r="C247" s="841"/>
      <c r="D247" s="842" t="s">
        <v>2731</v>
      </c>
      <c r="E247" s="843"/>
      <c r="F247" s="844"/>
      <c r="G247" s="844"/>
      <c r="H247" s="845"/>
    </row>
    <row r="248" spans="1:9" ht="40.5" customHeight="1" x14ac:dyDescent="0.2">
      <c r="A248" s="840" t="s">
        <v>2747</v>
      </c>
      <c r="B248" s="841"/>
      <c r="C248" s="841"/>
      <c r="D248" s="842" t="s">
        <v>2748</v>
      </c>
      <c r="E248" s="843"/>
      <c r="F248" s="844"/>
      <c r="G248" s="844"/>
      <c r="H248" s="845"/>
    </row>
    <row r="249" spans="1:9" ht="40.5" customHeight="1" x14ac:dyDescent="0.2">
      <c r="A249" s="827" t="s">
        <v>3386</v>
      </c>
      <c r="B249" s="828" t="s">
        <v>3387</v>
      </c>
      <c r="C249" s="828"/>
      <c r="D249" s="827" t="s">
        <v>3388</v>
      </c>
      <c r="E249" s="829" t="s">
        <v>646</v>
      </c>
      <c r="F249" s="830">
        <v>205.91</v>
      </c>
      <c r="G249" s="831">
        <f>(F249*($H$11))</f>
        <v>205.91</v>
      </c>
      <c r="H249" s="830">
        <f>TRUNC((F249*($H$11))*(1+$H$8),2)</f>
        <v>255.96</v>
      </c>
    </row>
    <row r="250" spans="1:9" ht="40.5" customHeight="1" x14ac:dyDescent="0.2">
      <c r="A250" s="582" t="s">
        <v>3389</v>
      </c>
      <c r="B250" s="583" t="s">
        <v>3390</v>
      </c>
      <c r="C250" s="583"/>
      <c r="D250" s="582" t="s">
        <v>3391</v>
      </c>
      <c r="E250" s="584" t="s">
        <v>646</v>
      </c>
      <c r="F250" s="585">
        <v>131.71</v>
      </c>
      <c r="G250" s="831">
        <f>(F250*($H$11))</f>
        <v>131.71</v>
      </c>
      <c r="H250" s="585">
        <f>TRUNC((F250*($H$11))*(1+$H$8),2)</f>
        <v>163.72</v>
      </c>
    </row>
    <row r="251" spans="1:9" ht="40.5" customHeight="1" x14ac:dyDescent="0.2">
      <c r="A251" s="840" t="s">
        <v>2749</v>
      </c>
      <c r="B251" s="841"/>
      <c r="C251" s="841"/>
      <c r="D251" s="842" t="s">
        <v>2750</v>
      </c>
      <c r="E251" s="843"/>
      <c r="F251" s="844"/>
      <c r="G251" s="844"/>
      <c r="H251" s="845"/>
    </row>
    <row r="252" spans="1:9" ht="40.5" customHeight="1" x14ac:dyDescent="0.2">
      <c r="A252" s="827" t="s">
        <v>3392</v>
      </c>
      <c r="B252" s="828" t="s">
        <v>3393</v>
      </c>
      <c r="C252" s="828"/>
      <c r="D252" s="827" t="s">
        <v>3394</v>
      </c>
      <c r="E252" s="829" t="s">
        <v>646</v>
      </c>
      <c r="F252" s="830">
        <v>457.59</v>
      </c>
      <c r="G252" s="831">
        <f>(F252*($H$11))</f>
        <v>457.59</v>
      </c>
      <c r="H252" s="830">
        <f>TRUNC((F252*($H$11))*(1+$H$8),2)</f>
        <v>568.83000000000004</v>
      </c>
    </row>
    <row r="253" spans="1:9" ht="40.5" customHeight="1" x14ac:dyDescent="0.2">
      <c r="A253" s="582" t="s">
        <v>3395</v>
      </c>
      <c r="B253" s="583" t="s">
        <v>3396</v>
      </c>
      <c r="C253" s="583"/>
      <c r="D253" s="582" t="s">
        <v>3397</v>
      </c>
      <c r="E253" s="584" t="s">
        <v>646</v>
      </c>
      <c r="F253" s="585">
        <v>635.44000000000005</v>
      </c>
      <c r="G253" s="831">
        <f>(F253*($H$11))</f>
        <v>635.44000000000005</v>
      </c>
      <c r="H253" s="585">
        <f>TRUNC((F253*($H$11))*(1+$H$8),2)</f>
        <v>789.91</v>
      </c>
    </row>
    <row r="254" spans="1:9" ht="40.5" customHeight="1" x14ac:dyDescent="0.2">
      <c r="A254" s="582" t="s">
        <v>3398</v>
      </c>
      <c r="B254" s="583" t="s">
        <v>3399</v>
      </c>
      <c r="C254" s="583"/>
      <c r="D254" s="582" t="s">
        <v>3400</v>
      </c>
      <c r="E254" s="584" t="s">
        <v>646</v>
      </c>
      <c r="F254" s="585">
        <v>719.11</v>
      </c>
      <c r="G254" s="831">
        <f>(F254*($H$11))</f>
        <v>719.11</v>
      </c>
      <c r="H254" s="585">
        <f>TRUNC((F254*($H$11))*(1+$H$8),2)</f>
        <v>893.92</v>
      </c>
    </row>
    <row r="255" spans="1:9" ht="40.5" customHeight="1" x14ac:dyDescent="0.2">
      <c r="A255" s="582" t="s">
        <v>3401</v>
      </c>
      <c r="B255" s="583" t="s">
        <v>3402</v>
      </c>
      <c r="C255" s="583"/>
      <c r="D255" s="582" t="s">
        <v>3403</v>
      </c>
      <c r="E255" s="584" t="s">
        <v>646</v>
      </c>
      <c r="F255" s="585">
        <v>1150.19</v>
      </c>
      <c r="G255" s="831">
        <f>(F255*($H$11))</f>
        <v>1150.19</v>
      </c>
      <c r="H255" s="585">
        <f>TRUNC((F255*($H$11))*(1+$H$8),2)</f>
        <v>1429.8</v>
      </c>
    </row>
    <row r="256" spans="1:9" ht="40.5" customHeight="1" x14ac:dyDescent="0.2">
      <c r="A256" s="582" t="s">
        <v>3404</v>
      </c>
      <c r="B256" s="583" t="s">
        <v>3405</v>
      </c>
      <c r="C256" s="583"/>
      <c r="D256" s="582" t="s">
        <v>3406</v>
      </c>
      <c r="E256" s="584" t="s">
        <v>646</v>
      </c>
      <c r="F256" s="585">
        <v>85.72</v>
      </c>
      <c r="G256" s="831">
        <f>(F256*($H$11))</f>
        <v>85.72</v>
      </c>
      <c r="H256" s="585">
        <f>TRUNC((F256*($H$11))*(1+$H$8),2)</f>
        <v>106.55</v>
      </c>
    </row>
    <row r="257" spans="1:8" ht="40.5" customHeight="1" x14ac:dyDescent="0.2">
      <c r="A257" s="840" t="s">
        <v>2751</v>
      </c>
      <c r="B257" s="841"/>
      <c r="C257" s="841"/>
      <c r="D257" s="842" t="s">
        <v>2752</v>
      </c>
      <c r="E257" s="843"/>
      <c r="F257" s="844"/>
      <c r="G257" s="844"/>
      <c r="H257" s="845"/>
    </row>
    <row r="258" spans="1:8" ht="40.5" customHeight="1" x14ac:dyDescent="0.2">
      <c r="A258" s="827" t="s">
        <v>3407</v>
      </c>
      <c r="B258" s="828" t="s">
        <v>3408</v>
      </c>
      <c r="C258" s="828"/>
      <c r="D258" s="827" t="s">
        <v>3409</v>
      </c>
      <c r="E258" s="829" t="s">
        <v>646</v>
      </c>
      <c r="F258" s="830">
        <v>134.56</v>
      </c>
      <c r="G258" s="831">
        <f t="shared" ref="G258:G275" si="17">(F258*($H$11))</f>
        <v>134.56</v>
      </c>
      <c r="H258" s="830">
        <f t="shared" ref="H258:H275" si="18">TRUNC((F258*($H$11))*(1+$H$8),2)</f>
        <v>167.27</v>
      </c>
    </row>
    <row r="259" spans="1:8" ht="40.5" customHeight="1" x14ac:dyDescent="0.2">
      <c r="A259" s="582" t="s">
        <v>3410</v>
      </c>
      <c r="B259" s="583" t="s">
        <v>3411</v>
      </c>
      <c r="C259" s="583"/>
      <c r="D259" s="582" t="s">
        <v>3412</v>
      </c>
      <c r="E259" s="584" t="s">
        <v>646</v>
      </c>
      <c r="F259" s="585">
        <v>11.38</v>
      </c>
      <c r="G259" s="831">
        <f t="shared" si="17"/>
        <v>11.38</v>
      </c>
      <c r="H259" s="585">
        <f t="shared" si="18"/>
        <v>14.14</v>
      </c>
    </row>
    <row r="260" spans="1:8" ht="40.5" customHeight="1" x14ac:dyDescent="0.2">
      <c r="A260" s="582" t="s">
        <v>3413</v>
      </c>
      <c r="B260" s="583" t="s">
        <v>3414</v>
      </c>
      <c r="C260" s="583"/>
      <c r="D260" s="582" t="s">
        <v>3415</v>
      </c>
      <c r="E260" s="584" t="s">
        <v>646</v>
      </c>
      <c r="F260" s="585">
        <v>12.53</v>
      </c>
      <c r="G260" s="831">
        <f t="shared" si="17"/>
        <v>12.53</v>
      </c>
      <c r="H260" s="585">
        <f t="shared" si="18"/>
        <v>15.57</v>
      </c>
    </row>
    <row r="261" spans="1:8" ht="40.5" customHeight="1" x14ac:dyDescent="0.2">
      <c r="A261" s="582" t="s">
        <v>3416</v>
      </c>
      <c r="B261" s="583" t="s">
        <v>3417</v>
      </c>
      <c r="C261" s="583"/>
      <c r="D261" s="582" t="s">
        <v>3418</v>
      </c>
      <c r="E261" s="584" t="s">
        <v>646</v>
      </c>
      <c r="F261" s="585">
        <v>19.36</v>
      </c>
      <c r="G261" s="831">
        <f t="shared" si="17"/>
        <v>19.36</v>
      </c>
      <c r="H261" s="585">
        <f t="shared" si="18"/>
        <v>24.06</v>
      </c>
    </row>
    <row r="262" spans="1:8" ht="40.5" customHeight="1" x14ac:dyDescent="0.2">
      <c r="A262" s="582" t="s">
        <v>3419</v>
      </c>
      <c r="B262" s="583" t="s">
        <v>3420</v>
      </c>
      <c r="C262" s="583"/>
      <c r="D262" s="582" t="s">
        <v>3421</v>
      </c>
      <c r="E262" s="584" t="s">
        <v>646</v>
      </c>
      <c r="F262" s="585">
        <v>20.28</v>
      </c>
      <c r="G262" s="831">
        <f t="shared" si="17"/>
        <v>20.28</v>
      </c>
      <c r="H262" s="585">
        <f t="shared" si="18"/>
        <v>25.21</v>
      </c>
    </row>
    <row r="263" spans="1:8" ht="40.5" customHeight="1" x14ac:dyDescent="0.2">
      <c r="A263" s="582" t="s">
        <v>3422</v>
      </c>
      <c r="B263" s="583" t="s">
        <v>3423</v>
      </c>
      <c r="C263" s="583"/>
      <c r="D263" s="582" t="s">
        <v>3424</v>
      </c>
      <c r="E263" s="584" t="s">
        <v>646</v>
      </c>
      <c r="F263" s="585">
        <v>721.21</v>
      </c>
      <c r="G263" s="831">
        <f t="shared" si="17"/>
        <v>721.21</v>
      </c>
      <c r="H263" s="585">
        <f t="shared" si="18"/>
        <v>896.53</v>
      </c>
    </row>
    <row r="264" spans="1:8" ht="40.5" customHeight="1" x14ac:dyDescent="0.2">
      <c r="A264" s="582" t="s">
        <v>3425</v>
      </c>
      <c r="B264" s="583" t="s">
        <v>3426</v>
      </c>
      <c r="C264" s="583"/>
      <c r="D264" s="582" t="s">
        <v>2510</v>
      </c>
      <c r="E264" s="584" t="s">
        <v>646</v>
      </c>
      <c r="F264" s="585">
        <v>380.39</v>
      </c>
      <c r="G264" s="831">
        <f t="shared" si="17"/>
        <v>380.39</v>
      </c>
      <c r="H264" s="585">
        <f t="shared" si="18"/>
        <v>472.86</v>
      </c>
    </row>
    <row r="265" spans="1:8" ht="40.5" customHeight="1" x14ac:dyDescent="0.2">
      <c r="A265" s="582" t="s">
        <v>3427</v>
      </c>
      <c r="B265" s="583" t="s">
        <v>3428</v>
      </c>
      <c r="C265" s="583"/>
      <c r="D265" s="582" t="s">
        <v>2512</v>
      </c>
      <c r="E265" s="584" t="s">
        <v>646</v>
      </c>
      <c r="F265" s="585">
        <v>359.65</v>
      </c>
      <c r="G265" s="831">
        <f t="shared" si="17"/>
        <v>359.65</v>
      </c>
      <c r="H265" s="585">
        <f t="shared" si="18"/>
        <v>447.08</v>
      </c>
    </row>
    <row r="266" spans="1:8" ht="40.5" customHeight="1" x14ac:dyDescent="0.2">
      <c r="A266" s="582" t="s">
        <v>3429</v>
      </c>
      <c r="B266" s="583" t="s">
        <v>3430</v>
      </c>
      <c r="C266" s="583"/>
      <c r="D266" s="582" t="s">
        <v>2514</v>
      </c>
      <c r="E266" s="584" t="s">
        <v>646</v>
      </c>
      <c r="F266" s="585">
        <v>534.77</v>
      </c>
      <c r="G266" s="831">
        <f t="shared" si="17"/>
        <v>534.77</v>
      </c>
      <c r="H266" s="585">
        <f t="shared" si="18"/>
        <v>664.77</v>
      </c>
    </row>
    <row r="267" spans="1:8" ht="40.5" customHeight="1" x14ac:dyDescent="0.2">
      <c r="A267" s="582" t="s">
        <v>3431</v>
      </c>
      <c r="B267" s="583" t="s">
        <v>3432</v>
      </c>
      <c r="C267" s="583"/>
      <c r="D267" s="582" t="s">
        <v>2516</v>
      </c>
      <c r="E267" s="584" t="s">
        <v>646</v>
      </c>
      <c r="F267" s="585">
        <v>363.81</v>
      </c>
      <c r="G267" s="831">
        <f t="shared" si="17"/>
        <v>363.81</v>
      </c>
      <c r="H267" s="585">
        <f t="shared" si="18"/>
        <v>452.25</v>
      </c>
    </row>
    <row r="268" spans="1:8" ht="40.5" customHeight="1" x14ac:dyDescent="0.2">
      <c r="A268" s="582" t="s">
        <v>3433</v>
      </c>
      <c r="B268" s="583" t="s">
        <v>3434</v>
      </c>
      <c r="C268" s="583"/>
      <c r="D268" s="582" t="s">
        <v>2518</v>
      </c>
      <c r="E268" s="584" t="s">
        <v>646</v>
      </c>
      <c r="F268" s="585">
        <v>578.91999999999996</v>
      </c>
      <c r="G268" s="831">
        <f t="shared" si="17"/>
        <v>578.91999999999996</v>
      </c>
      <c r="H268" s="585">
        <f t="shared" si="18"/>
        <v>719.65</v>
      </c>
    </row>
    <row r="269" spans="1:8" ht="40.5" customHeight="1" x14ac:dyDescent="0.2">
      <c r="A269" s="582" t="s">
        <v>3435</v>
      </c>
      <c r="B269" s="583" t="s">
        <v>3436</v>
      </c>
      <c r="C269" s="583"/>
      <c r="D269" s="582" t="s">
        <v>3437</v>
      </c>
      <c r="E269" s="584" t="s">
        <v>646</v>
      </c>
      <c r="F269" s="585">
        <v>345.52</v>
      </c>
      <c r="G269" s="831">
        <f t="shared" si="17"/>
        <v>345.52</v>
      </c>
      <c r="H269" s="585">
        <f t="shared" si="18"/>
        <v>429.51</v>
      </c>
    </row>
    <row r="270" spans="1:8" ht="40.5" customHeight="1" x14ac:dyDescent="0.2">
      <c r="A270" s="582" t="s">
        <v>3438</v>
      </c>
      <c r="B270" s="583" t="s">
        <v>3439</v>
      </c>
      <c r="C270" s="583"/>
      <c r="D270" s="582" t="s">
        <v>2522</v>
      </c>
      <c r="E270" s="584" t="s">
        <v>646</v>
      </c>
      <c r="F270" s="585">
        <v>274.99</v>
      </c>
      <c r="G270" s="831">
        <f t="shared" si="17"/>
        <v>274.99</v>
      </c>
      <c r="H270" s="585">
        <f t="shared" si="18"/>
        <v>341.84</v>
      </c>
    </row>
    <row r="271" spans="1:8" ht="40.5" customHeight="1" x14ac:dyDescent="0.2">
      <c r="A271" s="582" t="s">
        <v>3440</v>
      </c>
      <c r="B271" s="583" t="s">
        <v>3441</v>
      </c>
      <c r="C271" s="583"/>
      <c r="D271" s="582" t="s">
        <v>3442</v>
      </c>
      <c r="E271" s="584" t="s">
        <v>646</v>
      </c>
      <c r="F271" s="585">
        <v>223.42</v>
      </c>
      <c r="G271" s="831">
        <f t="shared" si="17"/>
        <v>223.42</v>
      </c>
      <c r="H271" s="585">
        <f t="shared" si="18"/>
        <v>277.73</v>
      </c>
    </row>
    <row r="272" spans="1:8" ht="40.5" customHeight="1" x14ac:dyDescent="0.2">
      <c r="A272" s="582" t="s">
        <v>3443</v>
      </c>
      <c r="B272" s="583" t="s">
        <v>3444</v>
      </c>
      <c r="C272" s="583"/>
      <c r="D272" s="582" t="s">
        <v>3445</v>
      </c>
      <c r="E272" s="584" t="s">
        <v>646</v>
      </c>
      <c r="F272" s="585">
        <v>71.91</v>
      </c>
      <c r="G272" s="831">
        <f t="shared" si="17"/>
        <v>71.91</v>
      </c>
      <c r="H272" s="585">
        <f t="shared" si="18"/>
        <v>89.39</v>
      </c>
    </row>
    <row r="273" spans="1:8" ht="40.5" customHeight="1" x14ac:dyDescent="0.2">
      <c r="A273" s="582" t="s">
        <v>3446</v>
      </c>
      <c r="B273" s="583" t="s">
        <v>3447</v>
      </c>
      <c r="C273" s="583"/>
      <c r="D273" s="582" t="s">
        <v>3448</v>
      </c>
      <c r="E273" s="584" t="s">
        <v>646</v>
      </c>
      <c r="F273" s="585">
        <v>172.52</v>
      </c>
      <c r="G273" s="831">
        <f t="shared" si="17"/>
        <v>172.52</v>
      </c>
      <c r="H273" s="585">
        <f t="shared" si="18"/>
        <v>214.45</v>
      </c>
    </row>
    <row r="274" spans="1:8" ht="40.5" customHeight="1" x14ac:dyDescent="0.2">
      <c r="A274" s="582" t="s">
        <v>3449</v>
      </c>
      <c r="B274" s="583" t="s">
        <v>3450</v>
      </c>
      <c r="C274" s="583"/>
      <c r="D274" s="582" t="s">
        <v>3451</v>
      </c>
      <c r="E274" s="584" t="s">
        <v>646</v>
      </c>
      <c r="F274" s="585">
        <v>193.23</v>
      </c>
      <c r="G274" s="831">
        <f t="shared" si="17"/>
        <v>193.23</v>
      </c>
      <c r="H274" s="585">
        <f t="shared" si="18"/>
        <v>240.2</v>
      </c>
    </row>
    <row r="275" spans="1:8" ht="40.5" customHeight="1" x14ac:dyDescent="0.2">
      <c r="A275" s="582" t="s">
        <v>3452</v>
      </c>
      <c r="B275" s="583" t="s">
        <v>3453</v>
      </c>
      <c r="C275" s="583"/>
      <c r="D275" s="582" t="s">
        <v>3454</v>
      </c>
      <c r="E275" s="584" t="s">
        <v>646</v>
      </c>
      <c r="F275" s="585">
        <v>490.98</v>
      </c>
      <c r="G275" s="831">
        <f t="shared" si="17"/>
        <v>490.98</v>
      </c>
      <c r="H275" s="585">
        <f t="shared" si="18"/>
        <v>610.33000000000004</v>
      </c>
    </row>
    <row r="276" spans="1:8" ht="40.5" customHeight="1" x14ac:dyDescent="0.2">
      <c r="A276" s="840" t="s">
        <v>2753</v>
      </c>
      <c r="B276" s="841"/>
      <c r="C276" s="841"/>
      <c r="D276" s="842" t="s">
        <v>2754</v>
      </c>
      <c r="E276" s="843"/>
      <c r="F276" s="844"/>
      <c r="G276" s="844"/>
      <c r="H276" s="845"/>
    </row>
    <row r="277" spans="1:8" ht="40.5" customHeight="1" x14ac:dyDescent="0.2">
      <c r="A277" s="827" t="s">
        <v>3455</v>
      </c>
      <c r="B277" s="828" t="s">
        <v>3456</v>
      </c>
      <c r="C277" s="828"/>
      <c r="D277" s="827" t="s">
        <v>3457</v>
      </c>
      <c r="E277" s="829" t="s">
        <v>646</v>
      </c>
      <c r="F277" s="830">
        <v>90.5</v>
      </c>
      <c r="G277" s="831">
        <f t="shared" ref="G277:G291" si="19">(F277*($H$11))</f>
        <v>90.5</v>
      </c>
      <c r="H277" s="830">
        <f t="shared" ref="H277:H291" si="20">TRUNC((F277*($H$11))*(1+$H$8),2)</f>
        <v>112.5</v>
      </c>
    </row>
    <row r="278" spans="1:8" ht="40.5" customHeight="1" x14ac:dyDescent="0.2">
      <c r="A278" s="582" t="s">
        <v>3458</v>
      </c>
      <c r="B278" s="583" t="s">
        <v>3459</v>
      </c>
      <c r="C278" s="583"/>
      <c r="D278" s="582" t="s">
        <v>3460</v>
      </c>
      <c r="E278" s="584" t="s">
        <v>646</v>
      </c>
      <c r="F278" s="585">
        <v>197.95</v>
      </c>
      <c r="G278" s="831">
        <f t="shared" si="19"/>
        <v>197.95</v>
      </c>
      <c r="H278" s="585">
        <f t="shared" si="20"/>
        <v>246.07</v>
      </c>
    </row>
    <row r="279" spans="1:8" ht="40.5" customHeight="1" x14ac:dyDescent="0.2">
      <c r="A279" s="582" t="s">
        <v>3461</v>
      </c>
      <c r="B279" s="583" t="s">
        <v>3462</v>
      </c>
      <c r="C279" s="583"/>
      <c r="D279" s="582" t="s">
        <v>3463</v>
      </c>
      <c r="E279" s="584" t="s">
        <v>646</v>
      </c>
      <c r="F279" s="585">
        <v>31.28</v>
      </c>
      <c r="G279" s="831">
        <f t="shared" si="19"/>
        <v>31.28</v>
      </c>
      <c r="H279" s="585">
        <f t="shared" si="20"/>
        <v>38.880000000000003</v>
      </c>
    </row>
    <row r="280" spans="1:8" ht="40.5" customHeight="1" x14ac:dyDescent="0.2">
      <c r="A280" s="582" t="s">
        <v>3464</v>
      </c>
      <c r="B280" s="583" t="s">
        <v>3465</v>
      </c>
      <c r="C280" s="583"/>
      <c r="D280" s="582" t="s">
        <v>3466</v>
      </c>
      <c r="E280" s="584" t="s">
        <v>646</v>
      </c>
      <c r="F280" s="585">
        <v>23.16</v>
      </c>
      <c r="G280" s="831">
        <f t="shared" si="19"/>
        <v>23.16</v>
      </c>
      <c r="H280" s="585">
        <f t="shared" si="20"/>
        <v>28.79</v>
      </c>
    </row>
    <row r="281" spans="1:8" ht="40.5" customHeight="1" x14ac:dyDescent="0.2">
      <c r="A281" s="582" t="s">
        <v>3467</v>
      </c>
      <c r="B281" s="583" t="s">
        <v>3468</v>
      </c>
      <c r="C281" s="583"/>
      <c r="D281" s="582" t="s">
        <v>3469</v>
      </c>
      <c r="E281" s="584" t="s">
        <v>646</v>
      </c>
      <c r="F281" s="585">
        <v>42.45</v>
      </c>
      <c r="G281" s="831">
        <f t="shared" si="19"/>
        <v>42.45</v>
      </c>
      <c r="H281" s="585">
        <f t="shared" si="20"/>
        <v>52.76</v>
      </c>
    </row>
    <row r="282" spans="1:8" ht="40.5" customHeight="1" x14ac:dyDescent="0.2">
      <c r="A282" s="582" t="s">
        <v>3470</v>
      </c>
      <c r="B282" s="583" t="s">
        <v>3471</v>
      </c>
      <c r="C282" s="583"/>
      <c r="D282" s="582" t="s">
        <v>3472</v>
      </c>
      <c r="E282" s="584" t="s">
        <v>646</v>
      </c>
      <c r="F282" s="585">
        <v>37.32</v>
      </c>
      <c r="G282" s="831">
        <f t="shared" si="19"/>
        <v>37.32</v>
      </c>
      <c r="H282" s="585">
        <f t="shared" si="20"/>
        <v>46.39</v>
      </c>
    </row>
    <row r="283" spans="1:8" ht="40.5" customHeight="1" x14ac:dyDescent="0.2">
      <c r="A283" s="582" t="s">
        <v>3473</v>
      </c>
      <c r="B283" s="583" t="s">
        <v>3474</v>
      </c>
      <c r="C283" s="583"/>
      <c r="D283" s="582" t="s">
        <v>3475</v>
      </c>
      <c r="E283" s="584" t="s">
        <v>646</v>
      </c>
      <c r="F283" s="585">
        <v>43.52</v>
      </c>
      <c r="G283" s="831">
        <f t="shared" si="19"/>
        <v>43.52</v>
      </c>
      <c r="H283" s="585">
        <f t="shared" si="20"/>
        <v>54.09</v>
      </c>
    </row>
    <row r="284" spans="1:8" ht="40.5" customHeight="1" x14ac:dyDescent="0.2">
      <c r="A284" s="582" t="s">
        <v>3476</v>
      </c>
      <c r="B284" s="583" t="s">
        <v>3477</v>
      </c>
      <c r="C284" s="583"/>
      <c r="D284" s="582" t="s">
        <v>3478</v>
      </c>
      <c r="E284" s="584" t="s">
        <v>646</v>
      </c>
      <c r="F284" s="585">
        <v>49.03</v>
      </c>
      <c r="G284" s="831">
        <f t="shared" si="19"/>
        <v>49.03</v>
      </c>
      <c r="H284" s="585">
        <f t="shared" si="20"/>
        <v>60.94</v>
      </c>
    </row>
    <row r="285" spans="1:8" ht="40.5" customHeight="1" x14ac:dyDescent="0.2">
      <c r="A285" s="582" t="s">
        <v>3479</v>
      </c>
      <c r="B285" s="583" t="s">
        <v>3480</v>
      </c>
      <c r="C285" s="583"/>
      <c r="D285" s="582" t="s">
        <v>3481</v>
      </c>
      <c r="E285" s="584" t="s">
        <v>646</v>
      </c>
      <c r="F285" s="585">
        <v>64.03</v>
      </c>
      <c r="G285" s="831">
        <f t="shared" si="19"/>
        <v>64.03</v>
      </c>
      <c r="H285" s="585">
        <f t="shared" si="20"/>
        <v>79.59</v>
      </c>
    </row>
    <row r="286" spans="1:8" ht="40.5" customHeight="1" x14ac:dyDescent="0.2">
      <c r="A286" s="582" t="s">
        <v>3482</v>
      </c>
      <c r="B286" s="583" t="s">
        <v>3483</v>
      </c>
      <c r="C286" s="583"/>
      <c r="D286" s="582" t="s">
        <v>3484</v>
      </c>
      <c r="E286" s="584" t="s">
        <v>646</v>
      </c>
      <c r="F286" s="585">
        <v>65.569999999999993</v>
      </c>
      <c r="G286" s="831">
        <f t="shared" si="19"/>
        <v>65.569999999999993</v>
      </c>
      <c r="H286" s="585">
        <f t="shared" si="20"/>
        <v>81.510000000000005</v>
      </c>
    </row>
    <row r="287" spans="1:8" ht="40.5" customHeight="1" x14ac:dyDescent="0.2">
      <c r="A287" s="582" t="s">
        <v>3485</v>
      </c>
      <c r="B287" s="583" t="s">
        <v>3486</v>
      </c>
      <c r="C287" s="583"/>
      <c r="D287" s="582" t="s">
        <v>3487</v>
      </c>
      <c r="E287" s="584" t="s">
        <v>646</v>
      </c>
      <c r="F287" s="585">
        <v>98.01</v>
      </c>
      <c r="G287" s="831">
        <f t="shared" si="19"/>
        <v>98.01</v>
      </c>
      <c r="H287" s="585">
        <f t="shared" si="20"/>
        <v>121.83</v>
      </c>
    </row>
    <row r="288" spans="1:8" ht="40.5" customHeight="1" x14ac:dyDescent="0.2">
      <c r="A288" s="582" t="s">
        <v>3488</v>
      </c>
      <c r="B288" s="583" t="s">
        <v>3489</v>
      </c>
      <c r="C288" s="583"/>
      <c r="D288" s="582" t="s">
        <v>3490</v>
      </c>
      <c r="E288" s="584" t="s">
        <v>646</v>
      </c>
      <c r="F288" s="585">
        <v>41.53</v>
      </c>
      <c r="G288" s="831">
        <f t="shared" si="19"/>
        <v>41.53</v>
      </c>
      <c r="H288" s="585">
        <f t="shared" si="20"/>
        <v>51.62</v>
      </c>
    </row>
    <row r="289" spans="1:8" ht="40.5" customHeight="1" x14ac:dyDescent="0.2">
      <c r="A289" s="582" t="s">
        <v>3491</v>
      </c>
      <c r="B289" s="583" t="s">
        <v>3492</v>
      </c>
      <c r="C289" s="583"/>
      <c r="D289" s="582" t="s">
        <v>3493</v>
      </c>
      <c r="E289" s="584" t="s">
        <v>646</v>
      </c>
      <c r="F289" s="585">
        <v>43.29</v>
      </c>
      <c r="G289" s="831">
        <f t="shared" si="19"/>
        <v>43.29</v>
      </c>
      <c r="H289" s="585">
        <f t="shared" si="20"/>
        <v>53.81</v>
      </c>
    </row>
    <row r="290" spans="1:8" ht="40.5" customHeight="1" x14ac:dyDescent="0.2">
      <c r="A290" s="582" t="s">
        <v>3494</v>
      </c>
      <c r="B290" s="583" t="s">
        <v>3495</v>
      </c>
      <c r="C290" s="583"/>
      <c r="D290" s="582" t="s">
        <v>3496</v>
      </c>
      <c r="E290" s="584" t="s">
        <v>646</v>
      </c>
      <c r="F290" s="585">
        <v>59.36</v>
      </c>
      <c r="G290" s="831">
        <f t="shared" si="19"/>
        <v>59.36</v>
      </c>
      <c r="H290" s="585">
        <f t="shared" si="20"/>
        <v>73.790000000000006</v>
      </c>
    </row>
    <row r="291" spans="1:8" ht="40.5" customHeight="1" x14ac:dyDescent="0.2">
      <c r="A291" s="582" t="s">
        <v>3497</v>
      </c>
      <c r="B291" s="583" t="s">
        <v>3498</v>
      </c>
      <c r="C291" s="583"/>
      <c r="D291" s="582" t="s">
        <v>3499</v>
      </c>
      <c r="E291" s="584" t="s">
        <v>646</v>
      </c>
      <c r="F291" s="585">
        <v>42.86</v>
      </c>
      <c r="G291" s="831">
        <f t="shared" si="19"/>
        <v>42.86</v>
      </c>
      <c r="H291" s="585">
        <f t="shared" si="20"/>
        <v>53.27</v>
      </c>
    </row>
    <row r="292" spans="1:8" ht="40.5" customHeight="1" x14ac:dyDescent="0.2">
      <c r="A292" s="840" t="s">
        <v>2755</v>
      </c>
      <c r="B292" s="841"/>
      <c r="C292" s="841"/>
      <c r="D292" s="842" t="s">
        <v>2756</v>
      </c>
      <c r="E292" s="843"/>
      <c r="F292" s="844"/>
      <c r="G292" s="844"/>
      <c r="H292" s="845"/>
    </row>
    <row r="293" spans="1:8" ht="40.5" customHeight="1" x14ac:dyDescent="0.2">
      <c r="A293" s="827" t="s">
        <v>3500</v>
      </c>
      <c r="B293" s="828" t="s">
        <v>3501</v>
      </c>
      <c r="C293" s="828"/>
      <c r="D293" s="827" t="s">
        <v>3502</v>
      </c>
      <c r="E293" s="829" t="s">
        <v>1191</v>
      </c>
      <c r="F293" s="830">
        <v>143.94</v>
      </c>
      <c r="G293" s="831">
        <f t="shared" ref="G293:G309" si="21">(F293*($H$11))</f>
        <v>143.94</v>
      </c>
      <c r="H293" s="830">
        <f t="shared" ref="H293:H309" si="22">TRUNC((F293*($H$11))*(1+$H$8),2)</f>
        <v>178.93</v>
      </c>
    </row>
    <row r="294" spans="1:8" ht="40.5" customHeight="1" x14ac:dyDescent="0.2">
      <c r="A294" s="582" t="s">
        <v>3503</v>
      </c>
      <c r="B294" s="583" t="s">
        <v>3504</v>
      </c>
      <c r="C294" s="583"/>
      <c r="D294" s="582" t="s">
        <v>3505</v>
      </c>
      <c r="E294" s="584" t="s">
        <v>1191</v>
      </c>
      <c r="F294" s="585">
        <v>170.76</v>
      </c>
      <c r="G294" s="831">
        <f t="shared" si="21"/>
        <v>170.76</v>
      </c>
      <c r="H294" s="585">
        <f t="shared" si="22"/>
        <v>212.27</v>
      </c>
    </row>
    <row r="295" spans="1:8" ht="40.5" customHeight="1" x14ac:dyDescent="0.2">
      <c r="A295" s="582" t="s">
        <v>3506</v>
      </c>
      <c r="B295" s="583" t="s">
        <v>3507</v>
      </c>
      <c r="C295" s="583"/>
      <c r="D295" s="582" t="s">
        <v>3508</v>
      </c>
      <c r="E295" s="584" t="s">
        <v>1191</v>
      </c>
      <c r="F295" s="585">
        <v>205.84</v>
      </c>
      <c r="G295" s="831">
        <f t="shared" si="21"/>
        <v>205.84</v>
      </c>
      <c r="H295" s="585">
        <f t="shared" si="22"/>
        <v>255.87</v>
      </c>
    </row>
    <row r="296" spans="1:8" ht="40.5" customHeight="1" x14ac:dyDescent="0.2">
      <c r="A296" s="582" t="s">
        <v>3509</v>
      </c>
      <c r="B296" s="583" t="s">
        <v>3510</v>
      </c>
      <c r="C296" s="583"/>
      <c r="D296" s="582" t="s">
        <v>3511</v>
      </c>
      <c r="E296" s="584" t="s">
        <v>1191</v>
      </c>
      <c r="F296" s="585">
        <v>34.11</v>
      </c>
      <c r="G296" s="831">
        <f t="shared" si="21"/>
        <v>34.11</v>
      </c>
      <c r="H296" s="585">
        <f t="shared" si="22"/>
        <v>42.4</v>
      </c>
    </row>
    <row r="297" spans="1:8" ht="40.5" customHeight="1" x14ac:dyDescent="0.2">
      <c r="A297" s="582" t="s">
        <v>3512</v>
      </c>
      <c r="B297" s="583" t="s">
        <v>3513</v>
      </c>
      <c r="C297" s="583"/>
      <c r="D297" s="582" t="s">
        <v>3514</v>
      </c>
      <c r="E297" s="584" t="s">
        <v>1191</v>
      </c>
      <c r="F297" s="585">
        <v>44.66</v>
      </c>
      <c r="G297" s="831">
        <f t="shared" si="21"/>
        <v>44.66</v>
      </c>
      <c r="H297" s="585">
        <f t="shared" si="22"/>
        <v>55.51</v>
      </c>
    </row>
    <row r="298" spans="1:8" ht="40.5" customHeight="1" x14ac:dyDescent="0.2">
      <c r="A298" s="582" t="s">
        <v>3515</v>
      </c>
      <c r="B298" s="583" t="s">
        <v>3516</v>
      </c>
      <c r="C298" s="583"/>
      <c r="D298" s="582" t="s">
        <v>3517</v>
      </c>
      <c r="E298" s="584" t="s">
        <v>1191</v>
      </c>
      <c r="F298" s="585">
        <v>61.95</v>
      </c>
      <c r="G298" s="831">
        <f t="shared" si="21"/>
        <v>61.95</v>
      </c>
      <c r="H298" s="585">
        <f t="shared" si="22"/>
        <v>77.010000000000005</v>
      </c>
    </row>
    <row r="299" spans="1:8" ht="40.5" customHeight="1" x14ac:dyDescent="0.2">
      <c r="A299" s="582" t="s">
        <v>3518</v>
      </c>
      <c r="B299" s="583" t="s">
        <v>3519</v>
      </c>
      <c r="C299" s="583"/>
      <c r="D299" s="582" t="s">
        <v>3520</v>
      </c>
      <c r="E299" s="584" t="s">
        <v>1191</v>
      </c>
      <c r="F299" s="585">
        <v>88.97</v>
      </c>
      <c r="G299" s="831">
        <f t="shared" si="21"/>
        <v>88.97</v>
      </c>
      <c r="H299" s="585">
        <f t="shared" si="22"/>
        <v>110.59</v>
      </c>
    </row>
    <row r="300" spans="1:8" ht="40.5" customHeight="1" x14ac:dyDescent="0.2">
      <c r="A300" s="582" t="s">
        <v>3521</v>
      </c>
      <c r="B300" s="583" t="s">
        <v>3522</v>
      </c>
      <c r="C300" s="583"/>
      <c r="D300" s="582" t="s">
        <v>3523</v>
      </c>
      <c r="E300" s="584" t="s">
        <v>1191</v>
      </c>
      <c r="F300" s="585">
        <v>111.25</v>
      </c>
      <c r="G300" s="831">
        <f t="shared" si="21"/>
        <v>111.25</v>
      </c>
      <c r="H300" s="585">
        <f t="shared" si="22"/>
        <v>138.29</v>
      </c>
    </row>
    <row r="301" spans="1:8" ht="40.5" customHeight="1" x14ac:dyDescent="0.2">
      <c r="A301" s="582" t="s">
        <v>3524</v>
      </c>
      <c r="B301" s="583" t="s">
        <v>3525</v>
      </c>
      <c r="C301" s="583"/>
      <c r="D301" s="582" t="s">
        <v>3526</v>
      </c>
      <c r="E301" s="584" t="s">
        <v>1191</v>
      </c>
      <c r="F301" s="585">
        <v>2.92</v>
      </c>
      <c r="G301" s="831">
        <f t="shared" si="21"/>
        <v>2.92</v>
      </c>
      <c r="H301" s="585">
        <f t="shared" si="22"/>
        <v>3.62</v>
      </c>
    </row>
    <row r="302" spans="1:8" ht="40.5" customHeight="1" x14ac:dyDescent="0.2">
      <c r="A302" s="582" t="s">
        <v>3527</v>
      </c>
      <c r="B302" s="583" t="s">
        <v>3528</v>
      </c>
      <c r="C302" s="583"/>
      <c r="D302" s="582" t="s">
        <v>3529</v>
      </c>
      <c r="E302" s="584" t="s">
        <v>1191</v>
      </c>
      <c r="F302" s="585">
        <v>14.84</v>
      </c>
      <c r="G302" s="831">
        <f t="shared" si="21"/>
        <v>14.84</v>
      </c>
      <c r="H302" s="585">
        <f t="shared" si="22"/>
        <v>18.440000000000001</v>
      </c>
    </row>
    <row r="303" spans="1:8" ht="40.5" customHeight="1" x14ac:dyDescent="0.2">
      <c r="A303" s="582" t="s">
        <v>3530</v>
      </c>
      <c r="B303" s="583" t="s">
        <v>3531</v>
      </c>
      <c r="C303" s="583"/>
      <c r="D303" s="582" t="s">
        <v>3532</v>
      </c>
      <c r="E303" s="584" t="s">
        <v>1191</v>
      </c>
      <c r="F303" s="585">
        <v>4.08</v>
      </c>
      <c r="G303" s="831">
        <f t="shared" si="21"/>
        <v>4.08</v>
      </c>
      <c r="H303" s="585">
        <f t="shared" si="22"/>
        <v>5.07</v>
      </c>
    </row>
    <row r="304" spans="1:8" ht="40.5" customHeight="1" x14ac:dyDescent="0.2">
      <c r="A304" s="582" t="s">
        <v>3533</v>
      </c>
      <c r="B304" s="583" t="s">
        <v>3534</v>
      </c>
      <c r="C304" s="583"/>
      <c r="D304" s="582" t="s">
        <v>3535</v>
      </c>
      <c r="E304" s="584" t="s">
        <v>1191</v>
      </c>
      <c r="F304" s="585">
        <v>26.99</v>
      </c>
      <c r="G304" s="831">
        <f t="shared" si="21"/>
        <v>26.99</v>
      </c>
      <c r="H304" s="585">
        <f t="shared" si="22"/>
        <v>33.549999999999997</v>
      </c>
    </row>
    <row r="305" spans="1:8" ht="40.5" customHeight="1" x14ac:dyDescent="0.2">
      <c r="A305" s="582" t="s">
        <v>3536</v>
      </c>
      <c r="B305" s="583" t="s">
        <v>3537</v>
      </c>
      <c r="C305" s="583"/>
      <c r="D305" s="582" t="s">
        <v>3538</v>
      </c>
      <c r="E305" s="584" t="s">
        <v>1191</v>
      </c>
      <c r="F305" s="585">
        <v>39.96</v>
      </c>
      <c r="G305" s="831">
        <f t="shared" si="21"/>
        <v>39.96</v>
      </c>
      <c r="H305" s="585">
        <f t="shared" si="22"/>
        <v>49.67</v>
      </c>
    </row>
    <row r="306" spans="1:8" ht="40.5" customHeight="1" x14ac:dyDescent="0.2">
      <c r="A306" s="582" t="s">
        <v>3539</v>
      </c>
      <c r="B306" s="583" t="s">
        <v>3540</v>
      </c>
      <c r="C306" s="583"/>
      <c r="D306" s="582" t="s">
        <v>3541</v>
      </c>
      <c r="E306" s="584" t="s">
        <v>1191</v>
      </c>
      <c r="F306" s="585">
        <v>16.059999999999999</v>
      </c>
      <c r="G306" s="831">
        <f t="shared" si="21"/>
        <v>16.059999999999999</v>
      </c>
      <c r="H306" s="585">
        <f t="shared" si="22"/>
        <v>19.96</v>
      </c>
    </row>
    <row r="307" spans="1:8" ht="40.5" customHeight="1" x14ac:dyDescent="0.2">
      <c r="A307" s="582" t="s">
        <v>3542</v>
      </c>
      <c r="B307" s="583" t="s">
        <v>3543</v>
      </c>
      <c r="C307" s="583"/>
      <c r="D307" s="582" t="s">
        <v>3544</v>
      </c>
      <c r="E307" s="584" t="s">
        <v>1191</v>
      </c>
      <c r="F307" s="585">
        <v>25.04</v>
      </c>
      <c r="G307" s="831">
        <f t="shared" si="21"/>
        <v>25.04</v>
      </c>
      <c r="H307" s="585">
        <f t="shared" si="22"/>
        <v>31.12</v>
      </c>
    </row>
    <row r="308" spans="1:8" ht="40.5" customHeight="1" x14ac:dyDescent="0.2">
      <c r="A308" s="582" t="s">
        <v>3545</v>
      </c>
      <c r="B308" s="583" t="s">
        <v>3546</v>
      </c>
      <c r="C308" s="583"/>
      <c r="D308" s="582" t="s">
        <v>3547</v>
      </c>
      <c r="E308" s="584" t="s">
        <v>1191</v>
      </c>
      <c r="F308" s="585">
        <v>10.88</v>
      </c>
      <c r="G308" s="831">
        <f t="shared" si="21"/>
        <v>10.88</v>
      </c>
      <c r="H308" s="585">
        <f t="shared" si="22"/>
        <v>13.52</v>
      </c>
    </row>
    <row r="309" spans="1:8" ht="40.5" customHeight="1" x14ac:dyDescent="0.2">
      <c r="A309" s="582" t="s">
        <v>3548</v>
      </c>
      <c r="B309" s="583" t="s">
        <v>3549</v>
      </c>
      <c r="C309" s="583"/>
      <c r="D309" s="582" t="s">
        <v>3550</v>
      </c>
      <c r="E309" s="584" t="s">
        <v>1191</v>
      </c>
      <c r="F309" s="585">
        <v>8.85</v>
      </c>
      <c r="G309" s="831">
        <f t="shared" si="21"/>
        <v>8.85</v>
      </c>
      <c r="H309" s="585">
        <f t="shared" si="22"/>
        <v>11</v>
      </c>
    </row>
    <row r="310" spans="1:8" ht="40.5" customHeight="1" x14ac:dyDescent="0.2">
      <c r="A310" s="840" t="s">
        <v>2757</v>
      </c>
      <c r="B310" s="841"/>
      <c r="C310" s="841"/>
      <c r="D310" s="842" t="s">
        <v>2758</v>
      </c>
      <c r="E310" s="843"/>
      <c r="F310" s="844"/>
      <c r="G310" s="844"/>
      <c r="H310" s="845"/>
    </row>
    <row r="311" spans="1:8" ht="40.5" customHeight="1" x14ac:dyDescent="0.2">
      <c r="A311" s="827" t="s">
        <v>3551</v>
      </c>
      <c r="B311" s="828" t="s">
        <v>3552</v>
      </c>
      <c r="C311" s="828"/>
      <c r="D311" s="827" t="s">
        <v>3553</v>
      </c>
      <c r="E311" s="829" t="s">
        <v>646</v>
      </c>
      <c r="F311" s="830">
        <v>17.170000000000002</v>
      </c>
      <c r="G311" s="831">
        <f t="shared" ref="G311:G344" si="23">(F311*($H$11))</f>
        <v>17.170000000000002</v>
      </c>
      <c r="H311" s="830">
        <f t="shared" ref="H311:H344" si="24">TRUNC((F311*($H$11))*(1+$H$8),2)</f>
        <v>21.34</v>
      </c>
    </row>
    <row r="312" spans="1:8" ht="40.5" customHeight="1" x14ac:dyDescent="0.2">
      <c r="A312" s="582" t="s">
        <v>3554</v>
      </c>
      <c r="B312" s="583" t="s">
        <v>3555</v>
      </c>
      <c r="C312" s="583"/>
      <c r="D312" s="582" t="s">
        <v>3556</v>
      </c>
      <c r="E312" s="584" t="s">
        <v>646</v>
      </c>
      <c r="F312" s="585">
        <v>21.74</v>
      </c>
      <c r="G312" s="831">
        <f t="shared" si="23"/>
        <v>21.74</v>
      </c>
      <c r="H312" s="585">
        <f t="shared" si="24"/>
        <v>27.02</v>
      </c>
    </row>
    <row r="313" spans="1:8" ht="40.5" customHeight="1" x14ac:dyDescent="0.2">
      <c r="A313" s="582" t="s">
        <v>3557</v>
      </c>
      <c r="B313" s="583" t="s">
        <v>3558</v>
      </c>
      <c r="C313" s="583"/>
      <c r="D313" s="582" t="s">
        <v>3559</v>
      </c>
      <c r="E313" s="584" t="s">
        <v>646</v>
      </c>
      <c r="F313" s="585">
        <v>43.55</v>
      </c>
      <c r="G313" s="831">
        <f t="shared" si="23"/>
        <v>43.55</v>
      </c>
      <c r="H313" s="585">
        <f t="shared" si="24"/>
        <v>54.13</v>
      </c>
    </row>
    <row r="314" spans="1:8" ht="40.5" customHeight="1" x14ac:dyDescent="0.2">
      <c r="A314" s="582" t="s">
        <v>3560</v>
      </c>
      <c r="B314" s="583" t="s">
        <v>3561</v>
      </c>
      <c r="C314" s="583"/>
      <c r="D314" s="582" t="s">
        <v>3562</v>
      </c>
      <c r="E314" s="584" t="s">
        <v>646</v>
      </c>
      <c r="F314" s="585">
        <v>36.43</v>
      </c>
      <c r="G314" s="831">
        <f t="shared" si="23"/>
        <v>36.43</v>
      </c>
      <c r="H314" s="585">
        <f t="shared" si="24"/>
        <v>45.28</v>
      </c>
    </row>
    <row r="315" spans="1:8" ht="40.5" customHeight="1" x14ac:dyDescent="0.2">
      <c r="A315" s="582" t="s">
        <v>3563</v>
      </c>
      <c r="B315" s="583" t="s">
        <v>3564</v>
      </c>
      <c r="C315" s="583"/>
      <c r="D315" s="582" t="s">
        <v>3565</v>
      </c>
      <c r="E315" s="584" t="s">
        <v>646</v>
      </c>
      <c r="F315" s="585">
        <v>42.99</v>
      </c>
      <c r="G315" s="831">
        <f t="shared" si="23"/>
        <v>42.99</v>
      </c>
      <c r="H315" s="585">
        <f t="shared" si="24"/>
        <v>53.44</v>
      </c>
    </row>
    <row r="316" spans="1:8" ht="40.5" customHeight="1" x14ac:dyDescent="0.2">
      <c r="A316" s="582" t="s">
        <v>3566</v>
      </c>
      <c r="B316" s="583" t="s">
        <v>3567</v>
      </c>
      <c r="C316" s="583"/>
      <c r="D316" s="582" t="s">
        <v>3568</v>
      </c>
      <c r="E316" s="584" t="s">
        <v>646</v>
      </c>
      <c r="F316" s="585">
        <v>38.869999999999997</v>
      </c>
      <c r="G316" s="831">
        <f t="shared" si="23"/>
        <v>38.869999999999997</v>
      </c>
      <c r="H316" s="585">
        <f t="shared" si="24"/>
        <v>48.31</v>
      </c>
    </row>
    <row r="317" spans="1:8" ht="40.5" customHeight="1" x14ac:dyDescent="0.2">
      <c r="A317" s="582" t="s">
        <v>3569</v>
      </c>
      <c r="B317" s="583" t="s">
        <v>3570</v>
      </c>
      <c r="C317" s="583"/>
      <c r="D317" s="582" t="s">
        <v>3571</v>
      </c>
      <c r="E317" s="584" t="s">
        <v>1191</v>
      </c>
      <c r="F317" s="585">
        <v>103.86</v>
      </c>
      <c r="G317" s="831">
        <f t="shared" si="23"/>
        <v>103.86</v>
      </c>
      <c r="H317" s="585">
        <f t="shared" si="24"/>
        <v>129.1</v>
      </c>
    </row>
    <row r="318" spans="1:8" ht="40.5" customHeight="1" x14ac:dyDescent="0.2">
      <c r="A318" s="582" t="s">
        <v>3572</v>
      </c>
      <c r="B318" s="583" t="s">
        <v>3573</v>
      </c>
      <c r="C318" s="583"/>
      <c r="D318" s="582" t="s">
        <v>3574</v>
      </c>
      <c r="E318" s="584" t="s">
        <v>1191</v>
      </c>
      <c r="F318" s="585">
        <v>122.48</v>
      </c>
      <c r="G318" s="831">
        <f t="shared" si="23"/>
        <v>122.48</v>
      </c>
      <c r="H318" s="585">
        <f t="shared" si="24"/>
        <v>152.25</v>
      </c>
    </row>
    <row r="319" spans="1:8" ht="40.5" customHeight="1" x14ac:dyDescent="0.2">
      <c r="A319" s="582" t="s">
        <v>3575</v>
      </c>
      <c r="B319" s="583" t="s">
        <v>3576</v>
      </c>
      <c r="C319" s="583"/>
      <c r="D319" s="582" t="s">
        <v>3577</v>
      </c>
      <c r="E319" s="584" t="s">
        <v>1191</v>
      </c>
      <c r="F319" s="585">
        <v>152.49</v>
      </c>
      <c r="G319" s="831">
        <f t="shared" si="23"/>
        <v>152.49</v>
      </c>
      <c r="H319" s="585">
        <f t="shared" si="24"/>
        <v>189.56</v>
      </c>
    </row>
    <row r="320" spans="1:8" ht="40.5" customHeight="1" x14ac:dyDescent="0.2">
      <c r="A320" s="582" t="s">
        <v>3578</v>
      </c>
      <c r="B320" s="583" t="s">
        <v>3579</v>
      </c>
      <c r="C320" s="583"/>
      <c r="D320" s="582" t="s">
        <v>3580</v>
      </c>
      <c r="E320" s="584" t="s">
        <v>1191</v>
      </c>
      <c r="F320" s="585">
        <v>114.99</v>
      </c>
      <c r="G320" s="831">
        <f t="shared" si="23"/>
        <v>114.99</v>
      </c>
      <c r="H320" s="585">
        <f t="shared" si="24"/>
        <v>142.94</v>
      </c>
    </row>
    <row r="321" spans="1:8" ht="40.5" customHeight="1" x14ac:dyDescent="0.2">
      <c r="A321" s="582" t="s">
        <v>3581</v>
      </c>
      <c r="B321" s="583" t="s">
        <v>3582</v>
      </c>
      <c r="C321" s="583"/>
      <c r="D321" s="582" t="s">
        <v>3583</v>
      </c>
      <c r="E321" s="584" t="s">
        <v>1191</v>
      </c>
      <c r="F321" s="585">
        <v>156.12</v>
      </c>
      <c r="G321" s="831">
        <f t="shared" si="23"/>
        <v>156.12</v>
      </c>
      <c r="H321" s="585">
        <f t="shared" si="24"/>
        <v>194.07</v>
      </c>
    </row>
    <row r="322" spans="1:8" ht="40.5" customHeight="1" x14ac:dyDescent="0.2">
      <c r="A322" s="582" t="s">
        <v>3584</v>
      </c>
      <c r="B322" s="583" t="s">
        <v>3585</v>
      </c>
      <c r="C322" s="583"/>
      <c r="D322" s="582" t="s">
        <v>3586</v>
      </c>
      <c r="E322" s="584" t="s">
        <v>646</v>
      </c>
      <c r="F322" s="585">
        <v>188.72</v>
      </c>
      <c r="G322" s="831">
        <f t="shared" si="23"/>
        <v>188.72</v>
      </c>
      <c r="H322" s="585">
        <f t="shared" si="24"/>
        <v>234.59</v>
      </c>
    </row>
    <row r="323" spans="1:8" ht="40.5" customHeight="1" x14ac:dyDescent="0.2">
      <c r="A323" s="582" t="s">
        <v>3587</v>
      </c>
      <c r="B323" s="583" t="s">
        <v>3588</v>
      </c>
      <c r="C323" s="583"/>
      <c r="D323" s="582" t="s">
        <v>3589</v>
      </c>
      <c r="E323" s="584" t="s">
        <v>1191</v>
      </c>
      <c r="F323" s="585">
        <v>111.1</v>
      </c>
      <c r="G323" s="831">
        <f t="shared" si="23"/>
        <v>111.1</v>
      </c>
      <c r="H323" s="585">
        <f t="shared" si="24"/>
        <v>138.1</v>
      </c>
    </row>
    <row r="324" spans="1:8" ht="40.5" customHeight="1" x14ac:dyDescent="0.2">
      <c r="A324" s="582" t="s">
        <v>3590</v>
      </c>
      <c r="B324" s="583" t="s">
        <v>3591</v>
      </c>
      <c r="C324" s="583"/>
      <c r="D324" s="582" t="s">
        <v>3592</v>
      </c>
      <c r="E324" s="584" t="s">
        <v>1191</v>
      </c>
      <c r="F324" s="585">
        <v>165.63</v>
      </c>
      <c r="G324" s="831">
        <f t="shared" si="23"/>
        <v>165.63</v>
      </c>
      <c r="H324" s="585">
        <f t="shared" si="24"/>
        <v>205.89</v>
      </c>
    </row>
    <row r="325" spans="1:8" ht="40.5" customHeight="1" x14ac:dyDescent="0.2">
      <c r="A325" s="582" t="s">
        <v>3593</v>
      </c>
      <c r="B325" s="583" t="s">
        <v>3594</v>
      </c>
      <c r="C325" s="583"/>
      <c r="D325" s="582" t="s">
        <v>3595</v>
      </c>
      <c r="E325" s="584" t="s">
        <v>1191</v>
      </c>
      <c r="F325" s="585">
        <v>139.18</v>
      </c>
      <c r="G325" s="831">
        <f t="shared" si="23"/>
        <v>139.18</v>
      </c>
      <c r="H325" s="585">
        <f t="shared" si="24"/>
        <v>173.01</v>
      </c>
    </row>
    <row r="326" spans="1:8" ht="40.5" customHeight="1" x14ac:dyDescent="0.2">
      <c r="A326" s="582" t="s">
        <v>3596</v>
      </c>
      <c r="B326" s="583" t="s">
        <v>3597</v>
      </c>
      <c r="C326" s="583"/>
      <c r="D326" s="582" t="s">
        <v>3598</v>
      </c>
      <c r="E326" s="584" t="s">
        <v>1191</v>
      </c>
      <c r="F326" s="585">
        <v>218.41</v>
      </c>
      <c r="G326" s="831">
        <f t="shared" si="23"/>
        <v>218.41</v>
      </c>
      <c r="H326" s="585">
        <f t="shared" si="24"/>
        <v>271.5</v>
      </c>
    </row>
    <row r="327" spans="1:8" ht="40.5" customHeight="1" x14ac:dyDescent="0.2">
      <c r="A327" s="582" t="s">
        <v>3599</v>
      </c>
      <c r="B327" s="583" t="s">
        <v>3600</v>
      </c>
      <c r="C327" s="583"/>
      <c r="D327" s="582" t="s">
        <v>3601</v>
      </c>
      <c r="E327" s="584" t="s">
        <v>1191</v>
      </c>
      <c r="F327" s="585">
        <v>316.81</v>
      </c>
      <c r="G327" s="831">
        <f t="shared" si="23"/>
        <v>316.81</v>
      </c>
      <c r="H327" s="585">
        <f t="shared" si="24"/>
        <v>393.82</v>
      </c>
    </row>
    <row r="328" spans="1:8" ht="40.5" customHeight="1" x14ac:dyDescent="0.2">
      <c r="A328" s="582" t="s">
        <v>3602</v>
      </c>
      <c r="B328" s="583" t="s">
        <v>3603</v>
      </c>
      <c r="C328" s="583"/>
      <c r="D328" s="582" t="s">
        <v>3604</v>
      </c>
      <c r="E328" s="584" t="s">
        <v>1191</v>
      </c>
      <c r="F328" s="585">
        <v>334.78</v>
      </c>
      <c r="G328" s="831">
        <f t="shared" si="23"/>
        <v>334.78</v>
      </c>
      <c r="H328" s="585">
        <f t="shared" si="24"/>
        <v>416.16</v>
      </c>
    </row>
    <row r="329" spans="1:8" ht="40.5" customHeight="1" x14ac:dyDescent="0.2">
      <c r="A329" s="582" t="s">
        <v>3605</v>
      </c>
      <c r="B329" s="583" t="s">
        <v>3606</v>
      </c>
      <c r="C329" s="583"/>
      <c r="D329" s="582" t="s">
        <v>3607</v>
      </c>
      <c r="E329" s="584" t="s">
        <v>1191</v>
      </c>
      <c r="F329" s="585">
        <v>24.71</v>
      </c>
      <c r="G329" s="831">
        <f t="shared" si="23"/>
        <v>24.71</v>
      </c>
      <c r="H329" s="585">
        <f t="shared" si="24"/>
        <v>30.71</v>
      </c>
    </row>
    <row r="330" spans="1:8" ht="40.5" customHeight="1" x14ac:dyDescent="0.2">
      <c r="A330" s="582" t="s">
        <v>3608</v>
      </c>
      <c r="B330" s="583" t="s">
        <v>3609</v>
      </c>
      <c r="C330" s="583"/>
      <c r="D330" s="582" t="s">
        <v>3610</v>
      </c>
      <c r="E330" s="584" t="s">
        <v>1191</v>
      </c>
      <c r="F330" s="585">
        <v>24.13</v>
      </c>
      <c r="G330" s="831">
        <f t="shared" si="23"/>
        <v>24.13</v>
      </c>
      <c r="H330" s="585">
        <f t="shared" si="24"/>
        <v>29.99</v>
      </c>
    </row>
    <row r="331" spans="1:8" ht="40.5" customHeight="1" x14ac:dyDescent="0.2">
      <c r="A331" s="582" t="s">
        <v>3611</v>
      </c>
      <c r="B331" s="583" t="s">
        <v>3612</v>
      </c>
      <c r="C331" s="583"/>
      <c r="D331" s="582" t="s">
        <v>3613</v>
      </c>
      <c r="E331" s="584" t="s">
        <v>1191</v>
      </c>
      <c r="F331" s="585">
        <v>42.62</v>
      </c>
      <c r="G331" s="831">
        <f t="shared" si="23"/>
        <v>42.62</v>
      </c>
      <c r="H331" s="585">
        <f t="shared" si="24"/>
        <v>52.98</v>
      </c>
    </row>
    <row r="332" spans="1:8" ht="40.5" customHeight="1" x14ac:dyDescent="0.2">
      <c r="A332" s="582" t="s">
        <v>3614</v>
      </c>
      <c r="B332" s="583" t="s">
        <v>3615</v>
      </c>
      <c r="C332" s="583"/>
      <c r="D332" s="582" t="s">
        <v>3616</v>
      </c>
      <c r="E332" s="584" t="s">
        <v>1191</v>
      </c>
      <c r="F332" s="585">
        <v>34.65</v>
      </c>
      <c r="G332" s="831">
        <f t="shared" si="23"/>
        <v>34.65</v>
      </c>
      <c r="H332" s="585">
        <f t="shared" si="24"/>
        <v>43.07</v>
      </c>
    </row>
    <row r="333" spans="1:8" ht="40.5" customHeight="1" x14ac:dyDescent="0.2">
      <c r="A333" s="582" t="s">
        <v>3617</v>
      </c>
      <c r="B333" s="583" t="s">
        <v>3618</v>
      </c>
      <c r="C333" s="583"/>
      <c r="D333" s="582" t="s">
        <v>3619</v>
      </c>
      <c r="E333" s="584" t="s">
        <v>1191</v>
      </c>
      <c r="F333" s="585">
        <v>59.07</v>
      </c>
      <c r="G333" s="831">
        <f t="shared" si="23"/>
        <v>59.07</v>
      </c>
      <c r="H333" s="585">
        <f t="shared" si="24"/>
        <v>73.42</v>
      </c>
    </row>
    <row r="334" spans="1:8" ht="40.5" customHeight="1" x14ac:dyDescent="0.2">
      <c r="A334" s="582" t="s">
        <v>3620</v>
      </c>
      <c r="B334" s="583" t="s">
        <v>3621</v>
      </c>
      <c r="C334" s="583"/>
      <c r="D334" s="582" t="s">
        <v>3622</v>
      </c>
      <c r="E334" s="584" t="s">
        <v>1191</v>
      </c>
      <c r="F334" s="585">
        <v>85.68</v>
      </c>
      <c r="G334" s="831">
        <f t="shared" si="23"/>
        <v>85.68</v>
      </c>
      <c r="H334" s="585">
        <f t="shared" si="24"/>
        <v>106.5</v>
      </c>
    </row>
    <row r="335" spans="1:8" ht="40.5" customHeight="1" x14ac:dyDescent="0.2">
      <c r="A335" s="582" t="s">
        <v>3623</v>
      </c>
      <c r="B335" s="583" t="s">
        <v>3624</v>
      </c>
      <c r="C335" s="583"/>
      <c r="D335" s="582" t="s">
        <v>3625</v>
      </c>
      <c r="E335" s="584" t="s">
        <v>1191</v>
      </c>
      <c r="F335" s="585">
        <v>19.760000000000002</v>
      </c>
      <c r="G335" s="831">
        <f t="shared" si="23"/>
        <v>19.760000000000002</v>
      </c>
      <c r="H335" s="585">
        <f t="shared" si="24"/>
        <v>24.56</v>
      </c>
    </row>
    <row r="336" spans="1:8" ht="40.5" customHeight="1" x14ac:dyDescent="0.2">
      <c r="A336" s="582" t="s">
        <v>3626</v>
      </c>
      <c r="B336" s="583" t="s">
        <v>3627</v>
      </c>
      <c r="C336" s="583"/>
      <c r="D336" s="582" t="s">
        <v>3628</v>
      </c>
      <c r="E336" s="584" t="s">
        <v>1191</v>
      </c>
      <c r="F336" s="585">
        <v>14.5</v>
      </c>
      <c r="G336" s="831">
        <f t="shared" si="23"/>
        <v>14.5</v>
      </c>
      <c r="H336" s="585">
        <f t="shared" si="24"/>
        <v>18.02</v>
      </c>
    </row>
    <row r="337" spans="1:8" ht="40.5" customHeight="1" x14ac:dyDescent="0.2">
      <c r="A337" s="582" t="s">
        <v>3629</v>
      </c>
      <c r="B337" s="583" t="s">
        <v>3630</v>
      </c>
      <c r="C337" s="583"/>
      <c r="D337" s="582" t="s">
        <v>3631</v>
      </c>
      <c r="E337" s="584" t="s">
        <v>1191</v>
      </c>
      <c r="F337" s="585">
        <v>10.28</v>
      </c>
      <c r="G337" s="831">
        <f t="shared" si="23"/>
        <v>10.28</v>
      </c>
      <c r="H337" s="585">
        <f t="shared" si="24"/>
        <v>12.77</v>
      </c>
    </row>
    <row r="338" spans="1:8" ht="40.5" customHeight="1" x14ac:dyDescent="0.2">
      <c r="A338" s="582" t="s">
        <v>3632</v>
      </c>
      <c r="B338" s="583" t="s">
        <v>3633</v>
      </c>
      <c r="C338" s="583"/>
      <c r="D338" s="582" t="s">
        <v>3634</v>
      </c>
      <c r="E338" s="584" t="s">
        <v>1191</v>
      </c>
      <c r="F338" s="585">
        <v>25.12</v>
      </c>
      <c r="G338" s="831">
        <f t="shared" si="23"/>
        <v>25.12</v>
      </c>
      <c r="H338" s="585">
        <f t="shared" si="24"/>
        <v>31.22</v>
      </c>
    </row>
    <row r="339" spans="1:8" ht="40.5" customHeight="1" x14ac:dyDescent="0.2">
      <c r="A339" s="582" t="s">
        <v>3635</v>
      </c>
      <c r="B339" s="583" t="s">
        <v>3636</v>
      </c>
      <c r="C339" s="583"/>
      <c r="D339" s="582" t="s">
        <v>3637</v>
      </c>
      <c r="E339" s="584" t="s">
        <v>1191</v>
      </c>
      <c r="F339" s="585">
        <v>51.38</v>
      </c>
      <c r="G339" s="831">
        <f t="shared" si="23"/>
        <v>51.38</v>
      </c>
      <c r="H339" s="585">
        <f t="shared" si="24"/>
        <v>63.87</v>
      </c>
    </row>
    <row r="340" spans="1:8" ht="40.5" customHeight="1" x14ac:dyDescent="0.2">
      <c r="A340" s="582" t="s">
        <v>3638</v>
      </c>
      <c r="B340" s="583" t="s">
        <v>3639</v>
      </c>
      <c r="C340" s="583"/>
      <c r="D340" s="582" t="s">
        <v>3640</v>
      </c>
      <c r="E340" s="584" t="s">
        <v>1191</v>
      </c>
      <c r="F340" s="585">
        <v>29.21</v>
      </c>
      <c r="G340" s="831">
        <f t="shared" si="23"/>
        <v>29.21</v>
      </c>
      <c r="H340" s="585">
        <f t="shared" si="24"/>
        <v>36.31</v>
      </c>
    </row>
    <row r="341" spans="1:8" ht="40.5" customHeight="1" x14ac:dyDescent="0.2">
      <c r="A341" s="582" t="s">
        <v>3641</v>
      </c>
      <c r="B341" s="583" t="s">
        <v>3642</v>
      </c>
      <c r="C341" s="583"/>
      <c r="D341" s="582" t="s">
        <v>3643</v>
      </c>
      <c r="E341" s="584" t="s">
        <v>1191</v>
      </c>
      <c r="F341" s="585">
        <v>74</v>
      </c>
      <c r="G341" s="831">
        <f t="shared" si="23"/>
        <v>74</v>
      </c>
      <c r="H341" s="585">
        <f t="shared" si="24"/>
        <v>91.98</v>
      </c>
    </row>
    <row r="342" spans="1:8" ht="40.5" customHeight="1" x14ac:dyDescent="0.2">
      <c r="A342" s="582" t="s">
        <v>3644</v>
      </c>
      <c r="B342" s="583" t="s">
        <v>3645</v>
      </c>
      <c r="C342" s="583"/>
      <c r="D342" s="582" t="s">
        <v>3646</v>
      </c>
      <c r="E342" s="584" t="s">
        <v>1191</v>
      </c>
      <c r="F342" s="585">
        <v>87.61</v>
      </c>
      <c r="G342" s="831">
        <f t="shared" si="23"/>
        <v>87.61</v>
      </c>
      <c r="H342" s="585">
        <f t="shared" si="24"/>
        <v>108.9</v>
      </c>
    </row>
    <row r="343" spans="1:8" ht="40.5" customHeight="1" x14ac:dyDescent="0.2">
      <c r="A343" s="582" t="s">
        <v>3647</v>
      </c>
      <c r="B343" s="583" t="s">
        <v>3648</v>
      </c>
      <c r="C343" s="583"/>
      <c r="D343" s="582" t="s">
        <v>3649</v>
      </c>
      <c r="E343" s="584" t="s">
        <v>1191</v>
      </c>
      <c r="F343" s="585">
        <v>61.91</v>
      </c>
      <c r="G343" s="831">
        <f t="shared" si="23"/>
        <v>61.91</v>
      </c>
      <c r="H343" s="585">
        <f t="shared" si="24"/>
        <v>76.959999999999994</v>
      </c>
    </row>
    <row r="344" spans="1:8" ht="40.5" customHeight="1" x14ac:dyDescent="0.2">
      <c r="A344" s="582" t="s">
        <v>3650</v>
      </c>
      <c r="B344" s="583" t="s">
        <v>3651</v>
      </c>
      <c r="C344" s="583"/>
      <c r="D344" s="582" t="s">
        <v>3652</v>
      </c>
      <c r="E344" s="584" t="s">
        <v>1191</v>
      </c>
      <c r="F344" s="585">
        <v>23.3</v>
      </c>
      <c r="G344" s="831">
        <f t="shared" si="23"/>
        <v>23.3</v>
      </c>
      <c r="H344" s="585">
        <f t="shared" si="24"/>
        <v>28.96</v>
      </c>
    </row>
    <row r="345" spans="1:8" ht="40.5" customHeight="1" x14ac:dyDescent="0.2">
      <c r="A345" s="840" t="s">
        <v>2759</v>
      </c>
      <c r="B345" s="841"/>
      <c r="C345" s="841"/>
      <c r="D345" s="842" t="s">
        <v>2760</v>
      </c>
      <c r="E345" s="843"/>
      <c r="F345" s="844"/>
      <c r="G345" s="844"/>
      <c r="H345" s="845"/>
    </row>
    <row r="346" spans="1:8" ht="40.5" customHeight="1" x14ac:dyDescent="0.2">
      <c r="A346" s="827" t="s">
        <v>3653</v>
      </c>
      <c r="B346" s="828" t="s">
        <v>3654</v>
      </c>
      <c r="C346" s="828"/>
      <c r="D346" s="827" t="s">
        <v>3655</v>
      </c>
      <c r="E346" s="829" t="s">
        <v>646</v>
      </c>
      <c r="F346" s="830">
        <v>21.42</v>
      </c>
      <c r="G346" s="831">
        <f t="shared" ref="G346:G364" si="25">(F346*($H$11))</f>
        <v>21.42</v>
      </c>
      <c r="H346" s="830">
        <f t="shared" ref="H346:H364" si="26">TRUNC((F346*($H$11))*(1+$H$8),2)</f>
        <v>26.62</v>
      </c>
    </row>
    <row r="347" spans="1:8" ht="40.5" customHeight="1" x14ac:dyDescent="0.2">
      <c r="A347" s="582" t="s">
        <v>3656</v>
      </c>
      <c r="B347" s="583" t="s">
        <v>3657</v>
      </c>
      <c r="C347" s="583"/>
      <c r="D347" s="582" t="s">
        <v>3658</v>
      </c>
      <c r="E347" s="584" t="s">
        <v>646</v>
      </c>
      <c r="F347" s="585">
        <v>19.64</v>
      </c>
      <c r="G347" s="831">
        <f t="shared" si="25"/>
        <v>19.64</v>
      </c>
      <c r="H347" s="585">
        <f t="shared" si="26"/>
        <v>24.41</v>
      </c>
    </row>
    <row r="348" spans="1:8" ht="40.5" customHeight="1" x14ac:dyDescent="0.2">
      <c r="A348" s="582" t="s">
        <v>3659</v>
      </c>
      <c r="B348" s="583" t="s">
        <v>3660</v>
      </c>
      <c r="C348" s="583"/>
      <c r="D348" s="582" t="s">
        <v>3661</v>
      </c>
      <c r="E348" s="584" t="s">
        <v>646</v>
      </c>
      <c r="F348" s="585">
        <v>25.88</v>
      </c>
      <c r="G348" s="831">
        <f t="shared" si="25"/>
        <v>25.88</v>
      </c>
      <c r="H348" s="585">
        <f t="shared" si="26"/>
        <v>32.17</v>
      </c>
    </row>
    <row r="349" spans="1:8" ht="40.5" customHeight="1" x14ac:dyDescent="0.2">
      <c r="A349" s="582" t="s">
        <v>3662</v>
      </c>
      <c r="B349" s="583" t="s">
        <v>3663</v>
      </c>
      <c r="C349" s="583"/>
      <c r="D349" s="582" t="s">
        <v>3664</v>
      </c>
      <c r="E349" s="584" t="s">
        <v>646</v>
      </c>
      <c r="F349" s="585">
        <v>265.64</v>
      </c>
      <c r="G349" s="831">
        <f t="shared" si="25"/>
        <v>265.64</v>
      </c>
      <c r="H349" s="585">
        <f t="shared" si="26"/>
        <v>330.21</v>
      </c>
    </row>
    <row r="350" spans="1:8" ht="40.5" customHeight="1" x14ac:dyDescent="0.2">
      <c r="A350" s="582" t="s">
        <v>3665</v>
      </c>
      <c r="B350" s="583" t="s">
        <v>3666</v>
      </c>
      <c r="C350" s="583"/>
      <c r="D350" s="582" t="s">
        <v>3667</v>
      </c>
      <c r="E350" s="584" t="s">
        <v>646</v>
      </c>
      <c r="F350" s="585">
        <v>92.73</v>
      </c>
      <c r="G350" s="831">
        <f t="shared" si="25"/>
        <v>92.73</v>
      </c>
      <c r="H350" s="585">
        <f t="shared" si="26"/>
        <v>115.27</v>
      </c>
    </row>
    <row r="351" spans="1:8" ht="40.5" customHeight="1" x14ac:dyDescent="0.2">
      <c r="A351" s="582" t="s">
        <v>3668</v>
      </c>
      <c r="B351" s="583" t="s">
        <v>3669</v>
      </c>
      <c r="C351" s="583"/>
      <c r="D351" s="582" t="s">
        <v>3670</v>
      </c>
      <c r="E351" s="584" t="s">
        <v>646</v>
      </c>
      <c r="F351" s="585">
        <v>25.48</v>
      </c>
      <c r="G351" s="831">
        <f t="shared" si="25"/>
        <v>25.48</v>
      </c>
      <c r="H351" s="585">
        <f t="shared" si="26"/>
        <v>31.67</v>
      </c>
    </row>
    <row r="352" spans="1:8" ht="40.5" customHeight="1" x14ac:dyDescent="0.2">
      <c r="A352" s="582" t="s">
        <v>3671</v>
      </c>
      <c r="B352" s="583" t="s">
        <v>3672</v>
      </c>
      <c r="C352" s="583"/>
      <c r="D352" s="582" t="s">
        <v>3673</v>
      </c>
      <c r="E352" s="584" t="s">
        <v>646</v>
      </c>
      <c r="F352" s="585">
        <v>45.18</v>
      </c>
      <c r="G352" s="831">
        <f t="shared" si="25"/>
        <v>45.18</v>
      </c>
      <c r="H352" s="585">
        <f t="shared" si="26"/>
        <v>56.16</v>
      </c>
    </row>
    <row r="353" spans="1:8" ht="40.5" customHeight="1" x14ac:dyDescent="0.2">
      <c r="A353" s="582" t="s">
        <v>3674</v>
      </c>
      <c r="B353" s="583" t="s">
        <v>3675</v>
      </c>
      <c r="C353" s="583"/>
      <c r="D353" s="582" t="s">
        <v>3676</v>
      </c>
      <c r="E353" s="584" t="s">
        <v>646</v>
      </c>
      <c r="F353" s="585">
        <v>1515.87</v>
      </c>
      <c r="G353" s="831">
        <f t="shared" si="25"/>
        <v>1515.87</v>
      </c>
      <c r="H353" s="585">
        <f t="shared" si="26"/>
        <v>1884.37</v>
      </c>
    </row>
    <row r="354" spans="1:8" ht="40.5" customHeight="1" x14ac:dyDescent="0.2">
      <c r="A354" s="582" t="s">
        <v>3677</v>
      </c>
      <c r="B354" s="583" t="s">
        <v>3678</v>
      </c>
      <c r="C354" s="583"/>
      <c r="D354" s="582" t="s">
        <v>3679</v>
      </c>
      <c r="E354" s="584" t="s">
        <v>646</v>
      </c>
      <c r="F354" s="585">
        <v>92.96</v>
      </c>
      <c r="G354" s="831">
        <f t="shared" si="25"/>
        <v>92.96</v>
      </c>
      <c r="H354" s="585">
        <f t="shared" si="26"/>
        <v>115.55</v>
      </c>
    </row>
    <row r="355" spans="1:8" ht="40.5" customHeight="1" x14ac:dyDescent="0.2">
      <c r="A355" s="582" t="s">
        <v>3680</v>
      </c>
      <c r="B355" s="583" t="s">
        <v>3681</v>
      </c>
      <c r="C355" s="583"/>
      <c r="D355" s="582" t="s">
        <v>3682</v>
      </c>
      <c r="E355" s="584" t="s">
        <v>646</v>
      </c>
      <c r="F355" s="585">
        <v>128.25</v>
      </c>
      <c r="G355" s="831">
        <f t="shared" si="25"/>
        <v>128.25</v>
      </c>
      <c r="H355" s="585">
        <f t="shared" si="26"/>
        <v>159.41999999999999</v>
      </c>
    </row>
    <row r="356" spans="1:8" ht="40.5" customHeight="1" x14ac:dyDescent="0.2">
      <c r="A356" s="582" t="s">
        <v>3683</v>
      </c>
      <c r="B356" s="583" t="s">
        <v>3684</v>
      </c>
      <c r="C356" s="583"/>
      <c r="D356" s="582" t="s">
        <v>3685</v>
      </c>
      <c r="E356" s="584" t="s">
        <v>646</v>
      </c>
      <c r="F356" s="585">
        <v>201.36</v>
      </c>
      <c r="G356" s="831">
        <f t="shared" si="25"/>
        <v>201.36</v>
      </c>
      <c r="H356" s="585">
        <f t="shared" si="26"/>
        <v>250.31</v>
      </c>
    </row>
    <row r="357" spans="1:8" ht="40.5" customHeight="1" x14ac:dyDescent="0.2">
      <c r="A357" s="582" t="s">
        <v>3686</v>
      </c>
      <c r="B357" s="583" t="s">
        <v>3687</v>
      </c>
      <c r="C357" s="583"/>
      <c r="D357" s="582" t="s">
        <v>3688</v>
      </c>
      <c r="E357" s="584" t="s">
        <v>646</v>
      </c>
      <c r="F357" s="585">
        <v>207.07</v>
      </c>
      <c r="G357" s="831">
        <f t="shared" si="25"/>
        <v>207.07</v>
      </c>
      <c r="H357" s="585">
        <f t="shared" si="26"/>
        <v>257.39999999999998</v>
      </c>
    </row>
    <row r="358" spans="1:8" ht="40.5" customHeight="1" x14ac:dyDescent="0.2">
      <c r="A358" s="582" t="s">
        <v>3689</v>
      </c>
      <c r="B358" s="583" t="s">
        <v>3690</v>
      </c>
      <c r="C358" s="583"/>
      <c r="D358" s="582" t="s">
        <v>3691</v>
      </c>
      <c r="E358" s="584" t="s">
        <v>646</v>
      </c>
      <c r="F358" s="585">
        <v>240.65</v>
      </c>
      <c r="G358" s="831">
        <f t="shared" si="25"/>
        <v>240.65</v>
      </c>
      <c r="H358" s="585">
        <f t="shared" si="26"/>
        <v>299.14999999999998</v>
      </c>
    </row>
    <row r="359" spans="1:8" ht="40.5" customHeight="1" x14ac:dyDescent="0.2">
      <c r="A359" s="582" t="s">
        <v>3692</v>
      </c>
      <c r="B359" s="583" t="s">
        <v>3693</v>
      </c>
      <c r="C359" s="583"/>
      <c r="D359" s="582" t="s">
        <v>3694</v>
      </c>
      <c r="E359" s="584" t="s">
        <v>646</v>
      </c>
      <c r="F359" s="585">
        <v>186.12</v>
      </c>
      <c r="G359" s="831">
        <f t="shared" si="25"/>
        <v>186.12</v>
      </c>
      <c r="H359" s="585">
        <f t="shared" si="26"/>
        <v>231.36</v>
      </c>
    </row>
    <row r="360" spans="1:8" ht="40.5" customHeight="1" x14ac:dyDescent="0.2">
      <c r="A360" s="582" t="s">
        <v>3695</v>
      </c>
      <c r="B360" s="583" t="s">
        <v>3696</v>
      </c>
      <c r="C360" s="583"/>
      <c r="D360" s="582" t="s">
        <v>3697</v>
      </c>
      <c r="E360" s="584" t="s">
        <v>646</v>
      </c>
      <c r="F360" s="585">
        <v>342.81</v>
      </c>
      <c r="G360" s="831">
        <f t="shared" si="25"/>
        <v>342.81</v>
      </c>
      <c r="H360" s="585">
        <f t="shared" si="26"/>
        <v>426.14</v>
      </c>
    </row>
    <row r="361" spans="1:8" ht="40.5" customHeight="1" x14ac:dyDescent="0.2">
      <c r="A361" s="582" t="s">
        <v>3698</v>
      </c>
      <c r="B361" s="583" t="s">
        <v>3699</v>
      </c>
      <c r="C361" s="583"/>
      <c r="D361" s="582" t="s">
        <v>3700</v>
      </c>
      <c r="E361" s="584" t="s">
        <v>646</v>
      </c>
      <c r="F361" s="585">
        <v>176.26</v>
      </c>
      <c r="G361" s="831">
        <f t="shared" si="25"/>
        <v>176.26</v>
      </c>
      <c r="H361" s="585">
        <f t="shared" si="26"/>
        <v>219.1</v>
      </c>
    </row>
    <row r="362" spans="1:8" ht="40.5" customHeight="1" x14ac:dyDescent="0.2">
      <c r="A362" s="582" t="s">
        <v>3701</v>
      </c>
      <c r="B362" s="583" t="s">
        <v>3702</v>
      </c>
      <c r="C362" s="583"/>
      <c r="D362" s="582" t="s">
        <v>3703</v>
      </c>
      <c r="E362" s="584" t="s">
        <v>646</v>
      </c>
      <c r="F362" s="585">
        <v>128.97</v>
      </c>
      <c r="G362" s="831">
        <f t="shared" si="25"/>
        <v>128.97</v>
      </c>
      <c r="H362" s="585">
        <f t="shared" si="26"/>
        <v>160.32</v>
      </c>
    </row>
    <row r="363" spans="1:8" ht="40.5" customHeight="1" x14ac:dyDescent="0.2">
      <c r="A363" s="582" t="s">
        <v>3704</v>
      </c>
      <c r="B363" s="583" t="s">
        <v>3705</v>
      </c>
      <c r="C363" s="583"/>
      <c r="D363" s="582" t="s">
        <v>3706</v>
      </c>
      <c r="E363" s="584" t="s">
        <v>646</v>
      </c>
      <c r="F363" s="585">
        <v>279.49</v>
      </c>
      <c r="G363" s="831">
        <f t="shared" si="25"/>
        <v>279.49</v>
      </c>
      <c r="H363" s="585">
        <f t="shared" si="26"/>
        <v>347.43</v>
      </c>
    </row>
    <row r="364" spans="1:8" ht="40.5" customHeight="1" x14ac:dyDescent="0.2">
      <c r="A364" s="582" t="s">
        <v>3707</v>
      </c>
      <c r="B364" s="583" t="s">
        <v>3708</v>
      </c>
      <c r="C364" s="583"/>
      <c r="D364" s="582" t="s">
        <v>3709</v>
      </c>
      <c r="E364" s="584" t="s">
        <v>646</v>
      </c>
      <c r="F364" s="585">
        <v>249.5</v>
      </c>
      <c r="G364" s="831">
        <f t="shared" si="25"/>
        <v>249.5</v>
      </c>
      <c r="H364" s="585">
        <f t="shared" si="26"/>
        <v>310.14999999999998</v>
      </c>
    </row>
    <row r="365" spans="1:8" ht="40.5" customHeight="1" x14ac:dyDescent="0.2">
      <c r="A365" s="840" t="s">
        <v>2761</v>
      </c>
      <c r="B365" s="841"/>
      <c r="C365" s="841"/>
      <c r="D365" s="842" t="s">
        <v>2762</v>
      </c>
      <c r="E365" s="843"/>
      <c r="F365" s="844"/>
      <c r="G365" s="844"/>
      <c r="H365" s="845"/>
    </row>
    <row r="366" spans="1:8" ht="40.5" customHeight="1" x14ac:dyDescent="0.2">
      <c r="A366" s="827" t="s">
        <v>3710</v>
      </c>
      <c r="B366" s="828" t="s">
        <v>3711</v>
      </c>
      <c r="C366" s="828"/>
      <c r="D366" s="827" t="s">
        <v>3712</v>
      </c>
      <c r="E366" s="829" t="s">
        <v>646</v>
      </c>
      <c r="F366" s="830">
        <v>36.520000000000003</v>
      </c>
      <c r="G366" s="831">
        <f t="shared" ref="G366:G379" si="27">(F366*($H$11))</f>
        <v>36.520000000000003</v>
      </c>
      <c r="H366" s="830">
        <f t="shared" ref="H366:H379" si="28">TRUNC((F366*($H$11))*(1+$H$8),2)</f>
        <v>45.39</v>
      </c>
    </row>
    <row r="367" spans="1:8" ht="40.5" customHeight="1" x14ac:dyDescent="0.2">
      <c r="A367" s="582" t="s">
        <v>3713</v>
      </c>
      <c r="B367" s="583" t="s">
        <v>3714</v>
      </c>
      <c r="C367" s="583"/>
      <c r="D367" s="582" t="s">
        <v>3715</v>
      </c>
      <c r="E367" s="584" t="s">
        <v>646</v>
      </c>
      <c r="F367" s="585">
        <v>8.99</v>
      </c>
      <c r="G367" s="831">
        <f t="shared" si="27"/>
        <v>8.99</v>
      </c>
      <c r="H367" s="585">
        <f t="shared" si="28"/>
        <v>11.17</v>
      </c>
    </row>
    <row r="368" spans="1:8" ht="40.5" customHeight="1" x14ac:dyDescent="0.2">
      <c r="A368" s="582" t="s">
        <v>3716</v>
      </c>
      <c r="B368" s="583" t="s">
        <v>3717</v>
      </c>
      <c r="C368" s="583"/>
      <c r="D368" s="582" t="s">
        <v>3718</v>
      </c>
      <c r="E368" s="584" t="s">
        <v>646</v>
      </c>
      <c r="F368" s="585">
        <v>970.35</v>
      </c>
      <c r="G368" s="831">
        <f t="shared" si="27"/>
        <v>970.35</v>
      </c>
      <c r="H368" s="585">
        <f t="shared" si="28"/>
        <v>1206.24</v>
      </c>
    </row>
    <row r="369" spans="1:8" ht="40.5" customHeight="1" x14ac:dyDescent="0.2">
      <c r="A369" s="582" t="s">
        <v>3719</v>
      </c>
      <c r="B369" s="583" t="s">
        <v>3720</v>
      </c>
      <c r="C369" s="583"/>
      <c r="D369" s="582" t="s">
        <v>3721</v>
      </c>
      <c r="E369" s="584" t="s">
        <v>1191</v>
      </c>
      <c r="F369" s="585">
        <v>11.42</v>
      </c>
      <c r="G369" s="831">
        <f t="shared" si="27"/>
        <v>11.42</v>
      </c>
      <c r="H369" s="585">
        <f t="shared" si="28"/>
        <v>14.19</v>
      </c>
    </row>
    <row r="370" spans="1:8" ht="40.5" customHeight="1" x14ac:dyDescent="0.2">
      <c r="A370" s="582" t="s">
        <v>3722</v>
      </c>
      <c r="B370" s="583" t="s">
        <v>3723</v>
      </c>
      <c r="C370" s="583"/>
      <c r="D370" s="582" t="s">
        <v>3724</v>
      </c>
      <c r="E370" s="584" t="s">
        <v>646</v>
      </c>
      <c r="F370" s="585">
        <v>35.01</v>
      </c>
      <c r="G370" s="831">
        <f t="shared" si="27"/>
        <v>35.01</v>
      </c>
      <c r="H370" s="585">
        <f t="shared" si="28"/>
        <v>43.52</v>
      </c>
    </row>
    <row r="371" spans="1:8" ht="40.5" customHeight="1" x14ac:dyDescent="0.2">
      <c r="A371" s="582" t="s">
        <v>3725</v>
      </c>
      <c r="B371" s="583" t="s">
        <v>3726</v>
      </c>
      <c r="C371" s="583"/>
      <c r="D371" s="582" t="s">
        <v>3727</v>
      </c>
      <c r="E371" s="584" t="s">
        <v>646</v>
      </c>
      <c r="F371" s="585">
        <v>927.48</v>
      </c>
      <c r="G371" s="831">
        <f t="shared" si="27"/>
        <v>927.48</v>
      </c>
      <c r="H371" s="585">
        <f t="shared" si="28"/>
        <v>1152.95</v>
      </c>
    </row>
    <row r="372" spans="1:8" ht="40.5" customHeight="1" x14ac:dyDescent="0.2">
      <c r="A372" s="582" t="s">
        <v>3728</v>
      </c>
      <c r="B372" s="583" t="s">
        <v>3729</v>
      </c>
      <c r="C372" s="583"/>
      <c r="D372" s="582" t="s">
        <v>3730</v>
      </c>
      <c r="E372" s="584" t="s">
        <v>646</v>
      </c>
      <c r="F372" s="585">
        <v>927.48</v>
      </c>
      <c r="G372" s="831">
        <f t="shared" si="27"/>
        <v>927.48</v>
      </c>
      <c r="H372" s="585">
        <f t="shared" si="28"/>
        <v>1152.95</v>
      </c>
    </row>
    <row r="373" spans="1:8" ht="40.5" customHeight="1" x14ac:dyDescent="0.2">
      <c r="A373" s="582" t="s">
        <v>3731</v>
      </c>
      <c r="B373" s="583" t="s">
        <v>3732</v>
      </c>
      <c r="C373" s="583"/>
      <c r="D373" s="582" t="s">
        <v>3733</v>
      </c>
      <c r="E373" s="584" t="s">
        <v>646</v>
      </c>
      <c r="F373" s="585">
        <v>80.150000000000006</v>
      </c>
      <c r="G373" s="831">
        <f t="shared" si="27"/>
        <v>80.150000000000006</v>
      </c>
      <c r="H373" s="585">
        <f t="shared" si="28"/>
        <v>99.63</v>
      </c>
    </row>
    <row r="374" spans="1:8" ht="40.5" customHeight="1" x14ac:dyDescent="0.2">
      <c r="A374" s="582" t="s">
        <v>3734</v>
      </c>
      <c r="B374" s="583" t="s">
        <v>3735</v>
      </c>
      <c r="C374" s="583"/>
      <c r="D374" s="582" t="s">
        <v>3736</v>
      </c>
      <c r="E374" s="584" t="s">
        <v>646</v>
      </c>
      <c r="F374" s="585">
        <v>244.44</v>
      </c>
      <c r="G374" s="831">
        <f t="shared" si="27"/>
        <v>244.44</v>
      </c>
      <c r="H374" s="585">
        <f t="shared" si="28"/>
        <v>303.86</v>
      </c>
    </row>
    <row r="375" spans="1:8" ht="40.5" customHeight="1" x14ac:dyDescent="0.2">
      <c r="A375" s="582" t="s">
        <v>3737</v>
      </c>
      <c r="B375" s="583" t="s">
        <v>3738</v>
      </c>
      <c r="C375" s="583"/>
      <c r="D375" s="582" t="s">
        <v>3739</v>
      </c>
      <c r="E375" s="584" t="s">
        <v>646</v>
      </c>
      <c r="F375" s="585">
        <v>1422.34</v>
      </c>
      <c r="G375" s="831">
        <f t="shared" si="27"/>
        <v>1422.34</v>
      </c>
      <c r="H375" s="585">
        <f t="shared" si="28"/>
        <v>1768.11</v>
      </c>
    </row>
    <row r="376" spans="1:8" ht="40.5" customHeight="1" x14ac:dyDescent="0.2">
      <c r="A376" s="582" t="s">
        <v>3740</v>
      </c>
      <c r="B376" s="583" t="s">
        <v>3741</v>
      </c>
      <c r="C376" s="583"/>
      <c r="D376" s="582" t="s">
        <v>2548</v>
      </c>
      <c r="E376" s="584" t="s">
        <v>646</v>
      </c>
      <c r="F376" s="585">
        <v>84.83</v>
      </c>
      <c r="G376" s="831">
        <f t="shared" si="27"/>
        <v>84.83</v>
      </c>
      <c r="H376" s="585">
        <f t="shared" si="28"/>
        <v>105.45</v>
      </c>
    </row>
    <row r="377" spans="1:8" ht="40.5" customHeight="1" x14ac:dyDescent="0.2">
      <c r="A377" s="582" t="s">
        <v>3742</v>
      </c>
      <c r="B377" s="583" t="s">
        <v>3743</v>
      </c>
      <c r="C377" s="583"/>
      <c r="D377" s="582" t="s">
        <v>2550</v>
      </c>
      <c r="E377" s="584" t="s">
        <v>646</v>
      </c>
      <c r="F377" s="585">
        <v>38.74</v>
      </c>
      <c r="G377" s="831">
        <f t="shared" si="27"/>
        <v>38.74</v>
      </c>
      <c r="H377" s="585">
        <f t="shared" si="28"/>
        <v>48.15</v>
      </c>
    </row>
    <row r="378" spans="1:8" ht="40.5" customHeight="1" x14ac:dyDescent="0.2">
      <c r="A378" s="582" t="s">
        <v>3744</v>
      </c>
      <c r="B378" s="583" t="s">
        <v>3745</v>
      </c>
      <c r="C378" s="583"/>
      <c r="D378" s="582" t="s">
        <v>3746</v>
      </c>
      <c r="E378" s="584" t="s">
        <v>646</v>
      </c>
      <c r="F378" s="585">
        <v>491.5</v>
      </c>
      <c r="G378" s="831">
        <f t="shared" si="27"/>
        <v>491.5</v>
      </c>
      <c r="H378" s="585">
        <f t="shared" si="28"/>
        <v>610.98</v>
      </c>
    </row>
    <row r="379" spans="1:8" ht="40.5" customHeight="1" x14ac:dyDescent="0.2">
      <c r="A379" s="582" t="s">
        <v>3747</v>
      </c>
      <c r="B379" s="583" t="s">
        <v>3748</v>
      </c>
      <c r="C379" s="583"/>
      <c r="D379" s="582" t="s">
        <v>3749</v>
      </c>
      <c r="E379" s="584" t="s">
        <v>3750</v>
      </c>
      <c r="F379" s="585">
        <v>15.72</v>
      </c>
      <c r="G379" s="831">
        <f t="shared" si="27"/>
        <v>15.72</v>
      </c>
      <c r="H379" s="585">
        <f t="shared" si="28"/>
        <v>19.54</v>
      </c>
    </row>
    <row r="380" spans="1:8" ht="40.5" customHeight="1" x14ac:dyDescent="0.2">
      <c r="A380" s="840" t="s">
        <v>2763</v>
      </c>
      <c r="B380" s="841"/>
      <c r="C380" s="841"/>
      <c r="D380" s="842" t="s">
        <v>2764</v>
      </c>
      <c r="E380" s="843"/>
      <c r="F380" s="844"/>
      <c r="G380" s="844"/>
      <c r="H380" s="845"/>
    </row>
    <row r="381" spans="1:8" ht="40.5" customHeight="1" x14ac:dyDescent="0.2">
      <c r="A381" s="827" t="s">
        <v>3751</v>
      </c>
      <c r="B381" s="828" t="s">
        <v>3752</v>
      </c>
      <c r="C381" s="828"/>
      <c r="D381" s="827" t="s">
        <v>3753</v>
      </c>
      <c r="E381" s="829" t="s">
        <v>1191</v>
      </c>
      <c r="F381" s="830">
        <v>19.920000000000002</v>
      </c>
      <c r="G381" s="831">
        <f t="shared" ref="G381:G389" si="29">(F381*($H$11))</f>
        <v>19.920000000000002</v>
      </c>
      <c r="H381" s="830">
        <f t="shared" ref="H381:H389" si="30">TRUNC((F381*($H$11))*(1+$H$8),2)</f>
        <v>24.76</v>
      </c>
    </row>
    <row r="382" spans="1:8" ht="40.5" customHeight="1" x14ac:dyDescent="0.2">
      <c r="A382" s="582" t="s">
        <v>3754</v>
      </c>
      <c r="B382" s="583" t="s">
        <v>3755</v>
      </c>
      <c r="C382" s="583"/>
      <c r="D382" s="582" t="s">
        <v>3756</v>
      </c>
      <c r="E382" s="584" t="s">
        <v>1191</v>
      </c>
      <c r="F382" s="585">
        <v>16.93</v>
      </c>
      <c r="G382" s="831">
        <f t="shared" si="29"/>
        <v>16.93</v>
      </c>
      <c r="H382" s="585">
        <f t="shared" si="30"/>
        <v>21.04</v>
      </c>
    </row>
    <row r="383" spans="1:8" ht="40.5" customHeight="1" x14ac:dyDescent="0.2">
      <c r="A383" s="582" t="s">
        <v>3757</v>
      </c>
      <c r="B383" s="583" t="s">
        <v>3758</v>
      </c>
      <c r="C383" s="583"/>
      <c r="D383" s="582" t="s">
        <v>3759</v>
      </c>
      <c r="E383" s="584" t="s">
        <v>1191</v>
      </c>
      <c r="F383" s="585">
        <v>59.4</v>
      </c>
      <c r="G383" s="831">
        <f t="shared" si="29"/>
        <v>59.4</v>
      </c>
      <c r="H383" s="585">
        <f t="shared" si="30"/>
        <v>73.84</v>
      </c>
    </row>
    <row r="384" spans="1:8" ht="40.5" customHeight="1" x14ac:dyDescent="0.2">
      <c r="A384" s="582" t="s">
        <v>3760</v>
      </c>
      <c r="B384" s="583" t="s">
        <v>3761</v>
      </c>
      <c r="C384" s="583"/>
      <c r="D384" s="582" t="s">
        <v>3762</v>
      </c>
      <c r="E384" s="584" t="s">
        <v>1191</v>
      </c>
      <c r="F384" s="585">
        <v>84.7</v>
      </c>
      <c r="G384" s="831">
        <f t="shared" si="29"/>
        <v>84.7</v>
      </c>
      <c r="H384" s="585">
        <f t="shared" si="30"/>
        <v>105.29</v>
      </c>
    </row>
    <row r="385" spans="1:9" ht="40.5" customHeight="1" x14ac:dyDescent="0.2">
      <c r="A385" s="582" t="s">
        <v>3763</v>
      </c>
      <c r="B385" s="583" t="s">
        <v>3764</v>
      </c>
      <c r="C385" s="583"/>
      <c r="D385" s="582" t="s">
        <v>3765</v>
      </c>
      <c r="E385" s="584" t="s">
        <v>646</v>
      </c>
      <c r="F385" s="585">
        <v>31.41</v>
      </c>
      <c r="G385" s="831">
        <f t="shared" si="29"/>
        <v>31.41</v>
      </c>
      <c r="H385" s="585">
        <f t="shared" si="30"/>
        <v>39.04</v>
      </c>
    </row>
    <row r="386" spans="1:9" ht="40.5" customHeight="1" x14ac:dyDescent="0.2">
      <c r="A386" s="582" t="s">
        <v>3766</v>
      </c>
      <c r="B386" s="583" t="s">
        <v>3767</v>
      </c>
      <c r="C386" s="583"/>
      <c r="D386" s="582" t="s">
        <v>3768</v>
      </c>
      <c r="E386" s="584" t="s">
        <v>646</v>
      </c>
      <c r="F386" s="585">
        <v>153.22</v>
      </c>
      <c r="G386" s="831">
        <f t="shared" si="29"/>
        <v>153.22</v>
      </c>
      <c r="H386" s="585">
        <f t="shared" si="30"/>
        <v>190.46</v>
      </c>
    </row>
    <row r="387" spans="1:9" s="568" customFormat="1" ht="40.5" customHeight="1" x14ac:dyDescent="0.2">
      <c r="A387" s="582" t="s">
        <v>3769</v>
      </c>
      <c r="B387" s="583" t="s">
        <v>3770</v>
      </c>
      <c r="C387" s="583"/>
      <c r="D387" s="582" t="s">
        <v>3771</v>
      </c>
      <c r="E387" s="584" t="s">
        <v>646</v>
      </c>
      <c r="F387" s="585">
        <v>23.39</v>
      </c>
      <c r="G387" s="831">
        <f t="shared" si="29"/>
        <v>23.39</v>
      </c>
      <c r="H387" s="585">
        <f t="shared" si="30"/>
        <v>29.07</v>
      </c>
      <c r="I387" s="512"/>
    </row>
    <row r="388" spans="1:9" ht="40.5" customHeight="1" x14ac:dyDescent="0.2">
      <c r="A388" s="582" t="s">
        <v>3772</v>
      </c>
      <c r="B388" s="583">
        <v>96989</v>
      </c>
      <c r="C388" s="583"/>
      <c r="D388" s="582" t="s">
        <v>3773</v>
      </c>
      <c r="E388" s="584" t="s">
        <v>646</v>
      </c>
      <c r="F388" s="585">
        <v>128.61000000000001</v>
      </c>
      <c r="G388" s="831">
        <f t="shared" si="29"/>
        <v>128.61000000000001</v>
      </c>
      <c r="H388" s="585">
        <f t="shared" si="30"/>
        <v>159.87</v>
      </c>
    </row>
    <row r="389" spans="1:9" ht="40.5" customHeight="1" x14ac:dyDescent="0.2">
      <c r="A389" s="582" t="s">
        <v>3774</v>
      </c>
      <c r="B389" s="583">
        <v>104746</v>
      </c>
      <c r="C389" s="583"/>
      <c r="D389" s="582" t="s">
        <v>3775</v>
      </c>
      <c r="E389" s="584" t="s">
        <v>646</v>
      </c>
      <c r="F389" s="585">
        <v>27.2</v>
      </c>
      <c r="G389" s="831">
        <f t="shared" si="29"/>
        <v>27.2</v>
      </c>
      <c r="H389" s="585">
        <f t="shared" si="30"/>
        <v>33.81</v>
      </c>
    </row>
    <row r="390" spans="1:9" ht="40.5" customHeight="1" x14ac:dyDescent="0.2">
      <c r="A390" s="840" t="s">
        <v>2765</v>
      </c>
      <c r="B390" s="841"/>
      <c r="C390" s="841"/>
      <c r="D390" s="842" t="s">
        <v>2766</v>
      </c>
      <c r="E390" s="843"/>
      <c r="F390" s="844"/>
      <c r="G390" s="844"/>
      <c r="H390" s="845"/>
    </row>
    <row r="391" spans="1:9" ht="40.5" customHeight="1" x14ac:dyDescent="0.2">
      <c r="A391" s="827" t="s">
        <v>3776</v>
      </c>
      <c r="B391" s="828" t="s">
        <v>2601</v>
      </c>
      <c r="C391" s="828"/>
      <c r="D391" s="827" t="s">
        <v>2602</v>
      </c>
      <c r="E391" s="829" t="s">
        <v>2603</v>
      </c>
      <c r="F391" s="830">
        <v>118.08</v>
      </c>
      <c r="G391" s="831">
        <f t="shared" ref="G391:G404" si="31">(F391*($H$11))</f>
        <v>118.08</v>
      </c>
      <c r="H391" s="830">
        <f t="shared" ref="H391:H404" si="32">TRUNC((F391*($H$11))*(1+$H$8),2)</f>
        <v>146.78</v>
      </c>
    </row>
    <row r="392" spans="1:9" ht="40.5" customHeight="1" x14ac:dyDescent="0.2">
      <c r="A392" s="582" t="s">
        <v>3777</v>
      </c>
      <c r="B392" s="583" t="s">
        <v>2604</v>
      </c>
      <c r="C392" s="583"/>
      <c r="D392" s="582" t="s">
        <v>2605</v>
      </c>
      <c r="E392" s="584" t="s">
        <v>2603</v>
      </c>
      <c r="F392" s="585">
        <v>249.5</v>
      </c>
      <c r="G392" s="831">
        <f t="shared" si="31"/>
        <v>249.5</v>
      </c>
      <c r="H392" s="585">
        <f t="shared" si="32"/>
        <v>310.14999999999998</v>
      </c>
    </row>
    <row r="393" spans="1:9" ht="40.5" customHeight="1" x14ac:dyDescent="0.2">
      <c r="A393" s="582" t="s">
        <v>3778</v>
      </c>
      <c r="B393" s="586" t="s">
        <v>2606</v>
      </c>
      <c r="C393" s="586"/>
      <c r="D393" s="582" t="s">
        <v>2607</v>
      </c>
      <c r="E393" s="587" t="s">
        <v>2603</v>
      </c>
      <c r="F393" s="585">
        <v>7.8</v>
      </c>
      <c r="G393" s="831">
        <f t="shared" si="31"/>
        <v>7.8</v>
      </c>
      <c r="H393" s="585">
        <f t="shared" si="32"/>
        <v>9.69</v>
      </c>
      <c r="I393" s="568"/>
    </row>
    <row r="394" spans="1:9" ht="40.5" customHeight="1" x14ac:dyDescent="0.2">
      <c r="A394" s="582" t="s">
        <v>3779</v>
      </c>
      <c r="B394" s="586" t="s">
        <v>2608</v>
      </c>
      <c r="C394" s="586"/>
      <c r="D394" s="582" t="s">
        <v>2609</v>
      </c>
      <c r="E394" s="587" t="s">
        <v>1161</v>
      </c>
      <c r="F394" s="585">
        <v>5.99</v>
      </c>
      <c r="G394" s="831">
        <f t="shared" si="31"/>
        <v>5.99</v>
      </c>
      <c r="H394" s="585">
        <f t="shared" si="32"/>
        <v>7.44</v>
      </c>
    </row>
    <row r="395" spans="1:9" ht="40.5" customHeight="1" x14ac:dyDescent="0.2">
      <c r="A395" s="582" t="s">
        <v>3780</v>
      </c>
      <c r="B395" s="586" t="s">
        <v>2610</v>
      </c>
      <c r="C395" s="586"/>
      <c r="D395" s="582" t="s">
        <v>2611</v>
      </c>
      <c r="E395" s="587" t="s">
        <v>646</v>
      </c>
      <c r="F395" s="585">
        <v>1073.56</v>
      </c>
      <c r="G395" s="831">
        <f t="shared" si="31"/>
        <v>1073.56</v>
      </c>
      <c r="H395" s="585">
        <f t="shared" si="32"/>
        <v>1334.54</v>
      </c>
    </row>
    <row r="396" spans="1:9" ht="40.5" customHeight="1" x14ac:dyDescent="0.2">
      <c r="A396" s="582" t="s">
        <v>3781</v>
      </c>
      <c r="B396" s="586" t="s">
        <v>2612</v>
      </c>
      <c r="C396" s="586"/>
      <c r="D396" s="582" t="s">
        <v>2613</v>
      </c>
      <c r="E396" s="587" t="s">
        <v>646</v>
      </c>
      <c r="F396" s="585">
        <v>1486.07</v>
      </c>
      <c r="G396" s="831">
        <f t="shared" si="31"/>
        <v>1486.07</v>
      </c>
      <c r="H396" s="585">
        <f t="shared" si="32"/>
        <v>1847.33</v>
      </c>
    </row>
    <row r="397" spans="1:9" ht="40.5" customHeight="1" x14ac:dyDescent="0.2">
      <c r="A397" s="582" t="s">
        <v>3782</v>
      </c>
      <c r="B397" s="583" t="s">
        <v>2614</v>
      </c>
      <c r="C397" s="583"/>
      <c r="D397" s="582" t="s">
        <v>2615</v>
      </c>
      <c r="E397" s="584" t="s">
        <v>646</v>
      </c>
      <c r="F397" s="585">
        <v>2111.02</v>
      </c>
      <c r="G397" s="831">
        <f t="shared" si="31"/>
        <v>2111.02</v>
      </c>
      <c r="H397" s="585">
        <f t="shared" si="32"/>
        <v>2624.2</v>
      </c>
    </row>
    <row r="398" spans="1:9" ht="40.5" customHeight="1" x14ac:dyDescent="0.2">
      <c r="A398" s="582" t="s">
        <v>3783</v>
      </c>
      <c r="B398" s="583" t="s">
        <v>2616</v>
      </c>
      <c r="C398" s="583"/>
      <c r="D398" s="582" t="s">
        <v>2617</v>
      </c>
      <c r="E398" s="584" t="s">
        <v>646</v>
      </c>
      <c r="F398" s="585">
        <v>637.33000000000004</v>
      </c>
      <c r="G398" s="831">
        <f t="shared" si="31"/>
        <v>637.33000000000004</v>
      </c>
      <c r="H398" s="585">
        <f t="shared" si="32"/>
        <v>792.26</v>
      </c>
    </row>
    <row r="399" spans="1:9" ht="40.5" customHeight="1" x14ac:dyDescent="0.2">
      <c r="A399" s="582" t="s">
        <v>3784</v>
      </c>
      <c r="B399" s="583" t="s">
        <v>2618</v>
      </c>
      <c r="C399" s="583"/>
      <c r="D399" s="582" t="s">
        <v>2619</v>
      </c>
      <c r="E399" s="584" t="s">
        <v>646</v>
      </c>
      <c r="F399" s="585">
        <v>728.08</v>
      </c>
      <c r="G399" s="831">
        <f t="shared" si="31"/>
        <v>728.08</v>
      </c>
      <c r="H399" s="585">
        <f t="shared" si="32"/>
        <v>905.07</v>
      </c>
    </row>
    <row r="400" spans="1:9" ht="40.5" customHeight="1" x14ac:dyDescent="0.2">
      <c r="A400" s="582" t="s">
        <v>3785</v>
      </c>
      <c r="B400" s="586" t="s">
        <v>2620</v>
      </c>
      <c r="C400" s="586"/>
      <c r="D400" s="582" t="s">
        <v>2621</v>
      </c>
      <c r="E400" s="587" t="s">
        <v>646</v>
      </c>
      <c r="F400" s="585">
        <v>898.24</v>
      </c>
      <c r="G400" s="831">
        <f t="shared" si="31"/>
        <v>898.24</v>
      </c>
      <c r="H400" s="585">
        <f t="shared" si="32"/>
        <v>1116.5999999999999</v>
      </c>
    </row>
    <row r="401" spans="1:8" ht="40.5" customHeight="1" x14ac:dyDescent="0.2">
      <c r="A401" s="582" t="s">
        <v>3786</v>
      </c>
      <c r="B401" s="583" t="s">
        <v>2622</v>
      </c>
      <c r="C401" s="583"/>
      <c r="D401" s="582" t="s">
        <v>2623</v>
      </c>
      <c r="E401" s="584" t="s">
        <v>646</v>
      </c>
      <c r="F401" s="585">
        <v>1085.93</v>
      </c>
      <c r="G401" s="831">
        <f t="shared" si="31"/>
        <v>1085.93</v>
      </c>
      <c r="H401" s="585">
        <f t="shared" si="32"/>
        <v>1349.91</v>
      </c>
    </row>
    <row r="402" spans="1:8" ht="40.5" customHeight="1" x14ac:dyDescent="0.2">
      <c r="A402" s="582" t="s">
        <v>3787</v>
      </c>
      <c r="B402" s="583" t="s">
        <v>2624</v>
      </c>
      <c r="C402" s="583"/>
      <c r="D402" s="582" t="s">
        <v>2625</v>
      </c>
      <c r="E402" s="584" t="s">
        <v>646</v>
      </c>
      <c r="F402" s="585">
        <v>1340.66</v>
      </c>
      <c r="G402" s="831">
        <f t="shared" si="31"/>
        <v>1340.66</v>
      </c>
      <c r="H402" s="585">
        <f t="shared" si="32"/>
        <v>1666.57</v>
      </c>
    </row>
    <row r="403" spans="1:8" ht="40.5" customHeight="1" x14ac:dyDescent="0.2">
      <c r="A403" s="582" t="s">
        <v>3788</v>
      </c>
      <c r="B403" s="583" t="s">
        <v>2626</v>
      </c>
      <c r="C403" s="583"/>
      <c r="D403" s="582" t="s">
        <v>2627</v>
      </c>
      <c r="E403" s="584" t="s">
        <v>646</v>
      </c>
      <c r="F403" s="585">
        <v>302.16000000000003</v>
      </c>
      <c r="G403" s="831">
        <f t="shared" si="31"/>
        <v>302.16000000000003</v>
      </c>
      <c r="H403" s="585">
        <f t="shared" si="32"/>
        <v>375.61</v>
      </c>
    </row>
    <row r="404" spans="1:8" ht="40.5" customHeight="1" x14ac:dyDescent="0.2">
      <c r="A404" s="582" t="s">
        <v>3789</v>
      </c>
      <c r="B404" s="586" t="s">
        <v>2628</v>
      </c>
      <c r="C404" s="586"/>
      <c r="D404" s="582" t="s">
        <v>2629</v>
      </c>
      <c r="E404" s="587" t="s">
        <v>646</v>
      </c>
      <c r="F404" s="585">
        <v>443.45</v>
      </c>
      <c r="G404" s="831">
        <f t="shared" si="31"/>
        <v>443.45</v>
      </c>
      <c r="H404" s="585">
        <f t="shared" si="32"/>
        <v>551.25</v>
      </c>
    </row>
    <row r="405" spans="1:8" ht="40.5" customHeight="1" x14ac:dyDescent="0.2">
      <c r="A405" s="840" t="s">
        <v>2767</v>
      </c>
      <c r="B405" s="846"/>
      <c r="C405" s="846"/>
      <c r="D405" s="842" t="s">
        <v>2768</v>
      </c>
      <c r="E405" s="847"/>
      <c r="F405" s="844"/>
      <c r="G405" s="844"/>
      <c r="H405" s="845"/>
    </row>
    <row r="406" spans="1:8" ht="40.5" customHeight="1" x14ac:dyDescent="0.2">
      <c r="A406" s="827" t="s">
        <v>3790</v>
      </c>
      <c r="B406" s="828" t="s">
        <v>3791</v>
      </c>
      <c r="C406" s="828"/>
      <c r="D406" s="827" t="s">
        <v>2506</v>
      </c>
      <c r="E406" s="829" t="s">
        <v>646</v>
      </c>
      <c r="F406" s="830">
        <v>5000</v>
      </c>
      <c r="G406" s="831">
        <f>(F406*($H$11))</f>
        <v>5000</v>
      </c>
      <c r="H406" s="830">
        <f>TRUNC((F406*($H$11))*(1+$H$8),2)</f>
        <v>6215.5</v>
      </c>
    </row>
    <row r="407" spans="1:8" ht="40.5" customHeight="1" x14ac:dyDescent="0.2">
      <c r="A407" s="582" t="s">
        <v>3792</v>
      </c>
      <c r="B407" s="583" t="s">
        <v>3793</v>
      </c>
      <c r="C407" s="583"/>
      <c r="D407" s="582" t="s">
        <v>3794</v>
      </c>
      <c r="E407" s="584" t="s">
        <v>1126</v>
      </c>
      <c r="F407" s="585">
        <v>64.06</v>
      </c>
      <c r="G407" s="831">
        <f>(F407*($H$11))</f>
        <v>64.06</v>
      </c>
      <c r="H407" s="585">
        <f>TRUNC((F407*($H$11))*(1+$H$8),2)</f>
        <v>79.63</v>
      </c>
    </row>
    <row r="408" spans="1:8" ht="40.5" customHeight="1" x14ac:dyDescent="0.2">
      <c r="A408" s="834" t="s">
        <v>2769</v>
      </c>
      <c r="B408" s="835"/>
      <c r="C408" s="835"/>
      <c r="D408" s="836" t="s">
        <v>2770</v>
      </c>
      <c r="E408" s="837"/>
      <c r="F408" s="838"/>
      <c r="G408" s="838"/>
      <c r="H408" s="839"/>
    </row>
    <row r="409" spans="1:8" ht="40.5" customHeight="1" x14ac:dyDescent="0.2">
      <c r="A409" s="840" t="s">
        <v>2771</v>
      </c>
      <c r="B409" s="841"/>
      <c r="C409" s="841"/>
      <c r="D409" s="842" t="s">
        <v>2729</v>
      </c>
      <c r="E409" s="843"/>
      <c r="F409" s="844"/>
      <c r="G409" s="844"/>
      <c r="H409" s="845"/>
    </row>
    <row r="410" spans="1:8" ht="40.5" customHeight="1" x14ac:dyDescent="0.2">
      <c r="A410" s="840" t="s">
        <v>2772</v>
      </c>
      <c r="B410" s="846"/>
      <c r="C410" s="846"/>
      <c r="D410" s="842" t="s">
        <v>2731</v>
      </c>
      <c r="E410" s="847"/>
      <c r="F410" s="844"/>
      <c r="G410" s="844"/>
      <c r="H410" s="845"/>
    </row>
    <row r="411" spans="1:8" ht="40.5" customHeight="1" x14ac:dyDescent="0.2">
      <c r="A411" s="840" t="s">
        <v>2773</v>
      </c>
      <c r="B411" s="846"/>
      <c r="C411" s="846"/>
      <c r="D411" s="842" t="s">
        <v>2774</v>
      </c>
      <c r="E411" s="847"/>
      <c r="F411" s="844"/>
      <c r="G411" s="844"/>
      <c r="H411" s="845"/>
    </row>
    <row r="412" spans="1:8" ht="40.5" customHeight="1" x14ac:dyDescent="0.2">
      <c r="A412" s="827" t="s">
        <v>3795</v>
      </c>
      <c r="B412" s="828" t="s">
        <v>3796</v>
      </c>
      <c r="C412" s="828"/>
      <c r="D412" s="827" t="s">
        <v>3797</v>
      </c>
      <c r="E412" s="829" t="s">
        <v>646</v>
      </c>
      <c r="F412" s="830">
        <v>43.22</v>
      </c>
      <c r="G412" s="831">
        <f>(F412*($H$11))</f>
        <v>43.22</v>
      </c>
      <c r="H412" s="830">
        <f>TRUNC((F412*($H$11))*(1+$H$8),2)</f>
        <v>53.72</v>
      </c>
    </row>
    <row r="413" spans="1:8" ht="40.5" customHeight="1" x14ac:dyDescent="0.2">
      <c r="A413" s="582" t="s">
        <v>3798</v>
      </c>
      <c r="B413" s="583" t="s">
        <v>3799</v>
      </c>
      <c r="C413" s="583"/>
      <c r="D413" s="582" t="s">
        <v>3800</v>
      </c>
      <c r="E413" s="584" t="s">
        <v>646</v>
      </c>
      <c r="F413" s="585">
        <v>44.45</v>
      </c>
      <c r="G413" s="831">
        <f>(F413*($H$11))</f>
        <v>44.45</v>
      </c>
      <c r="H413" s="585">
        <f>TRUNC((F413*($H$11))*(1+$H$8),2)</f>
        <v>55.25</v>
      </c>
    </row>
    <row r="414" spans="1:8" ht="40.5" customHeight="1" x14ac:dyDescent="0.2">
      <c r="A414" s="582" t="s">
        <v>3801</v>
      </c>
      <c r="B414" s="583" t="s">
        <v>3802</v>
      </c>
      <c r="C414" s="583"/>
      <c r="D414" s="582" t="s">
        <v>3803</v>
      </c>
      <c r="E414" s="584" t="s">
        <v>646</v>
      </c>
      <c r="F414" s="585">
        <v>42.83</v>
      </c>
      <c r="G414" s="831">
        <f>(F414*($H$11))</f>
        <v>42.83</v>
      </c>
      <c r="H414" s="585">
        <f>TRUNC((F414*($H$11))*(1+$H$8),2)</f>
        <v>53.24</v>
      </c>
    </row>
    <row r="415" spans="1:8" ht="40.5" customHeight="1" x14ac:dyDescent="0.2">
      <c r="A415" s="840" t="s">
        <v>2775</v>
      </c>
      <c r="B415" s="846"/>
      <c r="C415" s="846"/>
      <c r="D415" s="842" t="s">
        <v>2776</v>
      </c>
      <c r="E415" s="847"/>
      <c r="F415" s="844"/>
      <c r="G415" s="844"/>
      <c r="H415" s="845"/>
    </row>
    <row r="416" spans="1:8" ht="40.5" customHeight="1" x14ac:dyDescent="0.2">
      <c r="A416" s="827" t="s">
        <v>3804</v>
      </c>
      <c r="B416" s="832" t="s">
        <v>3805</v>
      </c>
      <c r="C416" s="832"/>
      <c r="D416" s="827" t="s">
        <v>3806</v>
      </c>
      <c r="E416" s="833" t="s">
        <v>1161</v>
      </c>
      <c r="F416" s="830">
        <v>74.44</v>
      </c>
      <c r="G416" s="831">
        <f>(F416*($H$11))</f>
        <v>74.44</v>
      </c>
      <c r="H416" s="830">
        <f>TRUNC((F416*($H$11))*(1+$H$8),2)</f>
        <v>92.53</v>
      </c>
    </row>
    <row r="417" spans="1:8" ht="40.5" customHeight="1" x14ac:dyDescent="0.2">
      <c r="A417" s="582" t="s">
        <v>3807</v>
      </c>
      <c r="B417" s="583" t="s">
        <v>3808</v>
      </c>
      <c r="C417" s="583"/>
      <c r="D417" s="582" t="s">
        <v>3809</v>
      </c>
      <c r="E417" s="584" t="s">
        <v>1191</v>
      </c>
      <c r="F417" s="585">
        <v>35.479999999999997</v>
      </c>
      <c r="G417" s="831">
        <f>(F417*($H$11))</f>
        <v>35.479999999999997</v>
      </c>
      <c r="H417" s="585">
        <f>TRUNC((F417*($H$11))*(1+$H$8),2)</f>
        <v>44.1</v>
      </c>
    </row>
    <row r="418" spans="1:8" ht="40.5" customHeight="1" x14ac:dyDescent="0.2">
      <c r="A418" s="582" t="s">
        <v>3810</v>
      </c>
      <c r="B418" s="583" t="s">
        <v>3811</v>
      </c>
      <c r="C418" s="583"/>
      <c r="D418" s="582" t="s">
        <v>3812</v>
      </c>
      <c r="E418" s="584" t="s">
        <v>1191</v>
      </c>
      <c r="F418" s="585">
        <v>29.77</v>
      </c>
      <c r="G418" s="831">
        <f>(F418*($H$11))</f>
        <v>29.77</v>
      </c>
      <c r="H418" s="585">
        <f>TRUNC((F418*($H$11))*(1+$H$8),2)</f>
        <v>37</v>
      </c>
    </row>
    <row r="419" spans="1:8" ht="40.5" customHeight="1" x14ac:dyDescent="0.2">
      <c r="A419" s="840" t="s">
        <v>2777</v>
      </c>
      <c r="B419" s="846"/>
      <c r="C419" s="846"/>
      <c r="D419" s="842" t="s">
        <v>2778</v>
      </c>
      <c r="E419" s="847"/>
      <c r="F419" s="844"/>
      <c r="G419" s="844"/>
      <c r="H419" s="845"/>
    </row>
    <row r="420" spans="1:8" ht="40.5" customHeight="1" x14ac:dyDescent="0.2">
      <c r="A420" s="827" t="s">
        <v>3813</v>
      </c>
      <c r="B420" s="828" t="s">
        <v>3814</v>
      </c>
      <c r="C420" s="828"/>
      <c r="D420" s="827" t="s">
        <v>3815</v>
      </c>
      <c r="E420" s="829" t="s">
        <v>1161</v>
      </c>
      <c r="F420" s="830">
        <v>26.54</v>
      </c>
      <c r="G420" s="831">
        <f>(F420*($H$11))</f>
        <v>26.54</v>
      </c>
      <c r="H420" s="830">
        <f>TRUNC((F420*($H$11))*(1+$H$8),2)</f>
        <v>32.99</v>
      </c>
    </row>
    <row r="421" spans="1:8" ht="40.5" customHeight="1" x14ac:dyDescent="0.2">
      <c r="A421" s="582" t="s">
        <v>3816</v>
      </c>
      <c r="B421" s="583" t="s">
        <v>3817</v>
      </c>
      <c r="C421" s="583"/>
      <c r="D421" s="582" t="s">
        <v>3818</v>
      </c>
      <c r="E421" s="584" t="s">
        <v>1161</v>
      </c>
      <c r="F421" s="585">
        <v>26.54</v>
      </c>
      <c r="G421" s="831">
        <f>(F421*($H$11))</f>
        <v>26.54</v>
      </c>
      <c r="H421" s="585">
        <f>TRUNC((F421*($H$11))*(1+$H$8),2)</f>
        <v>32.99</v>
      </c>
    </row>
    <row r="422" spans="1:8" ht="40.5" customHeight="1" x14ac:dyDescent="0.2">
      <c r="A422" s="582" t="s">
        <v>3819</v>
      </c>
      <c r="B422" s="583" t="s">
        <v>3820</v>
      </c>
      <c r="C422" s="583"/>
      <c r="D422" s="582" t="s">
        <v>3821</v>
      </c>
      <c r="E422" s="584" t="s">
        <v>1191</v>
      </c>
      <c r="F422" s="585">
        <v>26.54</v>
      </c>
      <c r="G422" s="831">
        <f>(F422*($H$11))</f>
        <v>26.54</v>
      </c>
      <c r="H422" s="585">
        <f>TRUNC((F422*($H$11))*(1+$H$8),2)</f>
        <v>32.99</v>
      </c>
    </row>
    <row r="423" spans="1:8" ht="40.5" customHeight="1" x14ac:dyDescent="0.2">
      <c r="A423" s="840" t="s">
        <v>2779</v>
      </c>
      <c r="B423" s="846"/>
      <c r="C423" s="846"/>
      <c r="D423" s="842" t="s">
        <v>2712</v>
      </c>
      <c r="E423" s="847"/>
      <c r="F423" s="844"/>
      <c r="G423" s="844"/>
      <c r="H423" s="845"/>
    </row>
    <row r="424" spans="1:8" ht="40.5" customHeight="1" x14ac:dyDescent="0.2">
      <c r="A424" s="840" t="s">
        <v>2780</v>
      </c>
      <c r="B424" s="846"/>
      <c r="C424" s="846"/>
      <c r="D424" s="842" t="s">
        <v>2781</v>
      </c>
      <c r="E424" s="847"/>
      <c r="F424" s="844"/>
      <c r="G424" s="844"/>
      <c r="H424" s="845"/>
    </row>
    <row r="425" spans="1:8" ht="40.5" customHeight="1" x14ac:dyDescent="0.2">
      <c r="A425" s="827" t="s">
        <v>3822</v>
      </c>
      <c r="B425" s="828" t="s">
        <v>3823</v>
      </c>
      <c r="C425" s="828"/>
      <c r="D425" s="827" t="s">
        <v>3824</v>
      </c>
      <c r="E425" s="829" t="s">
        <v>1161</v>
      </c>
      <c r="F425" s="830">
        <v>78.400000000000006</v>
      </c>
      <c r="G425" s="831">
        <f t="shared" ref="G425:G430" si="33">(F425*($H$11))</f>
        <v>78.400000000000006</v>
      </c>
      <c r="H425" s="830">
        <f t="shared" ref="H425:H430" si="34">TRUNC((F425*($H$11))*(1+$H$8),2)</f>
        <v>97.45</v>
      </c>
    </row>
    <row r="426" spans="1:8" ht="40.5" customHeight="1" x14ac:dyDescent="0.2">
      <c r="A426" s="582" t="s">
        <v>3825</v>
      </c>
      <c r="B426" s="583" t="s">
        <v>3826</v>
      </c>
      <c r="C426" s="583"/>
      <c r="D426" s="582" t="s">
        <v>3827</v>
      </c>
      <c r="E426" s="584" t="s">
        <v>1161</v>
      </c>
      <c r="F426" s="585">
        <v>94.44</v>
      </c>
      <c r="G426" s="831">
        <f t="shared" si="33"/>
        <v>94.44</v>
      </c>
      <c r="H426" s="585">
        <f t="shared" si="34"/>
        <v>117.39</v>
      </c>
    </row>
    <row r="427" spans="1:8" ht="40.5" customHeight="1" x14ac:dyDescent="0.2">
      <c r="A427" s="582" t="s">
        <v>3828</v>
      </c>
      <c r="B427" s="583" t="s">
        <v>3829</v>
      </c>
      <c r="C427" s="583"/>
      <c r="D427" s="582" t="s">
        <v>3830</v>
      </c>
      <c r="E427" s="584" t="s">
        <v>1161</v>
      </c>
      <c r="F427" s="585">
        <v>134.43</v>
      </c>
      <c r="G427" s="831">
        <f t="shared" si="33"/>
        <v>134.43</v>
      </c>
      <c r="H427" s="585">
        <f t="shared" si="34"/>
        <v>167.1</v>
      </c>
    </row>
    <row r="428" spans="1:8" ht="40.5" customHeight="1" x14ac:dyDescent="0.2">
      <c r="A428" s="582" t="s">
        <v>3831</v>
      </c>
      <c r="B428" s="583" t="s">
        <v>3832</v>
      </c>
      <c r="C428" s="583"/>
      <c r="D428" s="582" t="s">
        <v>3833</v>
      </c>
      <c r="E428" s="584" t="s">
        <v>1161</v>
      </c>
      <c r="F428" s="585">
        <v>124.53</v>
      </c>
      <c r="G428" s="831">
        <f t="shared" si="33"/>
        <v>124.53</v>
      </c>
      <c r="H428" s="585">
        <f t="shared" si="34"/>
        <v>154.80000000000001</v>
      </c>
    </row>
    <row r="429" spans="1:8" ht="40.5" customHeight="1" x14ac:dyDescent="0.2">
      <c r="A429" s="582" t="s">
        <v>3834</v>
      </c>
      <c r="B429" s="583" t="s">
        <v>3835</v>
      </c>
      <c r="C429" s="583"/>
      <c r="D429" s="582" t="s">
        <v>3833</v>
      </c>
      <c r="E429" s="584" t="s">
        <v>1161</v>
      </c>
      <c r="F429" s="585">
        <v>185.65</v>
      </c>
      <c r="G429" s="831">
        <f t="shared" si="33"/>
        <v>185.65</v>
      </c>
      <c r="H429" s="585">
        <f t="shared" si="34"/>
        <v>230.78</v>
      </c>
    </row>
    <row r="430" spans="1:8" ht="40.5" customHeight="1" x14ac:dyDescent="0.2">
      <c r="A430" s="582" t="s">
        <v>3836</v>
      </c>
      <c r="B430" s="583" t="s">
        <v>3837</v>
      </c>
      <c r="C430" s="583"/>
      <c r="D430" s="582" t="s">
        <v>3838</v>
      </c>
      <c r="E430" s="584" t="s">
        <v>1161</v>
      </c>
      <c r="F430" s="585">
        <v>139.28</v>
      </c>
      <c r="G430" s="831">
        <f t="shared" si="33"/>
        <v>139.28</v>
      </c>
      <c r="H430" s="585">
        <f t="shared" si="34"/>
        <v>173.13</v>
      </c>
    </row>
    <row r="431" spans="1:8" ht="40.5" customHeight="1" x14ac:dyDescent="0.2">
      <c r="A431" s="840" t="s">
        <v>2782</v>
      </c>
      <c r="B431" s="846"/>
      <c r="C431" s="846"/>
      <c r="D431" s="842" t="s">
        <v>2774</v>
      </c>
      <c r="E431" s="847"/>
      <c r="F431" s="844"/>
      <c r="G431" s="844"/>
      <c r="H431" s="845"/>
    </row>
    <row r="432" spans="1:8" ht="40.5" customHeight="1" x14ac:dyDescent="0.2">
      <c r="A432" s="827" t="s">
        <v>3839</v>
      </c>
      <c r="B432" s="828" t="s">
        <v>3840</v>
      </c>
      <c r="C432" s="828"/>
      <c r="D432" s="827" t="s">
        <v>3841</v>
      </c>
      <c r="E432" s="829" t="s">
        <v>1161</v>
      </c>
      <c r="F432" s="830">
        <v>423.18</v>
      </c>
      <c r="G432" s="831">
        <f t="shared" ref="G432:G461" si="35">(F432*($H$11))</f>
        <v>423.18</v>
      </c>
      <c r="H432" s="830">
        <f t="shared" ref="H432:H461" si="36">TRUNC((F432*($H$11))*(1+$H$8),2)</f>
        <v>526.04999999999995</v>
      </c>
    </row>
    <row r="433" spans="1:8" ht="40.5" customHeight="1" x14ac:dyDescent="0.2">
      <c r="A433" s="582" t="s">
        <v>3842</v>
      </c>
      <c r="B433" s="583" t="s">
        <v>3843</v>
      </c>
      <c r="C433" s="583"/>
      <c r="D433" s="582" t="s">
        <v>3844</v>
      </c>
      <c r="E433" s="584" t="s">
        <v>646</v>
      </c>
      <c r="F433" s="585">
        <v>64.400000000000006</v>
      </c>
      <c r="G433" s="831">
        <f t="shared" si="35"/>
        <v>64.400000000000006</v>
      </c>
      <c r="H433" s="585">
        <f t="shared" si="36"/>
        <v>80.05</v>
      </c>
    </row>
    <row r="434" spans="1:8" ht="40.5" customHeight="1" x14ac:dyDescent="0.2">
      <c r="A434" s="582" t="s">
        <v>3845</v>
      </c>
      <c r="B434" s="583" t="s">
        <v>3846</v>
      </c>
      <c r="C434" s="583"/>
      <c r="D434" s="582" t="s">
        <v>3847</v>
      </c>
      <c r="E434" s="584" t="s">
        <v>646</v>
      </c>
      <c r="F434" s="585">
        <v>956.94</v>
      </c>
      <c r="G434" s="831">
        <f t="shared" si="35"/>
        <v>956.94</v>
      </c>
      <c r="H434" s="585">
        <f t="shared" si="36"/>
        <v>1189.57</v>
      </c>
    </row>
    <row r="435" spans="1:8" ht="40.5" customHeight="1" x14ac:dyDescent="0.2">
      <c r="A435" s="582" t="s">
        <v>3848</v>
      </c>
      <c r="B435" s="583" t="s">
        <v>3849</v>
      </c>
      <c r="C435" s="583"/>
      <c r="D435" s="582" t="s">
        <v>3850</v>
      </c>
      <c r="E435" s="584" t="s">
        <v>646</v>
      </c>
      <c r="F435" s="585">
        <v>101.05</v>
      </c>
      <c r="G435" s="831">
        <f t="shared" si="35"/>
        <v>101.05</v>
      </c>
      <c r="H435" s="585">
        <f t="shared" si="36"/>
        <v>125.61</v>
      </c>
    </row>
    <row r="436" spans="1:8" ht="40.5" customHeight="1" x14ac:dyDescent="0.2">
      <c r="A436" s="582" t="s">
        <v>3851</v>
      </c>
      <c r="B436" s="583" t="s">
        <v>3852</v>
      </c>
      <c r="C436" s="583"/>
      <c r="D436" s="582" t="s">
        <v>3853</v>
      </c>
      <c r="E436" s="584" t="s">
        <v>1161</v>
      </c>
      <c r="F436" s="585">
        <v>398.46</v>
      </c>
      <c r="G436" s="831">
        <f t="shared" si="35"/>
        <v>398.46</v>
      </c>
      <c r="H436" s="585">
        <f t="shared" si="36"/>
        <v>495.32</v>
      </c>
    </row>
    <row r="437" spans="1:8" ht="40.5" customHeight="1" x14ac:dyDescent="0.2">
      <c r="A437" s="582" t="s">
        <v>3854</v>
      </c>
      <c r="B437" s="583" t="s">
        <v>3855</v>
      </c>
      <c r="C437" s="583"/>
      <c r="D437" s="582" t="s">
        <v>3856</v>
      </c>
      <c r="E437" s="584" t="s">
        <v>1161</v>
      </c>
      <c r="F437" s="585">
        <v>423.3</v>
      </c>
      <c r="G437" s="831">
        <f t="shared" si="35"/>
        <v>423.3</v>
      </c>
      <c r="H437" s="585">
        <f t="shared" si="36"/>
        <v>526.20000000000005</v>
      </c>
    </row>
    <row r="438" spans="1:8" ht="40.5" customHeight="1" x14ac:dyDescent="0.2">
      <c r="A438" s="582" t="s">
        <v>3857</v>
      </c>
      <c r="B438" s="583" t="s">
        <v>3858</v>
      </c>
      <c r="C438" s="583"/>
      <c r="D438" s="582" t="s">
        <v>3859</v>
      </c>
      <c r="E438" s="584" t="s">
        <v>1161</v>
      </c>
      <c r="F438" s="585">
        <v>349.4</v>
      </c>
      <c r="G438" s="831">
        <f t="shared" si="35"/>
        <v>349.4</v>
      </c>
      <c r="H438" s="585">
        <f t="shared" si="36"/>
        <v>434.33</v>
      </c>
    </row>
    <row r="439" spans="1:8" ht="40.5" customHeight="1" x14ac:dyDescent="0.2">
      <c r="A439" s="582" t="s">
        <v>3860</v>
      </c>
      <c r="B439" s="583" t="s">
        <v>3861</v>
      </c>
      <c r="C439" s="583"/>
      <c r="D439" s="582" t="s">
        <v>3862</v>
      </c>
      <c r="E439" s="584" t="s">
        <v>1161</v>
      </c>
      <c r="F439" s="585">
        <v>607.20000000000005</v>
      </c>
      <c r="G439" s="831">
        <f t="shared" si="35"/>
        <v>607.20000000000005</v>
      </c>
      <c r="H439" s="585">
        <f t="shared" si="36"/>
        <v>754.81</v>
      </c>
    </row>
    <row r="440" spans="1:8" ht="40.5" customHeight="1" x14ac:dyDescent="0.2">
      <c r="A440" s="582" t="s">
        <v>3863</v>
      </c>
      <c r="B440" s="583" t="s">
        <v>3864</v>
      </c>
      <c r="C440" s="583"/>
      <c r="D440" s="582" t="s">
        <v>3865</v>
      </c>
      <c r="E440" s="584" t="s">
        <v>1161</v>
      </c>
      <c r="F440" s="585">
        <v>764.19</v>
      </c>
      <c r="G440" s="831">
        <f t="shared" si="35"/>
        <v>764.19</v>
      </c>
      <c r="H440" s="585">
        <f t="shared" si="36"/>
        <v>949.96</v>
      </c>
    </row>
    <row r="441" spans="1:8" ht="40.5" customHeight="1" x14ac:dyDescent="0.2">
      <c r="A441" s="582" t="s">
        <v>3866</v>
      </c>
      <c r="B441" s="583" t="s">
        <v>3867</v>
      </c>
      <c r="C441" s="583"/>
      <c r="D441" s="582" t="s">
        <v>3868</v>
      </c>
      <c r="E441" s="584" t="s">
        <v>1161</v>
      </c>
      <c r="F441" s="585">
        <v>2087.58</v>
      </c>
      <c r="G441" s="831">
        <f t="shared" si="35"/>
        <v>2087.58</v>
      </c>
      <c r="H441" s="585">
        <f t="shared" si="36"/>
        <v>2595.0700000000002</v>
      </c>
    </row>
    <row r="442" spans="1:8" ht="40.5" customHeight="1" x14ac:dyDescent="0.2">
      <c r="A442" s="582" t="s">
        <v>3869</v>
      </c>
      <c r="B442" s="583" t="s">
        <v>3870</v>
      </c>
      <c r="C442" s="583"/>
      <c r="D442" s="582" t="s">
        <v>3871</v>
      </c>
      <c r="E442" s="584" t="s">
        <v>1161</v>
      </c>
      <c r="F442" s="585">
        <v>406.38</v>
      </c>
      <c r="G442" s="831">
        <f t="shared" si="35"/>
        <v>406.38</v>
      </c>
      <c r="H442" s="585">
        <f t="shared" si="36"/>
        <v>505.17</v>
      </c>
    </row>
    <row r="443" spans="1:8" ht="40.5" customHeight="1" x14ac:dyDescent="0.2">
      <c r="A443" s="582" t="s">
        <v>3872</v>
      </c>
      <c r="B443" s="583" t="s">
        <v>3873</v>
      </c>
      <c r="C443" s="583"/>
      <c r="D443" s="582" t="s">
        <v>3874</v>
      </c>
      <c r="E443" s="584" t="s">
        <v>646</v>
      </c>
      <c r="F443" s="585">
        <v>375.82</v>
      </c>
      <c r="G443" s="831">
        <f t="shared" si="35"/>
        <v>375.82</v>
      </c>
      <c r="H443" s="585">
        <f t="shared" si="36"/>
        <v>467.18</v>
      </c>
    </row>
    <row r="444" spans="1:8" ht="40.5" customHeight="1" x14ac:dyDescent="0.2">
      <c r="A444" s="582" t="s">
        <v>3875</v>
      </c>
      <c r="B444" s="583" t="s">
        <v>3876</v>
      </c>
      <c r="C444" s="583"/>
      <c r="D444" s="582" t="s">
        <v>3877</v>
      </c>
      <c r="E444" s="584" t="s">
        <v>646</v>
      </c>
      <c r="F444" s="585">
        <v>177.82</v>
      </c>
      <c r="G444" s="831">
        <f t="shared" si="35"/>
        <v>177.82</v>
      </c>
      <c r="H444" s="585">
        <f t="shared" si="36"/>
        <v>221.04</v>
      </c>
    </row>
    <row r="445" spans="1:8" ht="40.5" customHeight="1" x14ac:dyDescent="0.2">
      <c r="A445" s="582" t="s">
        <v>3878</v>
      </c>
      <c r="B445" s="583" t="s">
        <v>3879</v>
      </c>
      <c r="C445" s="583"/>
      <c r="D445" s="582" t="s">
        <v>3880</v>
      </c>
      <c r="E445" s="584" t="s">
        <v>1161</v>
      </c>
      <c r="F445" s="585">
        <v>43.4</v>
      </c>
      <c r="G445" s="831">
        <f t="shared" si="35"/>
        <v>43.4</v>
      </c>
      <c r="H445" s="585">
        <f t="shared" si="36"/>
        <v>53.95</v>
      </c>
    </row>
    <row r="446" spans="1:8" ht="40.5" customHeight="1" x14ac:dyDescent="0.2">
      <c r="A446" s="582" t="s">
        <v>3881</v>
      </c>
      <c r="B446" s="583" t="s">
        <v>3882</v>
      </c>
      <c r="C446" s="583"/>
      <c r="D446" s="582" t="s">
        <v>3883</v>
      </c>
      <c r="E446" s="584" t="s">
        <v>646</v>
      </c>
      <c r="F446" s="585">
        <v>207.87</v>
      </c>
      <c r="G446" s="831">
        <f t="shared" si="35"/>
        <v>207.87</v>
      </c>
      <c r="H446" s="585">
        <f t="shared" si="36"/>
        <v>258.39999999999998</v>
      </c>
    </row>
    <row r="447" spans="1:8" ht="40.5" customHeight="1" x14ac:dyDescent="0.2">
      <c r="A447" s="582" t="s">
        <v>3884</v>
      </c>
      <c r="B447" s="586" t="s">
        <v>3885</v>
      </c>
      <c r="C447" s="586"/>
      <c r="D447" s="582" t="s">
        <v>3886</v>
      </c>
      <c r="E447" s="587" t="s">
        <v>646</v>
      </c>
      <c r="F447" s="585">
        <v>132.46</v>
      </c>
      <c r="G447" s="831">
        <f t="shared" si="35"/>
        <v>132.46</v>
      </c>
      <c r="H447" s="585">
        <f t="shared" si="36"/>
        <v>164.66</v>
      </c>
    </row>
    <row r="448" spans="1:8" ht="40.5" customHeight="1" x14ac:dyDescent="0.2">
      <c r="A448" s="582" t="s">
        <v>3887</v>
      </c>
      <c r="B448" s="586" t="s">
        <v>3888</v>
      </c>
      <c r="C448" s="586"/>
      <c r="D448" s="582" t="s">
        <v>3889</v>
      </c>
      <c r="E448" s="587" t="s">
        <v>1161</v>
      </c>
      <c r="F448" s="585">
        <v>420.1</v>
      </c>
      <c r="G448" s="831">
        <f t="shared" si="35"/>
        <v>420.1</v>
      </c>
      <c r="H448" s="585">
        <f t="shared" si="36"/>
        <v>522.22</v>
      </c>
    </row>
    <row r="449" spans="1:8" ht="40.5" customHeight="1" x14ac:dyDescent="0.2">
      <c r="A449" s="582" t="s">
        <v>3890</v>
      </c>
      <c r="B449" s="583" t="s">
        <v>3888</v>
      </c>
      <c r="C449" s="583"/>
      <c r="D449" s="582" t="s">
        <v>3891</v>
      </c>
      <c r="E449" s="584" t="s">
        <v>1161</v>
      </c>
      <c r="F449" s="585">
        <v>326.52</v>
      </c>
      <c r="G449" s="831">
        <f t="shared" si="35"/>
        <v>326.52</v>
      </c>
      <c r="H449" s="585">
        <f t="shared" si="36"/>
        <v>405.89</v>
      </c>
    </row>
    <row r="450" spans="1:8" ht="40.5" customHeight="1" x14ac:dyDescent="0.2">
      <c r="A450" s="582" t="s">
        <v>3892</v>
      </c>
      <c r="B450" s="583" t="s">
        <v>3893</v>
      </c>
      <c r="C450" s="583"/>
      <c r="D450" s="582" t="s">
        <v>3894</v>
      </c>
      <c r="E450" s="584" t="s">
        <v>646</v>
      </c>
      <c r="F450" s="585">
        <v>1939.12</v>
      </c>
      <c r="G450" s="831">
        <f t="shared" si="35"/>
        <v>1939.12</v>
      </c>
      <c r="H450" s="585">
        <f t="shared" si="36"/>
        <v>2410.52</v>
      </c>
    </row>
    <row r="451" spans="1:8" ht="40.5" customHeight="1" x14ac:dyDescent="0.2">
      <c r="A451" s="582" t="s">
        <v>3895</v>
      </c>
      <c r="B451" s="583" t="s">
        <v>3893</v>
      </c>
      <c r="C451" s="583"/>
      <c r="D451" s="582" t="s">
        <v>3896</v>
      </c>
      <c r="E451" s="584" t="s">
        <v>646</v>
      </c>
      <c r="F451" s="585">
        <v>1727.26</v>
      </c>
      <c r="G451" s="831">
        <f t="shared" si="35"/>
        <v>1727.26</v>
      </c>
      <c r="H451" s="585">
        <f t="shared" si="36"/>
        <v>2147.15</v>
      </c>
    </row>
    <row r="452" spans="1:8" ht="40.5" customHeight="1" x14ac:dyDescent="0.2">
      <c r="A452" s="582" t="s">
        <v>3897</v>
      </c>
      <c r="B452" s="583" t="s">
        <v>3898</v>
      </c>
      <c r="C452" s="583"/>
      <c r="D452" s="582" t="s">
        <v>3899</v>
      </c>
      <c r="E452" s="584" t="s">
        <v>646</v>
      </c>
      <c r="F452" s="585">
        <v>1220.2</v>
      </c>
      <c r="G452" s="831">
        <f t="shared" si="35"/>
        <v>1220.2</v>
      </c>
      <c r="H452" s="585">
        <f t="shared" si="36"/>
        <v>1516.83</v>
      </c>
    </row>
    <row r="453" spans="1:8" ht="40.5" customHeight="1" x14ac:dyDescent="0.2">
      <c r="A453" s="582" t="s">
        <v>3900</v>
      </c>
      <c r="B453" s="586" t="s">
        <v>3901</v>
      </c>
      <c r="C453" s="586"/>
      <c r="D453" s="582" t="s">
        <v>3902</v>
      </c>
      <c r="E453" s="587" t="s">
        <v>646</v>
      </c>
      <c r="F453" s="585">
        <v>688.32</v>
      </c>
      <c r="G453" s="831">
        <f t="shared" si="35"/>
        <v>688.32</v>
      </c>
      <c r="H453" s="585">
        <f t="shared" si="36"/>
        <v>855.65</v>
      </c>
    </row>
    <row r="454" spans="1:8" ht="40.5" customHeight="1" x14ac:dyDescent="0.2">
      <c r="A454" s="582" t="s">
        <v>3903</v>
      </c>
      <c r="B454" s="583" t="s">
        <v>3904</v>
      </c>
      <c r="C454" s="583"/>
      <c r="D454" s="582" t="s">
        <v>3905</v>
      </c>
      <c r="E454" s="584" t="s">
        <v>646</v>
      </c>
      <c r="F454" s="585">
        <v>779.4</v>
      </c>
      <c r="G454" s="831">
        <f t="shared" si="35"/>
        <v>779.4</v>
      </c>
      <c r="H454" s="585">
        <f t="shared" si="36"/>
        <v>968.87</v>
      </c>
    </row>
    <row r="455" spans="1:8" ht="40.5" customHeight="1" x14ac:dyDescent="0.2">
      <c r="A455" s="582" t="s">
        <v>3906</v>
      </c>
      <c r="B455" s="583" t="s">
        <v>3907</v>
      </c>
      <c r="C455" s="583"/>
      <c r="D455" s="582" t="s">
        <v>3908</v>
      </c>
      <c r="E455" s="584" t="s">
        <v>646</v>
      </c>
      <c r="F455" s="585">
        <v>755.12</v>
      </c>
      <c r="G455" s="831">
        <f t="shared" si="35"/>
        <v>755.12</v>
      </c>
      <c r="H455" s="585">
        <f t="shared" si="36"/>
        <v>938.68</v>
      </c>
    </row>
    <row r="456" spans="1:8" ht="40.5" customHeight="1" x14ac:dyDescent="0.2">
      <c r="A456" s="582" t="s">
        <v>3909</v>
      </c>
      <c r="B456" s="583" t="s">
        <v>3910</v>
      </c>
      <c r="C456" s="583"/>
      <c r="D456" s="582" t="s">
        <v>3911</v>
      </c>
      <c r="E456" s="584" t="s">
        <v>646</v>
      </c>
      <c r="F456" s="585">
        <v>1171.04</v>
      </c>
      <c r="G456" s="831">
        <f t="shared" si="35"/>
        <v>1171.04</v>
      </c>
      <c r="H456" s="585">
        <f t="shared" si="36"/>
        <v>1455.71</v>
      </c>
    </row>
    <row r="457" spans="1:8" ht="40.5" customHeight="1" x14ac:dyDescent="0.2">
      <c r="A457" s="582" t="s">
        <v>3912</v>
      </c>
      <c r="B457" s="583" t="s">
        <v>3913</v>
      </c>
      <c r="C457" s="583"/>
      <c r="D457" s="582" t="s">
        <v>3914</v>
      </c>
      <c r="E457" s="584" t="s">
        <v>646</v>
      </c>
      <c r="F457" s="585">
        <v>622.63</v>
      </c>
      <c r="G457" s="831">
        <f t="shared" si="35"/>
        <v>622.63</v>
      </c>
      <c r="H457" s="585">
        <f t="shared" si="36"/>
        <v>773.99</v>
      </c>
    </row>
    <row r="458" spans="1:8" ht="40.5" customHeight="1" x14ac:dyDescent="0.2">
      <c r="A458" s="582" t="s">
        <v>3915</v>
      </c>
      <c r="B458" s="586" t="s">
        <v>3916</v>
      </c>
      <c r="C458" s="586"/>
      <c r="D458" s="582" t="s">
        <v>3917</v>
      </c>
      <c r="E458" s="587" t="s">
        <v>1161</v>
      </c>
      <c r="F458" s="585">
        <v>1113.8399999999999</v>
      </c>
      <c r="G458" s="831">
        <f t="shared" si="35"/>
        <v>1113.8399999999999</v>
      </c>
      <c r="H458" s="585">
        <f t="shared" si="36"/>
        <v>1384.61</v>
      </c>
    </row>
    <row r="459" spans="1:8" ht="40.5" customHeight="1" x14ac:dyDescent="0.2">
      <c r="A459" s="582" t="s">
        <v>3918</v>
      </c>
      <c r="B459" s="583" t="s">
        <v>3919</v>
      </c>
      <c r="C459" s="583"/>
      <c r="D459" s="582" t="s">
        <v>3920</v>
      </c>
      <c r="E459" s="584" t="s">
        <v>1161</v>
      </c>
      <c r="F459" s="585">
        <v>26.68</v>
      </c>
      <c r="G459" s="831">
        <f t="shared" si="35"/>
        <v>26.68</v>
      </c>
      <c r="H459" s="585">
        <f t="shared" si="36"/>
        <v>33.159999999999997</v>
      </c>
    </row>
    <row r="460" spans="1:8" ht="40.5" customHeight="1" x14ac:dyDescent="0.2">
      <c r="A460" s="582" t="s">
        <v>3921</v>
      </c>
      <c r="B460" s="586" t="s">
        <v>3922</v>
      </c>
      <c r="C460" s="586"/>
      <c r="D460" s="582" t="s">
        <v>3923</v>
      </c>
      <c r="E460" s="587" t="s">
        <v>646</v>
      </c>
      <c r="F460" s="585">
        <v>184.25</v>
      </c>
      <c r="G460" s="831">
        <f t="shared" si="35"/>
        <v>184.25</v>
      </c>
      <c r="H460" s="585">
        <f t="shared" si="36"/>
        <v>229.04</v>
      </c>
    </row>
    <row r="461" spans="1:8" ht="40.5" customHeight="1" x14ac:dyDescent="0.2">
      <c r="A461" s="582" t="s">
        <v>3924</v>
      </c>
      <c r="B461" s="586" t="s">
        <v>3925</v>
      </c>
      <c r="C461" s="586"/>
      <c r="D461" s="582" t="s">
        <v>3926</v>
      </c>
      <c r="E461" s="587" t="s">
        <v>646</v>
      </c>
      <c r="F461" s="585">
        <v>160.81</v>
      </c>
      <c r="G461" s="831">
        <f t="shared" si="35"/>
        <v>160.81</v>
      </c>
      <c r="H461" s="585">
        <f t="shared" si="36"/>
        <v>199.9</v>
      </c>
    </row>
    <row r="462" spans="1:8" ht="40.5" customHeight="1" x14ac:dyDescent="0.2">
      <c r="A462" s="840" t="s">
        <v>2783</v>
      </c>
      <c r="B462" s="846"/>
      <c r="C462" s="846"/>
      <c r="D462" s="842" t="s">
        <v>2784</v>
      </c>
      <c r="E462" s="847"/>
      <c r="F462" s="844"/>
      <c r="G462" s="844"/>
      <c r="H462" s="845"/>
    </row>
    <row r="463" spans="1:8" ht="40.5" customHeight="1" x14ac:dyDescent="0.2">
      <c r="A463" s="840" t="s">
        <v>2785</v>
      </c>
      <c r="B463" s="846"/>
      <c r="C463" s="846"/>
      <c r="D463" s="842" t="s">
        <v>2786</v>
      </c>
      <c r="E463" s="847"/>
      <c r="F463" s="844"/>
      <c r="G463" s="844"/>
      <c r="H463" s="845"/>
    </row>
    <row r="464" spans="1:8" ht="40.5" customHeight="1" x14ac:dyDescent="0.2">
      <c r="A464" s="827" t="s">
        <v>3927</v>
      </c>
      <c r="B464" s="828" t="s">
        <v>3928</v>
      </c>
      <c r="C464" s="828"/>
      <c r="D464" s="827" t="s">
        <v>3929</v>
      </c>
      <c r="E464" s="829" t="s">
        <v>1161</v>
      </c>
      <c r="F464" s="830">
        <v>50.59</v>
      </c>
      <c r="G464" s="831">
        <f>(F464*($H$11))</f>
        <v>50.59</v>
      </c>
      <c r="H464" s="830">
        <f>TRUNC((F464*($H$11))*(1+$H$8),2)</f>
        <v>62.88</v>
      </c>
    </row>
    <row r="465" spans="1:8" ht="40.5" customHeight="1" x14ac:dyDescent="0.2">
      <c r="A465" s="582" t="s">
        <v>3930</v>
      </c>
      <c r="B465" s="583" t="s">
        <v>3931</v>
      </c>
      <c r="C465" s="583"/>
      <c r="D465" s="582" t="s">
        <v>3932</v>
      </c>
      <c r="E465" s="584" t="s">
        <v>1161</v>
      </c>
      <c r="F465" s="585">
        <v>74.44</v>
      </c>
      <c r="G465" s="831">
        <f>(F465*($H$11))</f>
        <v>74.44</v>
      </c>
      <c r="H465" s="585">
        <f>TRUNC((F465*($H$11))*(1+$H$8),2)</f>
        <v>92.53</v>
      </c>
    </row>
    <row r="466" spans="1:8" ht="40.5" customHeight="1" x14ac:dyDescent="0.2">
      <c r="A466" s="582" t="s">
        <v>3933</v>
      </c>
      <c r="B466" s="586" t="s">
        <v>3934</v>
      </c>
      <c r="C466" s="586"/>
      <c r="D466" s="582" t="s">
        <v>3935</v>
      </c>
      <c r="E466" s="587" t="s">
        <v>1161</v>
      </c>
      <c r="F466" s="585">
        <v>64.48</v>
      </c>
      <c r="G466" s="831">
        <f>(F466*($H$11))</f>
        <v>64.48</v>
      </c>
      <c r="H466" s="585">
        <f>TRUNC((F466*($H$11))*(1+$H$8),2)</f>
        <v>80.150000000000006</v>
      </c>
    </row>
    <row r="467" spans="1:8" ht="40.5" customHeight="1" x14ac:dyDescent="0.2">
      <c r="A467" s="582" t="s">
        <v>3936</v>
      </c>
      <c r="B467" s="583" t="s">
        <v>3937</v>
      </c>
      <c r="C467" s="583"/>
      <c r="D467" s="582" t="s">
        <v>3938</v>
      </c>
      <c r="E467" s="584" t="s">
        <v>1191</v>
      </c>
      <c r="F467" s="585">
        <v>33.49</v>
      </c>
      <c r="G467" s="831">
        <f>(F467*($H$11))</f>
        <v>33.49</v>
      </c>
      <c r="H467" s="585">
        <f>TRUNC((F467*($H$11))*(1+$H$8),2)</f>
        <v>41.63</v>
      </c>
    </row>
    <row r="468" spans="1:8" ht="40.5" customHeight="1" x14ac:dyDescent="0.2">
      <c r="A468" s="840" t="s">
        <v>2787</v>
      </c>
      <c r="B468" s="846"/>
      <c r="C468" s="846"/>
      <c r="D468" s="842" t="s">
        <v>2788</v>
      </c>
      <c r="E468" s="847"/>
      <c r="F468" s="844"/>
      <c r="G468" s="844"/>
      <c r="H468" s="845"/>
    </row>
    <row r="469" spans="1:8" ht="40.5" customHeight="1" x14ac:dyDescent="0.2">
      <c r="A469" s="827" t="s">
        <v>3939</v>
      </c>
      <c r="B469" s="828">
        <v>39512</v>
      </c>
      <c r="C469" s="828"/>
      <c r="D469" s="827" t="s">
        <v>2396</v>
      </c>
      <c r="E469" s="829" t="s">
        <v>1161</v>
      </c>
      <c r="F469" s="830">
        <v>136.97</v>
      </c>
      <c r="G469" s="831">
        <f>(F469*($H$11))</f>
        <v>136.97</v>
      </c>
      <c r="H469" s="830">
        <f>TRUNC((F469*($H$11))*(1+$H$8),2)</f>
        <v>170.26</v>
      </c>
    </row>
    <row r="470" spans="1:8" ht="40.5" customHeight="1" x14ac:dyDescent="0.2">
      <c r="A470" s="582" t="s">
        <v>3940</v>
      </c>
      <c r="B470" s="583">
        <v>39513</v>
      </c>
      <c r="C470" s="583"/>
      <c r="D470" s="582" t="s">
        <v>2398</v>
      </c>
      <c r="E470" s="584" t="s">
        <v>1161</v>
      </c>
      <c r="F470" s="585">
        <v>160.24</v>
      </c>
      <c r="G470" s="831">
        <f>(F470*($H$11))</f>
        <v>160.24</v>
      </c>
      <c r="H470" s="585">
        <f>TRUNC((F470*($H$11))*(1+$H$8),2)</f>
        <v>199.19</v>
      </c>
    </row>
    <row r="471" spans="1:8" ht="40.5" customHeight="1" x14ac:dyDescent="0.2">
      <c r="A471" s="582" t="s">
        <v>3941</v>
      </c>
      <c r="B471" s="583">
        <v>39515</v>
      </c>
      <c r="C471" s="583"/>
      <c r="D471" s="582" t="s">
        <v>2400</v>
      </c>
      <c r="E471" s="584" t="s">
        <v>646</v>
      </c>
      <c r="F471" s="585">
        <v>63.45</v>
      </c>
      <c r="G471" s="831">
        <f>(F471*($H$11))</f>
        <v>63.45</v>
      </c>
      <c r="H471" s="585">
        <f>TRUNC((F471*($H$11))*(1+$H$8),2)</f>
        <v>78.87</v>
      </c>
    </row>
    <row r="472" spans="1:8" ht="40.5" customHeight="1" x14ac:dyDescent="0.2">
      <c r="A472" s="582" t="s">
        <v>3942</v>
      </c>
      <c r="B472" s="583">
        <v>39516</v>
      </c>
      <c r="C472" s="583"/>
      <c r="D472" s="582" t="s">
        <v>2402</v>
      </c>
      <c r="E472" s="584" t="s">
        <v>646</v>
      </c>
      <c r="F472" s="585">
        <v>53.49</v>
      </c>
      <c r="G472" s="831">
        <f>(F472*($H$11))</f>
        <v>53.49</v>
      </c>
      <c r="H472" s="585">
        <f>TRUNC((F472*($H$11))*(1+$H$8),2)</f>
        <v>66.489999999999995</v>
      </c>
    </row>
    <row r="473" spans="1:8" ht="40.5" customHeight="1" x14ac:dyDescent="0.2">
      <c r="A473" s="840" t="s">
        <v>2789</v>
      </c>
      <c r="B473" s="846"/>
      <c r="C473" s="846"/>
      <c r="D473" s="842" t="s">
        <v>2790</v>
      </c>
      <c r="E473" s="847"/>
      <c r="F473" s="844"/>
      <c r="G473" s="844"/>
      <c r="H473" s="845"/>
    </row>
    <row r="474" spans="1:8" ht="40.5" customHeight="1" x14ac:dyDescent="0.2">
      <c r="A474" s="827" t="s">
        <v>3943</v>
      </c>
      <c r="B474" s="828">
        <v>96486</v>
      </c>
      <c r="C474" s="828"/>
      <c r="D474" s="827" t="s">
        <v>3944</v>
      </c>
      <c r="E474" s="829" t="s">
        <v>1161</v>
      </c>
      <c r="F474" s="830">
        <v>73.75</v>
      </c>
      <c r="G474" s="831">
        <f>(F474*($H$11))</f>
        <v>73.75</v>
      </c>
      <c r="H474" s="830">
        <f>TRUNC((F474*($H$11))*(1+$H$8),2)</f>
        <v>91.67</v>
      </c>
    </row>
    <row r="475" spans="1:8" ht="40.5" customHeight="1" x14ac:dyDescent="0.2">
      <c r="A475" s="840" t="s">
        <v>2791</v>
      </c>
      <c r="B475" s="846"/>
      <c r="C475" s="846"/>
      <c r="D475" s="842" t="s">
        <v>2792</v>
      </c>
      <c r="E475" s="847"/>
      <c r="F475" s="844"/>
      <c r="G475" s="844"/>
      <c r="H475" s="845"/>
    </row>
    <row r="476" spans="1:8" ht="40.5" customHeight="1" x14ac:dyDescent="0.2">
      <c r="A476" s="840" t="s">
        <v>2793</v>
      </c>
      <c r="B476" s="846"/>
      <c r="C476" s="846"/>
      <c r="D476" s="842" t="s">
        <v>2794</v>
      </c>
      <c r="E476" s="847"/>
      <c r="F476" s="844"/>
      <c r="G476" s="844"/>
      <c r="H476" s="845"/>
    </row>
    <row r="477" spans="1:8" ht="40.5" customHeight="1" x14ac:dyDescent="0.2">
      <c r="A477" s="827" t="s">
        <v>3945</v>
      </c>
      <c r="B477" s="828" t="s">
        <v>3946</v>
      </c>
      <c r="C477" s="828"/>
      <c r="D477" s="827" t="s">
        <v>3947</v>
      </c>
      <c r="E477" s="829" t="s">
        <v>1161</v>
      </c>
      <c r="F477" s="830">
        <v>11.63</v>
      </c>
      <c r="G477" s="831">
        <f>(F477*($H$11))</f>
        <v>11.63</v>
      </c>
      <c r="H477" s="830">
        <f>TRUNC((F477*($H$11))*(1+$H$8),2)</f>
        <v>14.45</v>
      </c>
    </row>
    <row r="478" spans="1:8" ht="40.5" customHeight="1" x14ac:dyDescent="0.2">
      <c r="A478" s="582" t="s">
        <v>3948</v>
      </c>
      <c r="B478" s="586" t="s">
        <v>3949</v>
      </c>
      <c r="C478" s="586"/>
      <c r="D478" s="582" t="s">
        <v>3950</v>
      </c>
      <c r="E478" s="587" t="s">
        <v>1161</v>
      </c>
      <c r="F478" s="585">
        <v>22.7</v>
      </c>
      <c r="G478" s="831">
        <f>(F478*($H$11))</f>
        <v>22.7</v>
      </c>
      <c r="H478" s="585">
        <f>TRUNC((F478*($H$11))*(1+$H$8),2)</f>
        <v>28.21</v>
      </c>
    </row>
    <row r="479" spans="1:8" ht="40.5" customHeight="1" x14ac:dyDescent="0.2">
      <c r="A479" s="582" t="s">
        <v>3951</v>
      </c>
      <c r="B479" s="583" t="s">
        <v>3952</v>
      </c>
      <c r="C479" s="583"/>
      <c r="D479" s="582" t="s">
        <v>3953</v>
      </c>
      <c r="E479" s="584" t="s">
        <v>1161</v>
      </c>
      <c r="F479" s="585">
        <v>41.51</v>
      </c>
      <c r="G479" s="831">
        <f>(F479*($H$11))</f>
        <v>41.51</v>
      </c>
      <c r="H479" s="585">
        <f>TRUNC((F479*($H$11))*(1+$H$8),2)</f>
        <v>51.6</v>
      </c>
    </row>
    <row r="480" spans="1:8" ht="40.5" customHeight="1" x14ac:dyDescent="0.2">
      <c r="A480" s="582" t="s">
        <v>3954</v>
      </c>
      <c r="B480" s="583" t="s">
        <v>3955</v>
      </c>
      <c r="C480" s="583"/>
      <c r="D480" s="582" t="s">
        <v>3956</v>
      </c>
      <c r="E480" s="584" t="s">
        <v>1161</v>
      </c>
      <c r="F480" s="585">
        <v>89.53</v>
      </c>
      <c r="G480" s="831">
        <f>(F480*($H$11))</f>
        <v>89.53</v>
      </c>
      <c r="H480" s="585">
        <f>TRUNC((F480*($H$11))*(1+$H$8),2)</f>
        <v>111.29</v>
      </c>
    </row>
    <row r="481" spans="1:8" ht="40.5" customHeight="1" x14ac:dyDescent="0.2">
      <c r="A481" s="840" t="s">
        <v>2795</v>
      </c>
      <c r="B481" s="846"/>
      <c r="C481" s="846"/>
      <c r="D481" s="842" t="s">
        <v>2796</v>
      </c>
      <c r="E481" s="847"/>
      <c r="F481" s="844"/>
      <c r="G481" s="844"/>
      <c r="H481" s="845"/>
    </row>
    <row r="482" spans="1:8" ht="40.5" customHeight="1" x14ac:dyDescent="0.2">
      <c r="A482" s="827" t="s">
        <v>3957</v>
      </c>
      <c r="B482" s="828" t="s">
        <v>3958</v>
      </c>
      <c r="C482" s="828"/>
      <c r="D482" s="827" t="s">
        <v>3959</v>
      </c>
      <c r="E482" s="829" t="s">
        <v>1161</v>
      </c>
      <c r="F482" s="830">
        <v>18.46</v>
      </c>
      <c r="G482" s="831">
        <f t="shared" ref="G482:G492" si="37">(F482*($H$11))</f>
        <v>18.46</v>
      </c>
      <c r="H482" s="830">
        <f t="shared" ref="H482:H492" si="38">TRUNC((F482*($H$11))*(1+$H$8),2)</f>
        <v>22.94</v>
      </c>
    </row>
    <row r="483" spans="1:8" ht="40.5" customHeight="1" x14ac:dyDescent="0.2">
      <c r="A483" s="582" t="s">
        <v>3960</v>
      </c>
      <c r="B483" s="583" t="s">
        <v>3961</v>
      </c>
      <c r="C483" s="583"/>
      <c r="D483" s="582" t="s">
        <v>3962</v>
      </c>
      <c r="E483" s="584" t="s">
        <v>1161</v>
      </c>
      <c r="F483" s="585">
        <v>9.7200000000000006</v>
      </c>
      <c r="G483" s="831">
        <f t="shared" si="37"/>
        <v>9.7200000000000006</v>
      </c>
      <c r="H483" s="585">
        <f t="shared" si="38"/>
        <v>12.08</v>
      </c>
    </row>
    <row r="484" spans="1:8" ht="40.5" customHeight="1" x14ac:dyDescent="0.2">
      <c r="A484" s="582" t="s">
        <v>3963</v>
      </c>
      <c r="B484" s="586" t="s">
        <v>3964</v>
      </c>
      <c r="C484" s="586"/>
      <c r="D484" s="582" t="s">
        <v>3965</v>
      </c>
      <c r="E484" s="587" t="s">
        <v>1161</v>
      </c>
      <c r="F484" s="585">
        <v>95.77</v>
      </c>
      <c r="G484" s="831">
        <f t="shared" si="37"/>
        <v>95.77</v>
      </c>
      <c r="H484" s="585">
        <f t="shared" si="38"/>
        <v>119.05</v>
      </c>
    </row>
    <row r="485" spans="1:8" ht="40.5" customHeight="1" x14ac:dyDescent="0.2">
      <c r="A485" s="582" t="s">
        <v>3966</v>
      </c>
      <c r="B485" s="583" t="s">
        <v>3967</v>
      </c>
      <c r="C485" s="583"/>
      <c r="D485" s="582" t="s">
        <v>3968</v>
      </c>
      <c r="E485" s="584" t="s">
        <v>1161</v>
      </c>
      <c r="F485" s="585">
        <v>138.87</v>
      </c>
      <c r="G485" s="831">
        <f t="shared" si="37"/>
        <v>138.87</v>
      </c>
      <c r="H485" s="585">
        <f t="shared" si="38"/>
        <v>172.62</v>
      </c>
    </row>
    <row r="486" spans="1:8" ht="40.5" customHeight="1" x14ac:dyDescent="0.2">
      <c r="A486" s="582" t="s">
        <v>3969</v>
      </c>
      <c r="B486" s="583" t="s">
        <v>3970</v>
      </c>
      <c r="C486" s="583"/>
      <c r="D486" s="582" t="s">
        <v>3971</v>
      </c>
      <c r="E486" s="584" t="s">
        <v>1191</v>
      </c>
      <c r="F486" s="585">
        <v>44.25</v>
      </c>
      <c r="G486" s="831">
        <f t="shared" si="37"/>
        <v>44.25</v>
      </c>
      <c r="H486" s="585">
        <f t="shared" si="38"/>
        <v>55</v>
      </c>
    </row>
    <row r="487" spans="1:8" ht="40.5" customHeight="1" x14ac:dyDescent="0.2">
      <c r="A487" s="582" t="s">
        <v>3972</v>
      </c>
      <c r="B487" s="583" t="s">
        <v>3973</v>
      </c>
      <c r="C487" s="583"/>
      <c r="D487" s="582" t="s">
        <v>3974</v>
      </c>
      <c r="E487" s="584" t="s">
        <v>1161</v>
      </c>
      <c r="F487" s="585">
        <v>115.99</v>
      </c>
      <c r="G487" s="831">
        <f t="shared" si="37"/>
        <v>115.99</v>
      </c>
      <c r="H487" s="585">
        <f t="shared" si="38"/>
        <v>144.18</v>
      </c>
    </row>
    <row r="488" spans="1:8" ht="40.5" customHeight="1" x14ac:dyDescent="0.2">
      <c r="A488" s="582" t="s">
        <v>3975</v>
      </c>
      <c r="B488" s="583" t="s">
        <v>3976</v>
      </c>
      <c r="C488" s="583"/>
      <c r="D488" s="582" t="s">
        <v>3977</v>
      </c>
      <c r="E488" s="584" t="s">
        <v>1161</v>
      </c>
      <c r="F488" s="585">
        <v>203.59</v>
      </c>
      <c r="G488" s="831">
        <f t="shared" si="37"/>
        <v>203.59</v>
      </c>
      <c r="H488" s="585">
        <f t="shared" si="38"/>
        <v>253.08</v>
      </c>
    </row>
    <row r="489" spans="1:8" ht="40.5" customHeight="1" x14ac:dyDescent="0.2">
      <c r="A489" s="582" t="s">
        <v>3978</v>
      </c>
      <c r="B489" s="583" t="s">
        <v>3979</v>
      </c>
      <c r="C489" s="583"/>
      <c r="D489" s="582" t="s">
        <v>3980</v>
      </c>
      <c r="E489" s="584" t="s">
        <v>1161</v>
      </c>
      <c r="F489" s="585">
        <v>180.44</v>
      </c>
      <c r="G489" s="831">
        <f t="shared" si="37"/>
        <v>180.44</v>
      </c>
      <c r="H489" s="585">
        <f t="shared" si="38"/>
        <v>224.3</v>
      </c>
    </row>
    <row r="490" spans="1:8" ht="40.5" customHeight="1" x14ac:dyDescent="0.2">
      <c r="A490" s="582" t="s">
        <v>3981</v>
      </c>
      <c r="B490" s="583" t="s">
        <v>3982</v>
      </c>
      <c r="C490" s="583"/>
      <c r="D490" s="582" t="s">
        <v>3983</v>
      </c>
      <c r="E490" s="584" t="s">
        <v>1191</v>
      </c>
      <c r="F490" s="585">
        <v>62.42</v>
      </c>
      <c r="G490" s="831">
        <f t="shared" si="37"/>
        <v>62.42</v>
      </c>
      <c r="H490" s="585">
        <f t="shared" si="38"/>
        <v>77.59</v>
      </c>
    </row>
    <row r="491" spans="1:8" ht="40.5" customHeight="1" x14ac:dyDescent="0.2">
      <c r="A491" s="582" t="s">
        <v>3984</v>
      </c>
      <c r="B491" s="583" t="s">
        <v>3985</v>
      </c>
      <c r="C491" s="583"/>
      <c r="D491" s="582" t="s">
        <v>3986</v>
      </c>
      <c r="E491" s="584" t="s">
        <v>1161</v>
      </c>
      <c r="F491" s="585">
        <v>700.25</v>
      </c>
      <c r="G491" s="831">
        <f t="shared" si="37"/>
        <v>700.25</v>
      </c>
      <c r="H491" s="585">
        <f t="shared" si="38"/>
        <v>870.48</v>
      </c>
    </row>
    <row r="492" spans="1:8" ht="40.5" customHeight="1" x14ac:dyDescent="0.2">
      <c r="A492" s="582" t="s">
        <v>3987</v>
      </c>
      <c r="B492" s="583" t="s">
        <v>3988</v>
      </c>
      <c r="C492" s="583"/>
      <c r="D492" s="582" t="s">
        <v>3989</v>
      </c>
      <c r="E492" s="584" t="s">
        <v>1161</v>
      </c>
      <c r="F492" s="585">
        <v>371.6</v>
      </c>
      <c r="G492" s="831">
        <f t="shared" si="37"/>
        <v>371.6</v>
      </c>
      <c r="H492" s="585">
        <f t="shared" si="38"/>
        <v>461.93</v>
      </c>
    </row>
    <row r="493" spans="1:8" ht="40.5" customHeight="1" x14ac:dyDescent="0.2">
      <c r="A493" s="840" t="s">
        <v>2797</v>
      </c>
      <c r="B493" s="846"/>
      <c r="C493" s="846"/>
      <c r="D493" s="842" t="s">
        <v>2798</v>
      </c>
      <c r="E493" s="847"/>
      <c r="F493" s="844"/>
      <c r="G493" s="844"/>
      <c r="H493" s="845"/>
    </row>
    <row r="494" spans="1:8" ht="40.5" customHeight="1" x14ac:dyDescent="0.2">
      <c r="A494" s="827" t="s">
        <v>3990</v>
      </c>
      <c r="B494" s="828" t="s">
        <v>3991</v>
      </c>
      <c r="C494" s="828"/>
      <c r="D494" s="827" t="s">
        <v>3992</v>
      </c>
      <c r="E494" s="829" t="s">
        <v>1161</v>
      </c>
      <c r="F494" s="830">
        <v>85.81</v>
      </c>
      <c r="G494" s="831">
        <f>(F494*($H$11))</f>
        <v>85.81</v>
      </c>
      <c r="H494" s="830">
        <f>TRUNC((F494*($H$11))*(1+$H$8),2)</f>
        <v>106.67</v>
      </c>
    </row>
    <row r="495" spans="1:8" ht="40.5" customHeight="1" x14ac:dyDescent="0.2">
      <c r="A495" s="582" t="s">
        <v>3993</v>
      </c>
      <c r="B495" s="583" t="s">
        <v>3994</v>
      </c>
      <c r="C495" s="583"/>
      <c r="D495" s="582" t="s">
        <v>3995</v>
      </c>
      <c r="E495" s="584" t="s">
        <v>1161</v>
      </c>
      <c r="F495" s="585">
        <v>87.44</v>
      </c>
      <c r="G495" s="831">
        <f>(F495*($H$11))</f>
        <v>87.44</v>
      </c>
      <c r="H495" s="585">
        <f>TRUNC((F495*($H$11))*(1+$H$8),2)</f>
        <v>108.69</v>
      </c>
    </row>
    <row r="496" spans="1:8" ht="40.5" customHeight="1" x14ac:dyDescent="0.2">
      <c r="A496" s="582" t="s">
        <v>3996</v>
      </c>
      <c r="B496" s="583" t="s">
        <v>3997</v>
      </c>
      <c r="C496" s="583"/>
      <c r="D496" s="582" t="s">
        <v>3998</v>
      </c>
      <c r="E496" s="584" t="s">
        <v>1161</v>
      </c>
      <c r="F496" s="585">
        <v>411.15</v>
      </c>
      <c r="G496" s="831">
        <f>(F496*($H$11))</f>
        <v>411.15</v>
      </c>
      <c r="H496" s="585">
        <f>TRUNC((F496*($H$11))*(1+$H$8),2)</f>
        <v>511.1</v>
      </c>
    </row>
    <row r="497" spans="1:8" ht="40.5" customHeight="1" x14ac:dyDescent="0.2">
      <c r="A497" s="582" t="s">
        <v>3999</v>
      </c>
      <c r="B497" s="583" t="s">
        <v>4000</v>
      </c>
      <c r="C497" s="583"/>
      <c r="D497" s="582" t="s">
        <v>4001</v>
      </c>
      <c r="E497" s="584" t="s">
        <v>1161</v>
      </c>
      <c r="F497" s="585">
        <v>34.33</v>
      </c>
      <c r="G497" s="831">
        <f>(F497*($H$11))</f>
        <v>34.33</v>
      </c>
      <c r="H497" s="585">
        <f>TRUNC((F497*($H$11))*(1+$H$8),2)</f>
        <v>42.67</v>
      </c>
    </row>
    <row r="498" spans="1:8" ht="40.5" customHeight="1" x14ac:dyDescent="0.2">
      <c r="A498" s="582" t="s">
        <v>4002</v>
      </c>
      <c r="B498" s="583" t="s">
        <v>4003</v>
      </c>
      <c r="C498" s="583"/>
      <c r="D498" s="582" t="s">
        <v>4004</v>
      </c>
      <c r="E498" s="584" t="s">
        <v>1161</v>
      </c>
      <c r="F498" s="585">
        <v>10.59</v>
      </c>
      <c r="G498" s="831">
        <f>(F498*($H$11))</f>
        <v>10.59</v>
      </c>
      <c r="H498" s="585">
        <f>TRUNC((F498*($H$11))*(1+$H$8),2)</f>
        <v>13.16</v>
      </c>
    </row>
    <row r="499" spans="1:8" ht="40.5" customHeight="1" x14ac:dyDescent="0.2">
      <c r="A499" s="840" t="s">
        <v>2799</v>
      </c>
      <c r="B499" s="846"/>
      <c r="C499" s="846"/>
      <c r="D499" s="842" t="s">
        <v>2800</v>
      </c>
      <c r="E499" s="847"/>
      <c r="F499" s="844"/>
      <c r="G499" s="844"/>
      <c r="H499" s="845"/>
    </row>
    <row r="500" spans="1:8" ht="40.5" customHeight="1" x14ac:dyDescent="0.2">
      <c r="A500" s="827" t="s">
        <v>4005</v>
      </c>
      <c r="B500" s="828">
        <v>39694</v>
      </c>
      <c r="C500" s="828"/>
      <c r="D500" s="827" t="s">
        <v>2354</v>
      </c>
      <c r="E500" s="829" t="s">
        <v>1161</v>
      </c>
      <c r="F500" s="830">
        <v>392.67</v>
      </c>
      <c r="G500" s="831">
        <f t="shared" ref="G500:G517" si="39">(F500*($H$11))</f>
        <v>392.67</v>
      </c>
      <c r="H500" s="830">
        <f t="shared" ref="H500:H517" si="40">TRUNC((F500*($H$11))*(1+$H$8),2)</f>
        <v>488.12</v>
      </c>
    </row>
    <row r="501" spans="1:8" ht="40.5" customHeight="1" x14ac:dyDescent="0.2">
      <c r="A501" s="582" t="s">
        <v>4006</v>
      </c>
      <c r="B501" s="583" t="s">
        <v>4007</v>
      </c>
      <c r="C501" s="583"/>
      <c r="D501" s="582" t="s">
        <v>4008</v>
      </c>
      <c r="E501" s="584" t="s">
        <v>1161</v>
      </c>
      <c r="F501" s="585">
        <v>72.78</v>
      </c>
      <c r="G501" s="831">
        <f t="shared" si="39"/>
        <v>72.78</v>
      </c>
      <c r="H501" s="585">
        <f t="shared" si="40"/>
        <v>90.47</v>
      </c>
    </row>
    <row r="502" spans="1:8" ht="40.5" customHeight="1" x14ac:dyDescent="0.2">
      <c r="A502" s="582" t="s">
        <v>4009</v>
      </c>
      <c r="B502" s="583" t="s">
        <v>4010</v>
      </c>
      <c r="C502" s="583"/>
      <c r="D502" s="582" t="s">
        <v>4011</v>
      </c>
      <c r="E502" s="584" t="s">
        <v>1161</v>
      </c>
      <c r="F502" s="585">
        <v>197.4</v>
      </c>
      <c r="G502" s="831">
        <f t="shared" si="39"/>
        <v>197.4</v>
      </c>
      <c r="H502" s="585">
        <f t="shared" si="40"/>
        <v>245.38</v>
      </c>
    </row>
    <row r="503" spans="1:8" ht="40.5" customHeight="1" x14ac:dyDescent="0.2">
      <c r="A503" s="582" t="s">
        <v>4012</v>
      </c>
      <c r="B503" s="586" t="s">
        <v>4013</v>
      </c>
      <c r="C503" s="586"/>
      <c r="D503" s="582" t="s">
        <v>4014</v>
      </c>
      <c r="E503" s="587" t="s">
        <v>1161</v>
      </c>
      <c r="F503" s="585">
        <v>123.9</v>
      </c>
      <c r="G503" s="831">
        <f t="shared" si="39"/>
        <v>123.9</v>
      </c>
      <c r="H503" s="585">
        <f t="shared" si="40"/>
        <v>154.02000000000001</v>
      </c>
    </row>
    <row r="504" spans="1:8" ht="40.5" customHeight="1" x14ac:dyDescent="0.2">
      <c r="A504" s="582" t="s">
        <v>4015</v>
      </c>
      <c r="B504" s="583" t="s">
        <v>4016</v>
      </c>
      <c r="C504" s="583"/>
      <c r="D504" s="582" t="s">
        <v>4017</v>
      </c>
      <c r="E504" s="584" t="s">
        <v>1161</v>
      </c>
      <c r="F504" s="585">
        <v>261.94</v>
      </c>
      <c r="G504" s="831">
        <f t="shared" si="39"/>
        <v>261.94</v>
      </c>
      <c r="H504" s="585">
        <f t="shared" si="40"/>
        <v>325.61</v>
      </c>
    </row>
    <row r="505" spans="1:8" ht="40.5" customHeight="1" x14ac:dyDescent="0.2">
      <c r="A505" s="582" t="s">
        <v>4018</v>
      </c>
      <c r="B505" s="583" t="s">
        <v>4019</v>
      </c>
      <c r="C505" s="583"/>
      <c r="D505" s="582" t="s">
        <v>4020</v>
      </c>
      <c r="E505" s="584" t="s">
        <v>1191</v>
      </c>
      <c r="F505" s="585">
        <v>19.510000000000002</v>
      </c>
      <c r="G505" s="831">
        <f t="shared" si="39"/>
        <v>19.510000000000002</v>
      </c>
      <c r="H505" s="585">
        <f t="shared" si="40"/>
        <v>24.25</v>
      </c>
    </row>
    <row r="506" spans="1:8" ht="40.5" customHeight="1" x14ac:dyDescent="0.2">
      <c r="A506" s="582" t="s">
        <v>4021</v>
      </c>
      <c r="B506" s="583" t="s">
        <v>4022</v>
      </c>
      <c r="C506" s="583"/>
      <c r="D506" s="582" t="s">
        <v>4023</v>
      </c>
      <c r="E506" s="584" t="s">
        <v>1161</v>
      </c>
      <c r="F506" s="585">
        <v>192.15</v>
      </c>
      <c r="G506" s="831">
        <f t="shared" si="39"/>
        <v>192.15</v>
      </c>
      <c r="H506" s="585">
        <f t="shared" si="40"/>
        <v>238.86</v>
      </c>
    </row>
    <row r="507" spans="1:8" ht="40.5" customHeight="1" x14ac:dyDescent="0.2">
      <c r="A507" s="582" t="s">
        <v>4024</v>
      </c>
      <c r="B507" s="583" t="s">
        <v>4025</v>
      </c>
      <c r="C507" s="583"/>
      <c r="D507" s="582" t="s">
        <v>4026</v>
      </c>
      <c r="E507" s="584" t="s">
        <v>1161</v>
      </c>
      <c r="F507" s="585">
        <v>396.47</v>
      </c>
      <c r="G507" s="831">
        <f t="shared" si="39"/>
        <v>396.47</v>
      </c>
      <c r="H507" s="585">
        <f t="shared" si="40"/>
        <v>492.85</v>
      </c>
    </row>
    <row r="508" spans="1:8" ht="40.5" customHeight="1" x14ac:dyDescent="0.2">
      <c r="A508" s="582" t="s">
        <v>4027</v>
      </c>
      <c r="B508" s="583" t="s">
        <v>4028</v>
      </c>
      <c r="C508" s="583"/>
      <c r="D508" s="582" t="s">
        <v>4029</v>
      </c>
      <c r="E508" s="584" t="s">
        <v>1161</v>
      </c>
      <c r="F508" s="585">
        <v>151.91</v>
      </c>
      <c r="G508" s="831">
        <f t="shared" si="39"/>
        <v>151.91</v>
      </c>
      <c r="H508" s="585">
        <f t="shared" si="40"/>
        <v>188.83</v>
      </c>
    </row>
    <row r="509" spans="1:8" ht="40.5" customHeight="1" x14ac:dyDescent="0.2">
      <c r="A509" s="582" t="s">
        <v>4030</v>
      </c>
      <c r="B509" s="583" t="s">
        <v>4031</v>
      </c>
      <c r="C509" s="583"/>
      <c r="D509" s="582" t="s">
        <v>4032</v>
      </c>
      <c r="E509" s="584" t="s">
        <v>1161</v>
      </c>
      <c r="F509" s="585">
        <v>192.54</v>
      </c>
      <c r="G509" s="831">
        <f t="shared" si="39"/>
        <v>192.54</v>
      </c>
      <c r="H509" s="585">
        <f t="shared" si="40"/>
        <v>239.34</v>
      </c>
    </row>
    <row r="510" spans="1:8" ht="40.5" customHeight="1" x14ac:dyDescent="0.2">
      <c r="A510" s="582" t="s">
        <v>4033</v>
      </c>
      <c r="B510" s="583" t="s">
        <v>4034</v>
      </c>
      <c r="C510" s="583"/>
      <c r="D510" s="582" t="s">
        <v>4035</v>
      </c>
      <c r="E510" s="584" t="s">
        <v>1191</v>
      </c>
      <c r="F510" s="585">
        <v>41.25</v>
      </c>
      <c r="G510" s="831">
        <f t="shared" si="39"/>
        <v>41.25</v>
      </c>
      <c r="H510" s="585">
        <f t="shared" si="40"/>
        <v>51.27</v>
      </c>
    </row>
    <row r="511" spans="1:8" ht="40.5" customHeight="1" x14ac:dyDescent="0.2">
      <c r="A511" s="582" t="s">
        <v>4036</v>
      </c>
      <c r="B511" s="586" t="s">
        <v>4037</v>
      </c>
      <c r="C511" s="586"/>
      <c r="D511" s="582" t="s">
        <v>4038</v>
      </c>
      <c r="E511" s="587" t="s">
        <v>1161</v>
      </c>
      <c r="F511" s="585">
        <v>156.15</v>
      </c>
      <c r="G511" s="831">
        <f t="shared" si="39"/>
        <v>156.15</v>
      </c>
      <c r="H511" s="585">
        <f t="shared" si="40"/>
        <v>194.11</v>
      </c>
    </row>
    <row r="512" spans="1:8" ht="40.5" customHeight="1" x14ac:dyDescent="0.2">
      <c r="A512" s="582" t="s">
        <v>4039</v>
      </c>
      <c r="B512" s="583" t="s">
        <v>4040</v>
      </c>
      <c r="C512" s="583"/>
      <c r="D512" s="582" t="s">
        <v>4041</v>
      </c>
      <c r="E512" s="584" t="s">
        <v>1161</v>
      </c>
      <c r="F512" s="585">
        <v>156.15</v>
      </c>
      <c r="G512" s="831">
        <f t="shared" si="39"/>
        <v>156.15</v>
      </c>
      <c r="H512" s="585">
        <f t="shared" si="40"/>
        <v>194.11</v>
      </c>
    </row>
    <row r="513" spans="1:8" ht="40.5" customHeight="1" x14ac:dyDescent="0.2">
      <c r="A513" s="582" t="s">
        <v>4042</v>
      </c>
      <c r="B513" s="583" t="s">
        <v>4043</v>
      </c>
      <c r="C513" s="583"/>
      <c r="D513" s="582" t="s">
        <v>4044</v>
      </c>
      <c r="E513" s="584" t="s">
        <v>1161</v>
      </c>
      <c r="F513" s="585">
        <v>153.66</v>
      </c>
      <c r="G513" s="831">
        <f t="shared" si="39"/>
        <v>153.66</v>
      </c>
      <c r="H513" s="585">
        <f t="shared" si="40"/>
        <v>191.01</v>
      </c>
    </row>
    <row r="514" spans="1:8" ht="40.5" customHeight="1" x14ac:dyDescent="0.2">
      <c r="A514" s="582" t="s">
        <v>4045</v>
      </c>
      <c r="B514" s="583" t="s">
        <v>4046</v>
      </c>
      <c r="C514" s="583"/>
      <c r="D514" s="582" t="s">
        <v>4047</v>
      </c>
      <c r="E514" s="584" t="s">
        <v>1161</v>
      </c>
      <c r="F514" s="585">
        <v>153.66</v>
      </c>
      <c r="G514" s="831">
        <f t="shared" si="39"/>
        <v>153.66</v>
      </c>
      <c r="H514" s="585">
        <f t="shared" si="40"/>
        <v>191.01</v>
      </c>
    </row>
    <row r="515" spans="1:8" ht="40.5" customHeight="1" x14ac:dyDescent="0.2">
      <c r="A515" s="582" t="s">
        <v>4048</v>
      </c>
      <c r="B515" s="583" t="s">
        <v>4049</v>
      </c>
      <c r="C515" s="583"/>
      <c r="D515" s="582" t="s">
        <v>4050</v>
      </c>
      <c r="E515" s="584" t="s">
        <v>1161</v>
      </c>
      <c r="F515" s="585">
        <v>153.66</v>
      </c>
      <c r="G515" s="831">
        <f t="shared" si="39"/>
        <v>153.66</v>
      </c>
      <c r="H515" s="585">
        <f t="shared" si="40"/>
        <v>191.01</v>
      </c>
    </row>
    <row r="516" spans="1:8" ht="40.5" customHeight="1" x14ac:dyDescent="0.2">
      <c r="A516" s="582" t="s">
        <v>4051</v>
      </c>
      <c r="B516" s="583" t="s">
        <v>4052</v>
      </c>
      <c r="C516" s="583"/>
      <c r="D516" s="582" t="s">
        <v>4053</v>
      </c>
      <c r="E516" s="584" t="s">
        <v>1161</v>
      </c>
      <c r="F516" s="585">
        <v>576.41</v>
      </c>
      <c r="G516" s="831">
        <f t="shared" si="39"/>
        <v>576.41</v>
      </c>
      <c r="H516" s="585">
        <f t="shared" si="40"/>
        <v>716.53</v>
      </c>
    </row>
    <row r="517" spans="1:8" ht="40.5" customHeight="1" x14ac:dyDescent="0.2">
      <c r="A517" s="582" t="s">
        <v>4054</v>
      </c>
      <c r="B517" s="583" t="s">
        <v>4055</v>
      </c>
      <c r="C517" s="583"/>
      <c r="D517" s="582" t="s">
        <v>4056</v>
      </c>
      <c r="E517" s="584" t="s">
        <v>1161</v>
      </c>
      <c r="F517" s="585">
        <v>635.36</v>
      </c>
      <c r="G517" s="831">
        <f t="shared" si="39"/>
        <v>635.36</v>
      </c>
      <c r="H517" s="585">
        <f t="shared" si="40"/>
        <v>789.81</v>
      </c>
    </row>
    <row r="518" spans="1:8" ht="40.5" customHeight="1" x14ac:dyDescent="0.2">
      <c r="A518" s="840" t="s">
        <v>2801</v>
      </c>
      <c r="B518" s="846"/>
      <c r="C518" s="846"/>
      <c r="D518" s="842" t="s">
        <v>2802</v>
      </c>
      <c r="E518" s="847"/>
      <c r="F518" s="844"/>
      <c r="G518" s="844"/>
      <c r="H518" s="845"/>
    </row>
    <row r="519" spans="1:8" ht="40.5" customHeight="1" x14ac:dyDescent="0.2">
      <c r="A519" s="827" t="s">
        <v>4057</v>
      </c>
      <c r="B519" s="828" t="s">
        <v>2577</v>
      </c>
      <c r="C519" s="828"/>
      <c r="D519" s="827" t="s">
        <v>4058</v>
      </c>
      <c r="E519" s="829" t="s">
        <v>1191</v>
      </c>
      <c r="F519" s="830">
        <v>80.97</v>
      </c>
      <c r="G519" s="831">
        <f t="shared" ref="G519:G525" si="41">(F519*($H$11))</f>
        <v>80.97</v>
      </c>
      <c r="H519" s="830">
        <f t="shared" ref="H519:H525" si="42">TRUNC((F519*($H$11))*(1+$H$8),2)</f>
        <v>100.65</v>
      </c>
    </row>
    <row r="520" spans="1:8" ht="40.5" customHeight="1" x14ac:dyDescent="0.2">
      <c r="A520" s="582" t="s">
        <v>4059</v>
      </c>
      <c r="B520" s="583" t="s">
        <v>4060</v>
      </c>
      <c r="C520" s="583"/>
      <c r="D520" s="582" t="s">
        <v>4061</v>
      </c>
      <c r="E520" s="584" t="s">
        <v>1191</v>
      </c>
      <c r="F520" s="585">
        <v>51.02</v>
      </c>
      <c r="G520" s="831">
        <f t="shared" si="41"/>
        <v>51.02</v>
      </c>
      <c r="H520" s="585">
        <f t="shared" si="42"/>
        <v>63.42</v>
      </c>
    </row>
    <row r="521" spans="1:8" ht="40.5" customHeight="1" x14ac:dyDescent="0.2">
      <c r="A521" s="582" t="s">
        <v>4062</v>
      </c>
      <c r="B521" s="583" t="s">
        <v>4063</v>
      </c>
      <c r="C521" s="583"/>
      <c r="D521" s="582" t="s">
        <v>4064</v>
      </c>
      <c r="E521" s="584" t="s">
        <v>1191</v>
      </c>
      <c r="F521" s="585">
        <v>83.24</v>
      </c>
      <c r="G521" s="831">
        <f t="shared" si="41"/>
        <v>83.24</v>
      </c>
      <c r="H521" s="585">
        <f t="shared" si="42"/>
        <v>103.47</v>
      </c>
    </row>
    <row r="522" spans="1:8" ht="40.5" customHeight="1" x14ac:dyDescent="0.2">
      <c r="A522" s="582" t="s">
        <v>4065</v>
      </c>
      <c r="B522" s="583" t="s">
        <v>4066</v>
      </c>
      <c r="C522" s="583"/>
      <c r="D522" s="582" t="s">
        <v>4067</v>
      </c>
      <c r="E522" s="584" t="s">
        <v>1191</v>
      </c>
      <c r="F522" s="585">
        <v>53.31</v>
      </c>
      <c r="G522" s="831">
        <f t="shared" si="41"/>
        <v>53.31</v>
      </c>
      <c r="H522" s="585">
        <f t="shared" si="42"/>
        <v>66.260000000000005</v>
      </c>
    </row>
    <row r="523" spans="1:8" ht="40.5" customHeight="1" x14ac:dyDescent="0.2">
      <c r="A523" s="582" t="s">
        <v>4068</v>
      </c>
      <c r="B523" s="583" t="s">
        <v>4069</v>
      </c>
      <c r="C523" s="583"/>
      <c r="D523" s="582" t="s">
        <v>4070</v>
      </c>
      <c r="E523" s="584" t="s">
        <v>1191</v>
      </c>
      <c r="F523" s="585">
        <v>55.48</v>
      </c>
      <c r="G523" s="831">
        <f t="shared" si="41"/>
        <v>55.48</v>
      </c>
      <c r="H523" s="585">
        <f t="shared" si="42"/>
        <v>68.959999999999994</v>
      </c>
    </row>
    <row r="524" spans="1:8" ht="40.5" customHeight="1" x14ac:dyDescent="0.2">
      <c r="A524" s="582" t="s">
        <v>4071</v>
      </c>
      <c r="B524" s="583" t="s">
        <v>4072</v>
      </c>
      <c r="C524" s="583"/>
      <c r="D524" s="582" t="s">
        <v>4073</v>
      </c>
      <c r="E524" s="584" t="s">
        <v>1191</v>
      </c>
      <c r="F524" s="585">
        <v>27.58</v>
      </c>
      <c r="G524" s="831">
        <f t="shared" si="41"/>
        <v>27.58</v>
      </c>
      <c r="H524" s="585">
        <f t="shared" si="42"/>
        <v>34.28</v>
      </c>
    </row>
    <row r="525" spans="1:8" ht="40.5" customHeight="1" x14ac:dyDescent="0.2">
      <c r="A525" s="582" t="s">
        <v>4074</v>
      </c>
      <c r="B525" s="583" t="s">
        <v>4075</v>
      </c>
      <c r="C525" s="583"/>
      <c r="D525" s="582" t="s">
        <v>4076</v>
      </c>
      <c r="E525" s="584" t="s">
        <v>1191</v>
      </c>
      <c r="F525" s="585">
        <v>6.43</v>
      </c>
      <c r="G525" s="831">
        <f t="shared" si="41"/>
        <v>6.43</v>
      </c>
      <c r="H525" s="585">
        <f t="shared" si="42"/>
        <v>7.99</v>
      </c>
    </row>
    <row r="526" spans="1:8" ht="40.5" customHeight="1" x14ac:dyDescent="0.2">
      <c r="A526" s="840" t="s">
        <v>2803</v>
      </c>
      <c r="B526" s="846"/>
      <c r="C526" s="846"/>
      <c r="D526" s="842" t="s">
        <v>2804</v>
      </c>
      <c r="E526" s="847"/>
      <c r="F526" s="844"/>
      <c r="G526" s="844"/>
      <c r="H526" s="845"/>
    </row>
    <row r="527" spans="1:8" ht="40.5" customHeight="1" x14ac:dyDescent="0.2">
      <c r="A527" s="827" t="s">
        <v>4077</v>
      </c>
      <c r="B527" s="828" t="s">
        <v>4078</v>
      </c>
      <c r="C527" s="828"/>
      <c r="D527" s="827" t="s">
        <v>4079</v>
      </c>
      <c r="E527" s="829" t="s">
        <v>1161</v>
      </c>
      <c r="F527" s="830">
        <v>344.12</v>
      </c>
      <c r="G527" s="831">
        <f t="shared" ref="G527:G545" si="43">(F527*($H$11))</f>
        <v>344.12</v>
      </c>
      <c r="H527" s="830">
        <f t="shared" ref="H527:H545" si="44">TRUNC((F527*($H$11))*(1+$H$8),2)</f>
        <v>427.77</v>
      </c>
    </row>
    <row r="528" spans="1:8" ht="40.5" customHeight="1" x14ac:dyDescent="0.2">
      <c r="A528" s="582" t="s">
        <v>4080</v>
      </c>
      <c r="B528" s="583" t="s">
        <v>4081</v>
      </c>
      <c r="C528" s="583"/>
      <c r="D528" s="582" t="s">
        <v>4082</v>
      </c>
      <c r="E528" s="584" t="s">
        <v>1191</v>
      </c>
      <c r="F528" s="585">
        <v>152.13</v>
      </c>
      <c r="G528" s="831">
        <f t="shared" si="43"/>
        <v>152.13</v>
      </c>
      <c r="H528" s="585">
        <f t="shared" si="44"/>
        <v>189.11</v>
      </c>
    </row>
    <row r="529" spans="1:8" ht="40.5" customHeight="1" x14ac:dyDescent="0.2">
      <c r="A529" s="582" t="s">
        <v>4083</v>
      </c>
      <c r="B529" s="583" t="s">
        <v>4084</v>
      </c>
      <c r="C529" s="583"/>
      <c r="D529" s="582" t="s">
        <v>4085</v>
      </c>
      <c r="E529" s="584" t="s">
        <v>1161</v>
      </c>
      <c r="F529" s="585">
        <v>682.9</v>
      </c>
      <c r="G529" s="831">
        <f t="shared" si="43"/>
        <v>682.9</v>
      </c>
      <c r="H529" s="585">
        <f t="shared" si="44"/>
        <v>848.91</v>
      </c>
    </row>
    <row r="530" spans="1:8" ht="40.5" customHeight="1" x14ac:dyDescent="0.2">
      <c r="A530" s="582" t="s">
        <v>4086</v>
      </c>
      <c r="B530" s="583" t="s">
        <v>4087</v>
      </c>
      <c r="C530" s="583"/>
      <c r="D530" s="582" t="s">
        <v>4088</v>
      </c>
      <c r="E530" s="584" t="s">
        <v>1161</v>
      </c>
      <c r="F530" s="585">
        <v>999.68</v>
      </c>
      <c r="G530" s="831">
        <f t="shared" si="43"/>
        <v>999.68</v>
      </c>
      <c r="H530" s="585">
        <f t="shared" si="44"/>
        <v>1242.7</v>
      </c>
    </row>
    <row r="531" spans="1:8" ht="40.5" customHeight="1" x14ac:dyDescent="0.2">
      <c r="A531" s="582" t="s">
        <v>4089</v>
      </c>
      <c r="B531" s="586" t="s">
        <v>4090</v>
      </c>
      <c r="C531" s="586"/>
      <c r="D531" s="582" t="s">
        <v>4091</v>
      </c>
      <c r="E531" s="587" t="s">
        <v>1161</v>
      </c>
      <c r="F531" s="585">
        <v>1063.01</v>
      </c>
      <c r="G531" s="831">
        <f t="shared" si="43"/>
        <v>1063.01</v>
      </c>
      <c r="H531" s="585">
        <f t="shared" si="44"/>
        <v>1321.42</v>
      </c>
    </row>
    <row r="532" spans="1:8" ht="40.5" customHeight="1" x14ac:dyDescent="0.2">
      <c r="A532" s="582" t="s">
        <v>4092</v>
      </c>
      <c r="B532" s="583">
        <v>98671</v>
      </c>
      <c r="C532" s="583"/>
      <c r="D532" s="582" t="s">
        <v>4093</v>
      </c>
      <c r="E532" s="584" t="s">
        <v>1161</v>
      </c>
      <c r="F532" s="585">
        <v>344.12</v>
      </c>
      <c r="G532" s="831">
        <f t="shared" si="43"/>
        <v>344.12</v>
      </c>
      <c r="H532" s="585">
        <f t="shared" si="44"/>
        <v>427.77</v>
      </c>
    </row>
    <row r="533" spans="1:8" ht="40.5" customHeight="1" x14ac:dyDescent="0.2">
      <c r="A533" s="582" t="s">
        <v>4094</v>
      </c>
      <c r="B533" s="583" t="s">
        <v>4095</v>
      </c>
      <c r="C533" s="583"/>
      <c r="D533" s="582" t="s">
        <v>4096</v>
      </c>
      <c r="E533" s="584" t="s">
        <v>1161</v>
      </c>
      <c r="F533" s="585">
        <v>465.43</v>
      </c>
      <c r="G533" s="831">
        <f t="shared" si="43"/>
        <v>465.43</v>
      </c>
      <c r="H533" s="585">
        <f t="shared" si="44"/>
        <v>578.57000000000005</v>
      </c>
    </row>
    <row r="534" spans="1:8" ht="40.5" customHeight="1" x14ac:dyDescent="0.2">
      <c r="A534" s="582" t="s">
        <v>4097</v>
      </c>
      <c r="B534" s="583" t="s">
        <v>4098</v>
      </c>
      <c r="C534" s="583"/>
      <c r="D534" s="582" t="s">
        <v>4099</v>
      </c>
      <c r="E534" s="584" t="s">
        <v>1161</v>
      </c>
      <c r="F534" s="585">
        <v>419.93</v>
      </c>
      <c r="G534" s="831">
        <f t="shared" si="43"/>
        <v>419.93</v>
      </c>
      <c r="H534" s="585">
        <f t="shared" si="44"/>
        <v>522.01</v>
      </c>
    </row>
    <row r="535" spans="1:8" ht="40.5" customHeight="1" x14ac:dyDescent="0.2">
      <c r="A535" s="582" t="s">
        <v>4100</v>
      </c>
      <c r="B535" s="583" t="s">
        <v>4101</v>
      </c>
      <c r="C535" s="583"/>
      <c r="D535" s="582" t="s">
        <v>4102</v>
      </c>
      <c r="E535" s="584" t="s">
        <v>1161</v>
      </c>
      <c r="F535" s="585">
        <v>539.22</v>
      </c>
      <c r="G535" s="831">
        <f t="shared" si="43"/>
        <v>539.22</v>
      </c>
      <c r="H535" s="585">
        <f t="shared" si="44"/>
        <v>670.3</v>
      </c>
    </row>
    <row r="536" spans="1:8" ht="40.5" customHeight="1" x14ac:dyDescent="0.2">
      <c r="A536" s="582" t="s">
        <v>4103</v>
      </c>
      <c r="B536" s="583" t="s">
        <v>4104</v>
      </c>
      <c r="C536" s="583"/>
      <c r="D536" s="582" t="s">
        <v>4105</v>
      </c>
      <c r="E536" s="584" t="s">
        <v>1161</v>
      </c>
      <c r="F536" s="585">
        <v>357.69</v>
      </c>
      <c r="G536" s="831">
        <f t="shared" si="43"/>
        <v>357.69</v>
      </c>
      <c r="H536" s="585">
        <f t="shared" si="44"/>
        <v>444.64</v>
      </c>
    </row>
    <row r="537" spans="1:8" ht="40.5" customHeight="1" x14ac:dyDescent="0.2">
      <c r="A537" s="582" t="s">
        <v>4106</v>
      </c>
      <c r="B537" s="583" t="s">
        <v>4107</v>
      </c>
      <c r="C537" s="583"/>
      <c r="D537" s="582" t="s">
        <v>4108</v>
      </c>
      <c r="E537" s="584" t="s">
        <v>1161</v>
      </c>
      <c r="F537" s="585">
        <v>344.12</v>
      </c>
      <c r="G537" s="831">
        <f t="shared" si="43"/>
        <v>344.12</v>
      </c>
      <c r="H537" s="585">
        <f t="shared" si="44"/>
        <v>427.77</v>
      </c>
    </row>
    <row r="538" spans="1:8" ht="40.5" customHeight="1" x14ac:dyDescent="0.2">
      <c r="A538" s="582" t="s">
        <v>4109</v>
      </c>
      <c r="B538" s="583" t="s">
        <v>4110</v>
      </c>
      <c r="C538" s="583"/>
      <c r="D538" s="582" t="s">
        <v>4111</v>
      </c>
      <c r="E538" s="584" t="s">
        <v>1161</v>
      </c>
      <c r="F538" s="585">
        <v>1288.01</v>
      </c>
      <c r="G538" s="831">
        <f t="shared" si="43"/>
        <v>1288.01</v>
      </c>
      <c r="H538" s="585">
        <f t="shared" si="44"/>
        <v>1601.12</v>
      </c>
    </row>
    <row r="539" spans="1:8" ht="40.5" customHeight="1" x14ac:dyDescent="0.2">
      <c r="A539" s="582" t="s">
        <v>4112</v>
      </c>
      <c r="B539" s="583" t="s">
        <v>4113</v>
      </c>
      <c r="C539" s="583"/>
      <c r="D539" s="582" t="s">
        <v>4114</v>
      </c>
      <c r="E539" s="584" t="s">
        <v>1161</v>
      </c>
      <c r="F539" s="585">
        <v>1197.82</v>
      </c>
      <c r="G539" s="831">
        <f t="shared" si="43"/>
        <v>1197.82</v>
      </c>
      <c r="H539" s="585">
        <f t="shared" si="44"/>
        <v>1489.01</v>
      </c>
    </row>
    <row r="540" spans="1:8" ht="40.5" customHeight="1" x14ac:dyDescent="0.2">
      <c r="A540" s="582" t="s">
        <v>4115</v>
      </c>
      <c r="B540" s="583" t="s">
        <v>4116</v>
      </c>
      <c r="C540" s="583"/>
      <c r="D540" s="582" t="s">
        <v>4117</v>
      </c>
      <c r="E540" s="584" t="s">
        <v>1161</v>
      </c>
      <c r="F540" s="585">
        <v>1162.24</v>
      </c>
      <c r="G540" s="831">
        <f t="shared" si="43"/>
        <v>1162.24</v>
      </c>
      <c r="H540" s="585">
        <f t="shared" si="44"/>
        <v>1444.78</v>
      </c>
    </row>
    <row r="541" spans="1:8" ht="40.5" customHeight="1" x14ac:dyDescent="0.2">
      <c r="A541" s="582" t="s">
        <v>4118</v>
      </c>
      <c r="B541" s="583" t="s">
        <v>4119</v>
      </c>
      <c r="C541" s="583"/>
      <c r="D541" s="582" t="s">
        <v>4120</v>
      </c>
      <c r="E541" s="584" t="s">
        <v>1161</v>
      </c>
      <c r="F541" s="585">
        <v>952.41</v>
      </c>
      <c r="G541" s="831">
        <f t="shared" si="43"/>
        <v>952.41</v>
      </c>
      <c r="H541" s="585">
        <f t="shared" si="44"/>
        <v>1183.94</v>
      </c>
    </row>
    <row r="542" spans="1:8" ht="40.5" customHeight="1" x14ac:dyDescent="0.2">
      <c r="A542" s="582" t="s">
        <v>4121</v>
      </c>
      <c r="B542" s="583" t="s">
        <v>4122</v>
      </c>
      <c r="C542" s="583"/>
      <c r="D542" s="582" t="s">
        <v>4123</v>
      </c>
      <c r="E542" s="584" t="s">
        <v>1161</v>
      </c>
      <c r="F542" s="585">
        <v>1288.01</v>
      </c>
      <c r="G542" s="831">
        <f t="shared" si="43"/>
        <v>1288.01</v>
      </c>
      <c r="H542" s="585">
        <f t="shared" si="44"/>
        <v>1601.12</v>
      </c>
    </row>
    <row r="543" spans="1:8" ht="40.5" customHeight="1" x14ac:dyDescent="0.2">
      <c r="A543" s="582" t="s">
        <v>4124</v>
      </c>
      <c r="B543" s="583" t="s">
        <v>4125</v>
      </c>
      <c r="C543" s="583"/>
      <c r="D543" s="582" t="s">
        <v>4126</v>
      </c>
      <c r="E543" s="584" t="s">
        <v>1161</v>
      </c>
      <c r="F543" s="585">
        <v>952.41</v>
      </c>
      <c r="G543" s="831">
        <f t="shared" si="43"/>
        <v>952.41</v>
      </c>
      <c r="H543" s="585">
        <f t="shared" si="44"/>
        <v>1183.94</v>
      </c>
    </row>
    <row r="544" spans="1:8" ht="40.5" customHeight="1" x14ac:dyDescent="0.2">
      <c r="A544" s="582" t="s">
        <v>4127</v>
      </c>
      <c r="B544" s="583">
        <v>102253</v>
      </c>
      <c r="C544" s="583"/>
      <c r="D544" s="582" t="s">
        <v>4128</v>
      </c>
      <c r="E544" s="584" t="s">
        <v>1161</v>
      </c>
      <c r="F544" s="585">
        <v>684.99</v>
      </c>
      <c r="G544" s="831">
        <f t="shared" si="43"/>
        <v>684.99</v>
      </c>
      <c r="H544" s="585">
        <f t="shared" si="44"/>
        <v>851.51</v>
      </c>
    </row>
    <row r="545" spans="1:8" ht="40.5" customHeight="1" x14ac:dyDescent="0.2">
      <c r="A545" s="582" t="s">
        <v>4129</v>
      </c>
      <c r="B545" s="583">
        <v>102255</v>
      </c>
      <c r="C545" s="583"/>
      <c r="D545" s="582" t="s">
        <v>4130</v>
      </c>
      <c r="E545" s="584" t="s">
        <v>1161</v>
      </c>
      <c r="F545" s="585">
        <v>742.95</v>
      </c>
      <c r="G545" s="831">
        <f t="shared" si="43"/>
        <v>742.95</v>
      </c>
      <c r="H545" s="585">
        <f t="shared" si="44"/>
        <v>923.56</v>
      </c>
    </row>
    <row r="546" spans="1:8" ht="40.5" customHeight="1" x14ac:dyDescent="0.2">
      <c r="A546" s="840" t="s">
        <v>2805</v>
      </c>
      <c r="B546" s="846"/>
      <c r="C546" s="846"/>
      <c r="D546" s="842" t="s">
        <v>2806</v>
      </c>
      <c r="E546" s="847"/>
      <c r="F546" s="844"/>
      <c r="G546" s="844"/>
      <c r="H546" s="845"/>
    </row>
    <row r="547" spans="1:8" ht="40.5" customHeight="1" x14ac:dyDescent="0.2">
      <c r="A547" s="827" t="s">
        <v>4131</v>
      </c>
      <c r="B547" s="828" t="s">
        <v>4132</v>
      </c>
      <c r="C547" s="828"/>
      <c r="D547" s="827" t="s">
        <v>4133</v>
      </c>
      <c r="E547" s="829" t="s">
        <v>1161</v>
      </c>
      <c r="F547" s="830">
        <v>20.96</v>
      </c>
      <c r="G547" s="831">
        <f t="shared" ref="G547:G562" si="45">(F547*($H$11))</f>
        <v>20.96</v>
      </c>
      <c r="H547" s="830">
        <f t="shared" ref="H547:H562" si="46">TRUNC((F547*($H$11))*(1+$H$8),2)</f>
        <v>26.05</v>
      </c>
    </row>
    <row r="548" spans="1:8" ht="40.5" customHeight="1" x14ac:dyDescent="0.2">
      <c r="A548" s="582" t="s">
        <v>4134</v>
      </c>
      <c r="B548" s="586" t="s">
        <v>4135</v>
      </c>
      <c r="C548" s="586"/>
      <c r="D548" s="582" t="s">
        <v>4136</v>
      </c>
      <c r="E548" s="587" t="s">
        <v>1161</v>
      </c>
      <c r="F548" s="585">
        <v>26.49</v>
      </c>
      <c r="G548" s="831">
        <f t="shared" si="45"/>
        <v>26.49</v>
      </c>
      <c r="H548" s="585">
        <f t="shared" si="46"/>
        <v>32.92</v>
      </c>
    </row>
    <row r="549" spans="1:8" ht="40.5" customHeight="1" x14ac:dyDescent="0.2">
      <c r="A549" s="582" t="s">
        <v>4137</v>
      </c>
      <c r="B549" s="583" t="s">
        <v>4138</v>
      </c>
      <c r="C549" s="583"/>
      <c r="D549" s="582" t="s">
        <v>4139</v>
      </c>
      <c r="E549" s="584" t="s">
        <v>1161</v>
      </c>
      <c r="F549" s="585">
        <v>24.24</v>
      </c>
      <c r="G549" s="831">
        <f t="shared" si="45"/>
        <v>24.24</v>
      </c>
      <c r="H549" s="585">
        <f t="shared" si="46"/>
        <v>30.13</v>
      </c>
    </row>
    <row r="550" spans="1:8" ht="40.5" customHeight="1" x14ac:dyDescent="0.2">
      <c r="A550" s="582" t="s">
        <v>4140</v>
      </c>
      <c r="B550" s="583" t="s">
        <v>4141</v>
      </c>
      <c r="C550" s="583"/>
      <c r="D550" s="582" t="s">
        <v>4142</v>
      </c>
      <c r="E550" s="584" t="s">
        <v>1161</v>
      </c>
      <c r="F550" s="585">
        <v>46.01</v>
      </c>
      <c r="G550" s="831">
        <f t="shared" si="45"/>
        <v>46.01</v>
      </c>
      <c r="H550" s="585">
        <f t="shared" si="46"/>
        <v>57.19</v>
      </c>
    </row>
    <row r="551" spans="1:8" ht="40.5" customHeight="1" x14ac:dyDescent="0.2">
      <c r="A551" s="582" t="s">
        <v>4143</v>
      </c>
      <c r="B551" s="583" t="s">
        <v>4144</v>
      </c>
      <c r="C551" s="583"/>
      <c r="D551" s="582" t="s">
        <v>4145</v>
      </c>
      <c r="E551" s="584" t="s">
        <v>1161</v>
      </c>
      <c r="F551" s="585">
        <v>90.61</v>
      </c>
      <c r="G551" s="831">
        <f t="shared" si="45"/>
        <v>90.61</v>
      </c>
      <c r="H551" s="585">
        <f t="shared" si="46"/>
        <v>112.63</v>
      </c>
    </row>
    <row r="552" spans="1:8" ht="40.5" customHeight="1" x14ac:dyDescent="0.2">
      <c r="A552" s="582" t="s">
        <v>4146</v>
      </c>
      <c r="B552" s="583" t="s">
        <v>4147</v>
      </c>
      <c r="C552" s="583"/>
      <c r="D552" s="582" t="s">
        <v>4148</v>
      </c>
      <c r="E552" s="584" t="s">
        <v>1161</v>
      </c>
      <c r="F552" s="585">
        <v>29.86</v>
      </c>
      <c r="G552" s="831">
        <f t="shared" si="45"/>
        <v>29.86</v>
      </c>
      <c r="H552" s="585">
        <f t="shared" si="46"/>
        <v>37.11</v>
      </c>
    </row>
    <row r="553" spans="1:8" ht="40.5" customHeight="1" x14ac:dyDescent="0.2">
      <c r="A553" s="582" t="s">
        <v>4149</v>
      </c>
      <c r="B553" s="583" t="s">
        <v>4150</v>
      </c>
      <c r="C553" s="583"/>
      <c r="D553" s="582" t="s">
        <v>4151</v>
      </c>
      <c r="E553" s="584" t="s">
        <v>1161</v>
      </c>
      <c r="F553" s="585">
        <v>4.99</v>
      </c>
      <c r="G553" s="831">
        <f t="shared" si="45"/>
        <v>4.99</v>
      </c>
      <c r="H553" s="585">
        <f t="shared" si="46"/>
        <v>6.2</v>
      </c>
    </row>
    <row r="554" spans="1:8" ht="40.5" customHeight="1" x14ac:dyDescent="0.2">
      <c r="A554" s="582" t="s">
        <v>4152</v>
      </c>
      <c r="B554" s="583" t="s">
        <v>4153</v>
      </c>
      <c r="C554" s="583"/>
      <c r="D554" s="582" t="s">
        <v>4154</v>
      </c>
      <c r="E554" s="584" t="s">
        <v>1161</v>
      </c>
      <c r="F554" s="585">
        <v>5.01</v>
      </c>
      <c r="G554" s="831">
        <f t="shared" si="45"/>
        <v>5.01</v>
      </c>
      <c r="H554" s="585">
        <f t="shared" si="46"/>
        <v>6.22</v>
      </c>
    </row>
    <row r="555" spans="1:8" ht="40.5" customHeight="1" x14ac:dyDescent="0.2">
      <c r="A555" s="582" t="s">
        <v>4155</v>
      </c>
      <c r="B555" s="583" t="s">
        <v>4156</v>
      </c>
      <c r="C555" s="583"/>
      <c r="D555" s="582" t="s">
        <v>4157</v>
      </c>
      <c r="E555" s="584" t="s">
        <v>1161</v>
      </c>
      <c r="F555" s="585">
        <v>7.7</v>
      </c>
      <c r="G555" s="831">
        <f t="shared" si="45"/>
        <v>7.7</v>
      </c>
      <c r="H555" s="585">
        <f t="shared" si="46"/>
        <v>9.57</v>
      </c>
    </row>
    <row r="556" spans="1:8" ht="40.5" customHeight="1" x14ac:dyDescent="0.2">
      <c r="A556" s="582" t="s">
        <v>4158</v>
      </c>
      <c r="B556" s="583" t="s">
        <v>4159</v>
      </c>
      <c r="C556" s="583"/>
      <c r="D556" s="582" t="s">
        <v>4160</v>
      </c>
      <c r="E556" s="584" t="s">
        <v>1161</v>
      </c>
      <c r="F556" s="585">
        <v>19.11</v>
      </c>
      <c r="G556" s="831">
        <f t="shared" si="45"/>
        <v>19.11</v>
      </c>
      <c r="H556" s="585">
        <f t="shared" si="46"/>
        <v>23.75</v>
      </c>
    </row>
    <row r="557" spans="1:8" ht="40.5" customHeight="1" x14ac:dyDescent="0.2">
      <c r="A557" s="582" t="s">
        <v>4161</v>
      </c>
      <c r="B557" s="583" t="s">
        <v>4162</v>
      </c>
      <c r="C557" s="583"/>
      <c r="D557" s="582" t="s">
        <v>4163</v>
      </c>
      <c r="E557" s="584" t="s">
        <v>1161</v>
      </c>
      <c r="F557" s="585">
        <v>37.159999999999997</v>
      </c>
      <c r="G557" s="831">
        <f t="shared" si="45"/>
        <v>37.159999999999997</v>
      </c>
      <c r="H557" s="585">
        <f t="shared" si="46"/>
        <v>46.19</v>
      </c>
    </row>
    <row r="558" spans="1:8" ht="40.5" customHeight="1" x14ac:dyDescent="0.2">
      <c r="A558" s="582" t="s">
        <v>4164</v>
      </c>
      <c r="B558" s="583" t="s">
        <v>4165</v>
      </c>
      <c r="C558" s="583"/>
      <c r="D558" s="582" t="s">
        <v>4166</v>
      </c>
      <c r="E558" s="584" t="s">
        <v>1161</v>
      </c>
      <c r="F558" s="585">
        <v>15.49</v>
      </c>
      <c r="G558" s="831">
        <f t="shared" si="45"/>
        <v>15.49</v>
      </c>
      <c r="H558" s="585">
        <f t="shared" si="46"/>
        <v>19.25</v>
      </c>
    </row>
    <row r="559" spans="1:8" ht="40.5" customHeight="1" x14ac:dyDescent="0.2">
      <c r="A559" s="582" t="s">
        <v>4167</v>
      </c>
      <c r="B559" s="583" t="s">
        <v>4168</v>
      </c>
      <c r="C559" s="583"/>
      <c r="D559" s="582" t="s">
        <v>4169</v>
      </c>
      <c r="E559" s="584" t="s">
        <v>1161</v>
      </c>
      <c r="F559" s="585">
        <v>11.66</v>
      </c>
      <c r="G559" s="831">
        <f t="shared" si="45"/>
        <v>11.66</v>
      </c>
      <c r="H559" s="585">
        <f t="shared" si="46"/>
        <v>14.49</v>
      </c>
    </row>
    <row r="560" spans="1:8" ht="40.5" customHeight="1" x14ac:dyDescent="0.2">
      <c r="A560" s="582" t="s">
        <v>4170</v>
      </c>
      <c r="B560" s="583" t="s">
        <v>4171</v>
      </c>
      <c r="C560" s="583"/>
      <c r="D560" s="582" t="s">
        <v>4172</v>
      </c>
      <c r="E560" s="584" t="s">
        <v>1161</v>
      </c>
      <c r="F560" s="585">
        <v>28.36</v>
      </c>
      <c r="G560" s="831">
        <f t="shared" si="45"/>
        <v>28.36</v>
      </c>
      <c r="H560" s="585">
        <f t="shared" si="46"/>
        <v>35.25</v>
      </c>
    </row>
    <row r="561" spans="1:8" ht="40.5" customHeight="1" x14ac:dyDescent="0.2">
      <c r="A561" s="582" t="s">
        <v>4173</v>
      </c>
      <c r="B561" s="583" t="s">
        <v>4174</v>
      </c>
      <c r="C561" s="583"/>
      <c r="D561" s="582" t="s">
        <v>4175</v>
      </c>
      <c r="E561" s="584" t="s">
        <v>1161</v>
      </c>
      <c r="F561" s="585">
        <v>78.540000000000006</v>
      </c>
      <c r="G561" s="831">
        <f t="shared" si="45"/>
        <v>78.540000000000006</v>
      </c>
      <c r="H561" s="585">
        <f t="shared" si="46"/>
        <v>97.63</v>
      </c>
    </row>
    <row r="562" spans="1:8" ht="40.5" customHeight="1" x14ac:dyDescent="0.2">
      <c r="A562" s="582" t="s">
        <v>4176</v>
      </c>
      <c r="B562" s="583">
        <v>102489</v>
      </c>
      <c r="C562" s="583"/>
      <c r="D562" s="582" t="s">
        <v>4177</v>
      </c>
      <c r="E562" s="584" t="s">
        <v>1161</v>
      </c>
      <c r="F562" s="585">
        <v>27.88</v>
      </c>
      <c r="G562" s="831">
        <f t="shared" si="45"/>
        <v>27.88</v>
      </c>
      <c r="H562" s="585">
        <f t="shared" si="46"/>
        <v>34.65</v>
      </c>
    </row>
    <row r="563" spans="1:8" ht="40.5" customHeight="1" x14ac:dyDescent="0.2">
      <c r="A563" s="840" t="s">
        <v>2807</v>
      </c>
      <c r="B563" s="846"/>
      <c r="C563" s="846"/>
      <c r="D563" s="842" t="s">
        <v>2808</v>
      </c>
      <c r="E563" s="847"/>
      <c r="F563" s="844"/>
      <c r="G563" s="844"/>
      <c r="H563" s="845"/>
    </row>
    <row r="564" spans="1:8" ht="40.5" customHeight="1" x14ac:dyDescent="0.2">
      <c r="A564" s="827" t="s">
        <v>4178</v>
      </c>
      <c r="B564" s="828" t="s">
        <v>4179</v>
      </c>
      <c r="C564" s="828"/>
      <c r="D564" s="827" t="s">
        <v>4180</v>
      </c>
      <c r="E564" s="829" t="s">
        <v>646</v>
      </c>
      <c r="F564" s="830">
        <v>1523.33</v>
      </c>
      <c r="G564" s="831">
        <f t="shared" ref="G564:G594" si="47">(F564*($H$11))</f>
        <v>1523.33</v>
      </c>
      <c r="H564" s="830">
        <f t="shared" ref="H564:H594" si="48">TRUNC((F564*($H$11))*(1+$H$8),2)</f>
        <v>1893.65</v>
      </c>
    </row>
    <row r="565" spans="1:8" ht="40.5" customHeight="1" x14ac:dyDescent="0.2">
      <c r="A565" s="582" t="s">
        <v>4181</v>
      </c>
      <c r="B565" s="583" t="s">
        <v>4182</v>
      </c>
      <c r="C565" s="583"/>
      <c r="D565" s="582" t="s">
        <v>4183</v>
      </c>
      <c r="E565" s="584" t="s">
        <v>646</v>
      </c>
      <c r="F565" s="585">
        <v>992.62</v>
      </c>
      <c r="G565" s="831">
        <f t="shared" si="47"/>
        <v>992.62</v>
      </c>
      <c r="H565" s="585">
        <f t="shared" si="48"/>
        <v>1233.92</v>
      </c>
    </row>
    <row r="566" spans="1:8" ht="40.5" customHeight="1" x14ac:dyDescent="0.2">
      <c r="A566" s="582" t="s">
        <v>4184</v>
      </c>
      <c r="B566" s="583" t="s">
        <v>4185</v>
      </c>
      <c r="C566" s="583"/>
      <c r="D566" s="582" t="s">
        <v>4186</v>
      </c>
      <c r="E566" s="584" t="s">
        <v>646</v>
      </c>
      <c r="F566" s="585">
        <v>179.82</v>
      </c>
      <c r="G566" s="831">
        <f t="shared" si="47"/>
        <v>179.82</v>
      </c>
      <c r="H566" s="585">
        <f t="shared" si="48"/>
        <v>223.53</v>
      </c>
    </row>
    <row r="567" spans="1:8" ht="40.5" customHeight="1" x14ac:dyDescent="0.2">
      <c r="A567" s="582" t="s">
        <v>4187</v>
      </c>
      <c r="B567" s="583" t="s">
        <v>4188</v>
      </c>
      <c r="C567" s="583"/>
      <c r="D567" s="582" t="s">
        <v>4189</v>
      </c>
      <c r="E567" s="584" t="s">
        <v>646</v>
      </c>
      <c r="F567" s="585">
        <v>73.7</v>
      </c>
      <c r="G567" s="831">
        <f t="shared" si="47"/>
        <v>73.7</v>
      </c>
      <c r="H567" s="585">
        <f t="shared" si="48"/>
        <v>91.61</v>
      </c>
    </row>
    <row r="568" spans="1:8" ht="40.5" customHeight="1" x14ac:dyDescent="0.2">
      <c r="A568" s="582" t="s">
        <v>4190</v>
      </c>
      <c r="B568" s="583" t="s">
        <v>4191</v>
      </c>
      <c r="C568" s="583"/>
      <c r="D568" s="582" t="s">
        <v>4192</v>
      </c>
      <c r="E568" s="584" t="s">
        <v>646</v>
      </c>
      <c r="F568" s="585">
        <v>1150.93</v>
      </c>
      <c r="G568" s="831">
        <f t="shared" si="47"/>
        <v>1150.93</v>
      </c>
      <c r="H568" s="585">
        <f t="shared" si="48"/>
        <v>1430.72</v>
      </c>
    </row>
    <row r="569" spans="1:8" ht="40.5" customHeight="1" x14ac:dyDescent="0.2">
      <c r="A569" s="582" t="s">
        <v>4193</v>
      </c>
      <c r="B569" s="583" t="s">
        <v>4194</v>
      </c>
      <c r="C569" s="583"/>
      <c r="D569" s="582" t="s">
        <v>4195</v>
      </c>
      <c r="E569" s="584" t="s">
        <v>646</v>
      </c>
      <c r="F569" s="585">
        <v>327.36</v>
      </c>
      <c r="G569" s="831">
        <f t="shared" si="47"/>
        <v>327.36</v>
      </c>
      <c r="H569" s="585">
        <f t="shared" si="48"/>
        <v>406.94</v>
      </c>
    </row>
    <row r="570" spans="1:8" ht="40.5" customHeight="1" x14ac:dyDescent="0.2">
      <c r="A570" s="582" t="s">
        <v>4196</v>
      </c>
      <c r="B570" s="583" t="s">
        <v>4197</v>
      </c>
      <c r="C570" s="583"/>
      <c r="D570" s="582" t="s">
        <v>4198</v>
      </c>
      <c r="E570" s="584" t="s">
        <v>646</v>
      </c>
      <c r="F570" s="585">
        <v>315.02999999999997</v>
      </c>
      <c r="G570" s="831">
        <f t="shared" si="47"/>
        <v>315.02999999999997</v>
      </c>
      <c r="H570" s="585">
        <f t="shared" si="48"/>
        <v>391.61</v>
      </c>
    </row>
    <row r="571" spans="1:8" ht="40.5" customHeight="1" x14ac:dyDescent="0.2">
      <c r="A571" s="582" t="s">
        <v>4199</v>
      </c>
      <c r="B571" s="583" t="s">
        <v>4200</v>
      </c>
      <c r="C571" s="583"/>
      <c r="D571" s="582" t="s">
        <v>4201</v>
      </c>
      <c r="E571" s="584" t="s">
        <v>646</v>
      </c>
      <c r="F571" s="585">
        <v>272.32</v>
      </c>
      <c r="G571" s="831">
        <f t="shared" si="47"/>
        <v>272.32</v>
      </c>
      <c r="H571" s="585">
        <f t="shared" si="48"/>
        <v>338.52</v>
      </c>
    </row>
    <row r="572" spans="1:8" ht="40.5" customHeight="1" x14ac:dyDescent="0.2">
      <c r="A572" s="582" t="s">
        <v>4202</v>
      </c>
      <c r="B572" s="583" t="s">
        <v>4203</v>
      </c>
      <c r="C572" s="583"/>
      <c r="D572" s="582" t="s">
        <v>4204</v>
      </c>
      <c r="E572" s="584" t="s">
        <v>646</v>
      </c>
      <c r="F572" s="585">
        <v>132.07</v>
      </c>
      <c r="G572" s="831">
        <f t="shared" si="47"/>
        <v>132.07</v>
      </c>
      <c r="H572" s="585">
        <f t="shared" si="48"/>
        <v>164.17</v>
      </c>
    </row>
    <row r="573" spans="1:8" ht="40.5" customHeight="1" x14ac:dyDescent="0.2">
      <c r="A573" s="582" t="s">
        <v>4205</v>
      </c>
      <c r="B573" s="583" t="s">
        <v>4206</v>
      </c>
      <c r="C573" s="583"/>
      <c r="D573" s="582" t="s">
        <v>4207</v>
      </c>
      <c r="E573" s="584" t="s">
        <v>646</v>
      </c>
      <c r="F573" s="585">
        <v>215.01</v>
      </c>
      <c r="G573" s="831">
        <f t="shared" si="47"/>
        <v>215.01</v>
      </c>
      <c r="H573" s="585">
        <f t="shared" si="48"/>
        <v>267.27</v>
      </c>
    </row>
    <row r="574" spans="1:8" ht="40.5" customHeight="1" x14ac:dyDescent="0.2">
      <c r="A574" s="582" t="s">
        <v>4208</v>
      </c>
      <c r="B574" s="583" t="s">
        <v>4209</v>
      </c>
      <c r="C574" s="583"/>
      <c r="D574" s="582" t="s">
        <v>4210</v>
      </c>
      <c r="E574" s="584" t="s">
        <v>646</v>
      </c>
      <c r="F574" s="585">
        <v>513.26</v>
      </c>
      <c r="G574" s="831">
        <f t="shared" si="47"/>
        <v>513.26</v>
      </c>
      <c r="H574" s="585">
        <f t="shared" si="48"/>
        <v>638.03</v>
      </c>
    </row>
    <row r="575" spans="1:8" ht="40.5" customHeight="1" x14ac:dyDescent="0.2">
      <c r="A575" s="582" t="s">
        <v>4211</v>
      </c>
      <c r="B575" s="583" t="s">
        <v>4212</v>
      </c>
      <c r="C575" s="583"/>
      <c r="D575" s="582" t="s">
        <v>4213</v>
      </c>
      <c r="E575" s="584" t="s">
        <v>646</v>
      </c>
      <c r="F575" s="585">
        <v>579.6</v>
      </c>
      <c r="G575" s="831">
        <f t="shared" si="47"/>
        <v>579.6</v>
      </c>
      <c r="H575" s="585">
        <f t="shared" si="48"/>
        <v>720.5</v>
      </c>
    </row>
    <row r="576" spans="1:8" ht="40.5" customHeight="1" x14ac:dyDescent="0.2">
      <c r="A576" s="582" t="s">
        <v>4214</v>
      </c>
      <c r="B576" s="583" t="s">
        <v>4215</v>
      </c>
      <c r="C576" s="583"/>
      <c r="D576" s="582" t="s">
        <v>4216</v>
      </c>
      <c r="E576" s="584" t="s">
        <v>646</v>
      </c>
      <c r="F576" s="585">
        <v>1104.76</v>
      </c>
      <c r="G576" s="831">
        <f t="shared" si="47"/>
        <v>1104.76</v>
      </c>
      <c r="H576" s="585">
        <f t="shared" si="48"/>
        <v>1373.32</v>
      </c>
    </row>
    <row r="577" spans="1:8" ht="40.5" customHeight="1" x14ac:dyDescent="0.2">
      <c r="A577" s="582" t="s">
        <v>4217</v>
      </c>
      <c r="B577" s="583" t="s">
        <v>4218</v>
      </c>
      <c r="C577" s="583"/>
      <c r="D577" s="582" t="s">
        <v>4219</v>
      </c>
      <c r="E577" s="584" t="s">
        <v>646</v>
      </c>
      <c r="F577" s="585">
        <v>1044.4100000000001</v>
      </c>
      <c r="G577" s="831">
        <f t="shared" si="47"/>
        <v>1044.4100000000001</v>
      </c>
      <c r="H577" s="585">
        <f t="shared" si="48"/>
        <v>1298.3</v>
      </c>
    </row>
    <row r="578" spans="1:8" ht="40.5" customHeight="1" x14ac:dyDescent="0.2">
      <c r="A578" s="582" t="s">
        <v>4220</v>
      </c>
      <c r="B578" s="583" t="s">
        <v>4221</v>
      </c>
      <c r="C578" s="583"/>
      <c r="D578" s="582" t="s">
        <v>4222</v>
      </c>
      <c r="E578" s="584" t="s">
        <v>646</v>
      </c>
      <c r="F578" s="585">
        <v>222.78</v>
      </c>
      <c r="G578" s="831">
        <f t="shared" si="47"/>
        <v>222.78</v>
      </c>
      <c r="H578" s="585">
        <f t="shared" si="48"/>
        <v>276.93</v>
      </c>
    </row>
    <row r="579" spans="1:8" ht="40.5" customHeight="1" x14ac:dyDescent="0.2">
      <c r="A579" s="582" t="s">
        <v>4223</v>
      </c>
      <c r="B579" s="583" t="s">
        <v>4224</v>
      </c>
      <c r="C579" s="583"/>
      <c r="D579" s="582" t="s">
        <v>4225</v>
      </c>
      <c r="E579" s="584" t="s">
        <v>646</v>
      </c>
      <c r="F579" s="585">
        <v>1795.9</v>
      </c>
      <c r="G579" s="831">
        <f t="shared" si="47"/>
        <v>1795.9</v>
      </c>
      <c r="H579" s="585">
        <f t="shared" si="48"/>
        <v>2232.48</v>
      </c>
    </row>
    <row r="580" spans="1:8" ht="40.5" customHeight="1" x14ac:dyDescent="0.2">
      <c r="A580" s="582" t="s">
        <v>4226</v>
      </c>
      <c r="B580" s="586" t="s">
        <v>4227</v>
      </c>
      <c r="C580" s="586"/>
      <c r="D580" s="582" t="s">
        <v>4228</v>
      </c>
      <c r="E580" s="587" t="s">
        <v>646</v>
      </c>
      <c r="F580" s="585">
        <v>1807.02</v>
      </c>
      <c r="G580" s="831">
        <f t="shared" si="47"/>
        <v>1807.02</v>
      </c>
      <c r="H580" s="585">
        <f t="shared" si="48"/>
        <v>2246.3000000000002</v>
      </c>
    </row>
    <row r="581" spans="1:8" ht="40.5" customHeight="1" x14ac:dyDescent="0.2">
      <c r="A581" s="582" t="s">
        <v>4229</v>
      </c>
      <c r="B581" s="583" t="s">
        <v>4230</v>
      </c>
      <c r="C581" s="583"/>
      <c r="D581" s="582" t="s">
        <v>4231</v>
      </c>
      <c r="E581" s="584" t="s">
        <v>646</v>
      </c>
      <c r="F581" s="585">
        <v>369.21</v>
      </c>
      <c r="G581" s="831">
        <f t="shared" si="47"/>
        <v>369.21</v>
      </c>
      <c r="H581" s="585">
        <f t="shared" si="48"/>
        <v>458.96</v>
      </c>
    </row>
    <row r="582" spans="1:8" ht="40.5" customHeight="1" x14ac:dyDescent="0.2">
      <c r="A582" s="582" t="s">
        <v>4232</v>
      </c>
      <c r="B582" s="583" t="s">
        <v>4233</v>
      </c>
      <c r="C582" s="583"/>
      <c r="D582" s="582" t="s">
        <v>4234</v>
      </c>
      <c r="E582" s="584" t="s">
        <v>646</v>
      </c>
      <c r="F582" s="585">
        <v>289.98</v>
      </c>
      <c r="G582" s="831">
        <f t="shared" si="47"/>
        <v>289.98</v>
      </c>
      <c r="H582" s="585">
        <f t="shared" si="48"/>
        <v>360.47</v>
      </c>
    </row>
    <row r="583" spans="1:8" ht="40.5" customHeight="1" x14ac:dyDescent="0.2">
      <c r="A583" s="582" t="s">
        <v>4235</v>
      </c>
      <c r="B583" s="583" t="s">
        <v>4236</v>
      </c>
      <c r="C583" s="583"/>
      <c r="D583" s="582" t="s">
        <v>4237</v>
      </c>
      <c r="E583" s="584" t="s">
        <v>646</v>
      </c>
      <c r="F583" s="585">
        <v>217.8</v>
      </c>
      <c r="G583" s="831">
        <f t="shared" si="47"/>
        <v>217.8</v>
      </c>
      <c r="H583" s="585">
        <f t="shared" si="48"/>
        <v>270.74</v>
      </c>
    </row>
    <row r="584" spans="1:8" ht="40.5" customHeight="1" x14ac:dyDescent="0.2">
      <c r="A584" s="582" t="s">
        <v>4238</v>
      </c>
      <c r="B584" s="583" t="s">
        <v>4239</v>
      </c>
      <c r="C584" s="583"/>
      <c r="D584" s="582" t="s">
        <v>4240</v>
      </c>
      <c r="E584" s="584" t="s">
        <v>646</v>
      </c>
      <c r="F584" s="585">
        <v>45.02</v>
      </c>
      <c r="G584" s="831">
        <f t="shared" si="47"/>
        <v>45.02</v>
      </c>
      <c r="H584" s="585">
        <f t="shared" si="48"/>
        <v>55.96</v>
      </c>
    </row>
    <row r="585" spans="1:8" ht="40.5" customHeight="1" x14ac:dyDescent="0.2">
      <c r="A585" s="582" t="s">
        <v>4241</v>
      </c>
      <c r="B585" s="583" t="s">
        <v>4242</v>
      </c>
      <c r="C585" s="583"/>
      <c r="D585" s="582" t="s">
        <v>4243</v>
      </c>
      <c r="E585" s="584" t="s">
        <v>646</v>
      </c>
      <c r="F585" s="585">
        <v>58.51</v>
      </c>
      <c r="G585" s="831">
        <f t="shared" si="47"/>
        <v>58.51</v>
      </c>
      <c r="H585" s="585">
        <f t="shared" si="48"/>
        <v>72.73</v>
      </c>
    </row>
    <row r="586" spans="1:8" ht="40.5" customHeight="1" x14ac:dyDescent="0.2">
      <c r="A586" s="582" t="s">
        <v>4244</v>
      </c>
      <c r="B586" s="583" t="s">
        <v>4185</v>
      </c>
      <c r="C586" s="583"/>
      <c r="D586" s="582" t="s">
        <v>4245</v>
      </c>
      <c r="E586" s="584" t="s">
        <v>646</v>
      </c>
      <c r="F586" s="585">
        <v>58.51</v>
      </c>
      <c r="G586" s="831">
        <f t="shared" si="47"/>
        <v>58.51</v>
      </c>
      <c r="H586" s="585">
        <f t="shared" si="48"/>
        <v>72.73</v>
      </c>
    </row>
    <row r="587" spans="1:8" ht="40.5" customHeight="1" x14ac:dyDescent="0.2">
      <c r="A587" s="582" t="s">
        <v>4246</v>
      </c>
      <c r="B587" s="583" t="s">
        <v>4247</v>
      </c>
      <c r="C587" s="583"/>
      <c r="D587" s="582" t="s">
        <v>4248</v>
      </c>
      <c r="E587" s="584" t="s">
        <v>646</v>
      </c>
      <c r="F587" s="585">
        <v>58.51</v>
      </c>
      <c r="G587" s="831">
        <f t="shared" si="47"/>
        <v>58.51</v>
      </c>
      <c r="H587" s="585">
        <f t="shared" si="48"/>
        <v>72.73</v>
      </c>
    </row>
    <row r="588" spans="1:8" ht="40.5" customHeight="1" x14ac:dyDescent="0.2">
      <c r="A588" s="582" t="s">
        <v>4249</v>
      </c>
      <c r="B588" s="583" t="s">
        <v>4250</v>
      </c>
      <c r="C588" s="583"/>
      <c r="D588" s="582" t="s">
        <v>4251</v>
      </c>
      <c r="E588" s="584" t="s">
        <v>646</v>
      </c>
      <c r="F588" s="585">
        <v>56.82</v>
      </c>
      <c r="G588" s="831">
        <f t="shared" si="47"/>
        <v>56.82</v>
      </c>
      <c r="H588" s="585">
        <f t="shared" si="48"/>
        <v>70.63</v>
      </c>
    </row>
    <row r="589" spans="1:8" ht="40.5" customHeight="1" x14ac:dyDescent="0.2">
      <c r="A589" s="582" t="s">
        <v>4252</v>
      </c>
      <c r="B589" s="583" t="s">
        <v>4253</v>
      </c>
      <c r="C589" s="583"/>
      <c r="D589" s="582" t="s">
        <v>4254</v>
      </c>
      <c r="E589" s="584" t="s">
        <v>646</v>
      </c>
      <c r="F589" s="585">
        <v>29.09</v>
      </c>
      <c r="G589" s="831">
        <f t="shared" si="47"/>
        <v>29.09</v>
      </c>
      <c r="H589" s="585">
        <f t="shared" si="48"/>
        <v>36.159999999999997</v>
      </c>
    </row>
    <row r="590" spans="1:8" ht="40.5" customHeight="1" x14ac:dyDescent="0.2">
      <c r="A590" s="582" t="s">
        <v>4255</v>
      </c>
      <c r="B590" s="583" t="s">
        <v>4256</v>
      </c>
      <c r="C590" s="583"/>
      <c r="D590" s="582" t="s">
        <v>4257</v>
      </c>
      <c r="E590" s="584" t="s">
        <v>646</v>
      </c>
      <c r="F590" s="585">
        <v>162.29</v>
      </c>
      <c r="G590" s="831">
        <f t="shared" si="47"/>
        <v>162.29</v>
      </c>
      <c r="H590" s="585">
        <f t="shared" si="48"/>
        <v>201.74</v>
      </c>
    </row>
    <row r="591" spans="1:8" ht="40.5" customHeight="1" x14ac:dyDescent="0.2">
      <c r="A591" s="582" t="s">
        <v>4258</v>
      </c>
      <c r="B591" s="583" t="s">
        <v>4259</v>
      </c>
      <c r="C591" s="583"/>
      <c r="D591" s="582" t="s">
        <v>4260</v>
      </c>
      <c r="E591" s="584" t="s">
        <v>1168</v>
      </c>
      <c r="F591" s="585">
        <v>199.61</v>
      </c>
      <c r="G591" s="831">
        <f t="shared" si="47"/>
        <v>199.61</v>
      </c>
      <c r="H591" s="585">
        <f t="shared" si="48"/>
        <v>248.13</v>
      </c>
    </row>
    <row r="592" spans="1:8" ht="40.5" customHeight="1" x14ac:dyDescent="0.2">
      <c r="A592" s="582" t="s">
        <v>4261</v>
      </c>
      <c r="B592" s="583" t="s">
        <v>4262</v>
      </c>
      <c r="C592" s="583"/>
      <c r="D592" s="582" t="s">
        <v>4263</v>
      </c>
      <c r="E592" s="584" t="s">
        <v>1168</v>
      </c>
      <c r="F592" s="585">
        <v>183.56</v>
      </c>
      <c r="G592" s="831">
        <f t="shared" si="47"/>
        <v>183.56</v>
      </c>
      <c r="H592" s="585">
        <f t="shared" si="48"/>
        <v>228.18</v>
      </c>
    </row>
    <row r="593" spans="1:8" ht="40.5" customHeight="1" x14ac:dyDescent="0.2">
      <c r="A593" s="582" t="s">
        <v>4264</v>
      </c>
      <c r="B593" s="583" t="s">
        <v>4265</v>
      </c>
      <c r="C593" s="583"/>
      <c r="D593" s="582" t="s">
        <v>4266</v>
      </c>
      <c r="E593" s="584" t="s">
        <v>1168</v>
      </c>
      <c r="F593" s="585">
        <v>166.07</v>
      </c>
      <c r="G593" s="831">
        <f t="shared" si="47"/>
        <v>166.07</v>
      </c>
      <c r="H593" s="585">
        <f t="shared" si="48"/>
        <v>206.44</v>
      </c>
    </row>
    <row r="594" spans="1:8" ht="40.5" customHeight="1" x14ac:dyDescent="0.2">
      <c r="A594" s="582" t="s">
        <v>4267</v>
      </c>
      <c r="B594" s="583" t="s">
        <v>4268</v>
      </c>
      <c r="C594" s="583"/>
      <c r="D594" s="582" t="s">
        <v>4269</v>
      </c>
      <c r="E594" s="584" t="s">
        <v>1168</v>
      </c>
      <c r="F594" s="585">
        <v>239.4</v>
      </c>
      <c r="G594" s="831">
        <f t="shared" si="47"/>
        <v>239.4</v>
      </c>
      <c r="H594" s="585">
        <f t="shared" si="48"/>
        <v>297.58999999999997</v>
      </c>
    </row>
    <row r="595" spans="1:8" ht="40.5" customHeight="1" x14ac:dyDescent="0.2">
      <c r="A595" s="840" t="s">
        <v>2809</v>
      </c>
      <c r="B595" s="846"/>
      <c r="C595" s="846"/>
      <c r="D595" s="842" t="s">
        <v>2810</v>
      </c>
      <c r="E595" s="847"/>
      <c r="F595" s="844"/>
      <c r="G595" s="844"/>
      <c r="H595" s="845"/>
    </row>
    <row r="596" spans="1:8" ht="40.5" customHeight="1" x14ac:dyDescent="0.2">
      <c r="A596" s="827" t="s">
        <v>4270</v>
      </c>
      <c r="B596" s="828" t="s">
        <v>4271</v>
      </c>
      <c r="C596" s="828"/>
      <c r="D596" s="827" t="s">
        <v>4272</v>
      </c>
      <c r="E596" s="829" t="s">
        <v>1161</v>
      </c>
      <c r="F596" s="830">
        <v>342.67</v>
      </c>
      <c r="G596" s="831">
        <f t="shared" ref="G596:G614" si="49">(F596*($H$11))</f>
        <v>342.67</v>
      </c>
      <c r="H596" s="830">
        <f t="shared" ref="H596:H614" si="50">TRUNC((F596*($H$11))*(1+$H$8),2)</f>
        <v>425.97</v>
      </c>
    </row>
    <row r="597" spans="1:8" ht="40.5" customHeight="1" x14ac:dyDescent="0.2">
      <c r="A597" s="582" t="s">
        <v>4273</v>
      </c>
      <c r="B597" s="583" t="s">
        <v>4274</v>
      </c>
      <c r="C597" s="583"/>
      <c r="D597" s="582" t="s">
        <v>4275</v>
      </c>
      <c r="E597" s="584" t="s">
        <v>1161</v>
      </c>
      <c r="F597" s="585">
        <v>336.2</v>
      </c>
      <c r="G597" s="831">
        <f t="shared" si="49"/>
        <v>336.2</v>
      </c>
      <c r="H597" s="585">
        <f t="shared" si="50"/>
        <v>417.93</v>
      </c>
    </row>
    <row r="598" spans="1:8" ht="40.5" customHeight="1" x14ac:dyDescent="0.2">
      <c r="A598" s="582" t="s">
        <v>4276</v>
      </c>
      <c r="B598" s="583" t="s">
        <v>4277</v>
      </c>
      <c r="C598" s="583"/>
      <c r="D598" s="582" t="s">
        <v>4278</v>
      </c>
      <c r="E598" s="584" t="s">
        <v>1161</v>
      </c>
      <c r="F598" s="585">
        <v>325.06</v>
      </c>
      <c r="G598" s="831">
        <f t="shared" si="49"/>
        <v>325.06</v>
      </c>
      <c r="H598" s="585">
        <f t="shared" si="50"/>
        <v>404.08</v>
      </c>
    </row>
    <row r="599" spans="1:8" ht="40.5" customHeight="1" x14ac:dyDescent="0.2">
      <c r="A599" s="582" t="s">
        <v>4279</v>
      </c>
      <c r="B599" s="583" t="s">
        <v>4280</v>
      </c>
      <c r="C599" s="583"/>
      <c r="D599" s="582" t="s">
        <v>4281</v>
      </c>
      <c r="E599" s="584" t="s">
        <v>1161</v>
      </c>
      <c r="F599" s="585">
        <v>25.74</v>
      </c>
      <c r="G599" s="831">
        <f t="shared" si="49"/>
        <v>25.74</v>
      </c>
      <c r="H599" s="585">
        <f t="shared" si="50"/>
        <v>31.99</v>
      </c>
    </row>
    <row r="600" spans="1:8" ht="40.5" customHeight="1" x14ac:dyDescent="0.2">
      <c r="A600" s="582" t="s">
        <v>4282</v>
      </c>
      <c r="B600" s="586" t="s">
        <v>4283</v>
      </c>
      <c r="C600" s="586"/>
      <c r="D600" s="582" t="s">
        <v>4284</v>
      </c>
      <c r="E600" s="587" t="s">
        <v>1161</v>
      </c>
      <c r="F600" s="585">
        <v>726</v>
      </c>
      <c r="G600" s="831">
        <f t="shared" si="49"/>
        <v>726</v>
      </c>
      <c r="H600" s="585">
        <f t="shared" si="50"/>
        <v>902.49</v>
      </c>
    </row>
    <row r="601" spans="1:8" ht="40.5" customHeight="1" x14ac:dyDescent="0.2">
      <c r="A601" s="582" t="s">
        <v>4285</v>
      </c>
      <c r="B601" s="586" t="s">
        <v>4286</v>
      </c>
      <c r="C601" s="586"/>
      <c r="D601" s="582" t="s">
        <v>4287</v>
      </c>
      <c r="E601" s="587" t="s">
        <v>1161</v>
      </c>
      <c r="F601" s="585">
        <v>466.37</v>
      </c>
      <c r="G601" s="831">
        <f t="shared" si="49"/>
        <v>466.37</v>
      </c>
      <c r="H601" s="585">
        <f t="shared" si="50"/>
        <v>579.74</v>
      </c>
    </row>
    <row r="602" spans="1:8" ht="40.5" customHeight="1" x14ac:dyDescent="0.2">
      <c r="A602" s="582" t="s">
        <v>4288</v>
      </c>
      <c r="B602" s="583" t="s">
        <v>4289</v>
      </c>
      <c r="C602" s="583"/>
      <c r="D602" s="582" t="s">
        <v>4290</v>
      </c>
      <c r="E602" s="584" t="s">
        <v>1161</v>
      </c>
      <c r="F602" s="585">
        <v>378.19</v>
      </c>
      <c r="G602" s="831">
        <f t="shared" si="49"/>
        <v>378.19</v>
      </c>
      <c r="H602" s="585">
        <f t="shared" si="50"/>
        <v>470.12</v>
      </c>
    </row>
    <row r="603" spans="1:8" ht="40.5" customHeight="1" x14ac:dyDescent="0.2">
      <c r="A603" s="582" t="s">
        <v>4291</v>
      </c>
      <c r="B603" s="583" t="s">
        <v>4292</v>
      </c>
      <c r="C603" s="583"/>
      <c r="D603" s="582" t="s">
        <v>4293</v>
      </c>
      <c r="E603" s="584" t="s">
        <v>1161</v>
      </c>
      <c r="F603" s="585">
        <v>315.16000000000003</v>
      </c>
      <c r="G603" s="831">
        <f t="shared" si="49"/>
        <v>315.16000000000003</v>
      </c>
      <c r="H603" s="585">
        <f t="shared" si="50"/>
        <v>391.77</v>
      </c>
    </row>
    <row r="604" spans="1:8" ht="40.5" customHeight="1" x14ac:dyDescent="0.2">
      <c r="A604" s="582" t="s">
        <v>4294</v>
      </c>
      <c r="B604" s="583" t="s">
        <v>4295</v>
      </c>
      <c r="C604" s="583"/>
      <c r="D604" s="582" t="s">
        <v>4296</v>
      </c>
      <c r="E604" s="584" t="s">
        <v>1161</v>
      </c>
      <c r="F604" s="585">
        <v>422.58</v>
      </c>
      <c r="G604" s="831">
        <f t="shared" si="49"/>
        <v>422.58</v>
      </c>
      <c r="H604" s="585">
        <f t="shared" si="50"/>
        <v>525.29999999999995</v>
      </c>
    </row>
    <row r="605" spans="1:8" ht="40.5" customHeight="1" x14ac:dyDescent="0.2">
      <c r="A605" s="582" t="s">
        <v>4297</v>
      </c>
      <c r="B605" s="583" t="s">
        <v>4298</v>
      </c>
      <c r="C605" s="583"/>
      <c r="D605" s="582" t="s">
        <v>4299</v>
      </c>
      <c r="E605" s="584" t="s">
        <v>1161</v>
      </c>
      <c r="F605" s="585">
        <v>313.41000000000003</v>
      </c>
      <c r="G605" s="831">
        <f t="shared" si="49"/>
        <v>313.41000000000003</v>
      </c>
      <c r="H605" s="585">
        <f t="shared" si="50"/>
        <v>389.59</v>
      </c>
    </row>
    <row r="606" spans="1:8" ht="40.5" customHeight="1" x14ac:dyDescent="0.2">
      <c r="A606" s="582" t="s">
        <v>4300</v>
      </c>
      <c r="B606" s="583" t="s">
        <v>4301</v>
      </c>
      <c r="C606" s="583"/>
      <c r="D606" s="582" t="s">
        <v>4302</v>
      </c>
      <c r="E606" s="584" t="s">
        <v>646</v>
      </c>
      <c r="F606" s="585">
        <v>13.1</v>
      </c>
      <c r="G606" s="831">
        <f t="shared" si="49"/>
        <v>13.1</v>
      </c>
      <c r="H606" s="585">
        <f t="shared" si="50"/>
        <v>16.28</v>
      </c>
    </row>
    <row r="607" spans="1:8" ht="40.5" customHeight="1" x14ac:dyDescent="0.2">
      <c r="A607" s="582" t="s">
        <v>4303</v>
      </c>
      <c r="B607" s="583" t="s">
        <v>4304</v>
      </c>
      <c r="C607" s="583"/>
      <c r="D607" s="582" t="s">
        <v>4305</v>
      </c>
      <c r="E607" s="584" t="s">
        <v>646</v>
      </c>
      <c r="F607" s="585">
        <v>3.15</v>
      </c>
      <c r="G607" s="831">
        <f t="shared" si="49"/>
        <v>3.15</v>
      </c>
      <c r="H607" s="585">
        <f t="shared" si="50"/>
        <v>3.91</v>
      </c>
    </row>
    <row r="608" spans="1:8" ht="40.5" customHeight="1" x14ac:dyDescent="0.2">
      <c r="A608" s="582" t="s">
        <v>4306</v>
      </c>
      <c r="B608" s="583" t="s">
        <v>4307</v>
      </c>
      <c r="C608" s="583"/>
      <c r="D608" s="582" t="s">
        <v>2666</v>
      </c>
      <c r="E608" s="584" t="s">
        <v>1161</v>
      </c>
      <c r="F608" s="585">
        <v>187.16</v>
      </c>
      <c r="G608" s="831">
        <f t="shared" si="49"/>
        <v>187.16</v>
      </c>
      <c r="H608" s="585">
        <f t="shared" si="50"/>
        <v>232.65</v>
      </c>
    </row>
    <row r="609" spans="1:8" ht="40.5" customHeight="1" x14ac:dyDescent="0.2">
      <c r="A609" s="582" t="s">
        <v>4308</v>
      </c>
      <c r="B609" s="583" t="s">
        <v>4309</v>
      </c>
      <c r="C609" s="583"/>
      <c r="D609" s="582" t="s">
        <v>4310</v>
      </c>
      <c r="E609" s="584" t="s">
        <v>1161</v>
      </c>
      <c r="F609" s="585">
        <v>71.87</v>
      </c>
      <c r="G609" s="831">
        <f t="shared" si="49"/>
        <v>71.87</v>
      </c>
      <c r="H609" s="585">
        <f t="shared" si="50"/>
        <v>89.34</v>
      </c>
    </row>
    <row r="610" spans="1:8" ht="40.5" customHeight="1" x14ac:dyDescent="0.2">
      <c r="A610" s="582" t="s">
        <v>4311</v>
      </c>
      <c r="B610" s="583" t="s">
        <v>4312</v>
      </c>
      <c r="C610" s="583"/>
      <c r="D610" s="582" t="s">
        <v>4313</v>
      </c>
      <c r="E610" s="584" t="s">
        <v>1161</v>
      </c>
      <c r="F610" s="585">
        <v>71.87</v>
      </c>
      <c r="G610" s="831">
        <f t="shared" si="49"/>
        <v>71.87</v>
      </c>
      <c r="H610" s="585">
        <f t="shared" si="50"/>
        <v>89.34</v>
      </c>
    </row>
    <row r="611" spans="1:8" ht="40.5" customHeight="1" x14ac:dyDescent="0.2">
      <c r="A611" s="582" t="s">
        <v>4314</v>
      </c>
      <c r="B611" s="583" t="s">
        <v>4315</v>
      </c>
      <c r="C611" s="583"/>
      <c r="D611" s="582" t="s">
        <v>4316</v>
      </c>
      <c r="E611" s="584" t="s">
        <v>1191</v>
      </c>
      <c r="F611" s="585">
        <v>57.44</v>
      </c>
      <c r="G611" s="831">
        <f t="shared" si="49"/>
        <v>57.44</v>
      </c>
      <c r="H611" s="585">
        <f t="shared" si="50"/>
        <v>71.400000000000006</v>
      </c>
    </row>
    <row r="612" spans="1:8" ht="40.5" customHeight="1" x14ac:dyDescent="0.2">
      <c r="A612" s="582" t="s">
        <v>4317</v>
      </c>
      <c r="B612" s="583" t="s">
        <v>4318</v>
      </c>
      <c r="C612" s="583"/>
      <c r="D612" s="582" t="s">
        <v>4319</v>
      </c>
      <c r="E612" s="584" t="s">
        <v>1191</v>
      </c>
      <c r="F612" s="585">
        <v>67.95</v>
      </c>
      <c r="G612" s="831">
        <f t="shared" si="49"/>
        <v>67.95</v>
      </c>
      <c r="H612" s="585">
        <f t="shared" si="50"/>
        <v>84.46</v>
      </c>
    </row>
    <row r="613" spans="1:8" ht="40.5" customHeight="1" x14ac:dyDescent="0.2">
      <c r="A613" s="582" t="s">
        <v>4320</v>
      </c>
      <c r="B613" s="583" t="s">
        <v>4321</v>
      </c>
      <c r="C613" s="583"/>
      <c r="D613" s="582" t="s">
        <v>4322</v>
      </c>
      <c r="E613" s="584" t="s">
        <v>1191</v>
      </c>
      <c r="F613" s="585">
        <v>36.93</v>
      </c>
      <c r="G613" s="831">
        <f t="shared" si="49"/>
        <v>36.93</v>
      </c>
      <c r="H613" s="585">
        <f t="shared" si="50"/>
        <v>45.9</v>
      </c>
    </row>
    <row r="614" spans="1:8" ht="40.5" customHeight="1" x14ac:dyDescent="0.2">
      <c r="A614" s="582" t="s">
        <v>4323</v>
      </c>
      <c r="B614" s="583" t="s">
        <v>4324</v>
      </c>
      <c r="C614" s="583"/>
      <c r="D614" s="582" t="s">
        <v>4325</v>
      </c>
      <c r="E614" s="584" t="s">
        <v>646</v>
      </c>
      <c r="F614" s="585">
        <v>317.27</v>
      </c>
      <c r="G614" s="831">
        <f t="shared" si="49"/>
        <v>317.27</v>
      </c>
      <c r="H614" s="585">
        <f t="shared" si="50"/>
        <v>394.39</v>
      </c>
    </row>
    <row r="615" spans="1:8" ht="40.5" customHeight="1" x14ac:dyDescent="0.2">
      <c r="A615" s="840" t="s">
        <v>2811</v>
      </c>
      <c r="B615" s="846"/>
      <c r="C615" s="846"/>
      <c r="D615" s="842" t="s">
        <v>2812</v>
      </c>
      <c r="E615" s="847"/>
      <c r="F615" s="844"/>
      <c r="G615" s="844"/>
      <c r="H615" s="845"/>
    </row>
    <row r="616" spans="1:8" ht="40.5" customHeight="1" x14ac:dyDescent="0.2">
      <c r="A616" s="840" t="s">
        <v>2813</v>
      </c>
      <c r="B616" s="846"/>
      <c r="C616" s="846"/>
      <c r="D616" s="842" t="s">
        <v>2814</v>
      </c>
      <c r="E616" s="847"/>
      <c r="F616" s="844"/>
      <c r="G616" s="844"/>
      <c r="H616" s="845"/>
    </row>
    <row r="617" spans="1:8" ht="40.5" customHeight="1" x14ac:dyDescent="0.2">
      <c r="A617" s="827" t="s">
        <v>4326</v>
      </c>
      <c r="B617" s="828" t="s">
        <v>4327</v>
      </c>
      <c r="C617" s="828"/>
      <c r="D617" s="827" t="s">
        <v>4328</v>
      </c>
      <c r="E617" s="829" t="s">
        <v>1168</v>
      </c>
      <c r="F617" s="830">
        <v>9.64</v>
      </c>
      <c r="G617" s="831">
        <f t="shared" ref="G617:G622" si="51">(F617*($H$11))</f>
        <v>9.64</v>
      </c>
      <c r="H617" s="830">
        <f t="shared" ref="H617:H622" si="52">TRUNC((F617*($H$11))*(1+$H$8),2)</f>
        <v>11.98</v>
      </c>
    </row>
    <row r="618" spans="1:8" ht="40.5" customHeight="1" x14ac:dyDescent="0.2">
      <c r="A618" s="582" t="s">
        <v>4329</v>
      </c>
      <c r="B618" s="583" t="s">
        <v>1659</v>
      </c>
      <c r="C618" s="583"/>
      <c r="D618" s="582" t="s">
        <v>1660</v>
      </c>
      <c r="E618" s="584" t="s">
        <v>1257</v>
      </c>
      <c r="F618" s="585">
        <v>202.7</v>
      </c>
      <c r="G618" s="831">
        <f t="shared" si="51"/>
        <v>202.7</v>
      </c>
      <c r="H618" s="585">
        <f t="shared" si="52"/>
        <v>251.97</v>
      </c>
    </row>
    <row r="619" spans="1:8" ht="40.5" customHeight="1" x14ac:dyDescent="0.2">
      <c r="A619" s="582" t="s">
        <v>4330</v>
      </c>
      <c r="B619" s="583" t="s">
        <v>1661</v>
      </c>
      <c r="C619" s="583"/>
      <c r="D619" s="582" t="s">
        <v>1662</v>
      </c>
      <c r="E619" s="584" t="s">
        <v>1257</v>
      </c>
      <c r="F619" s="585">
        <v>178.89</v>
      </c>
      <c r="G619" s="831">
        <f t="shared" si="51"/>
        <v>178.89</v>
      </c>
      <c r="H619" s="585">
        <f t="shared" si="52"/>
        <v>222.37</v>
      </c>
    </row>
    <row r="620" spans="1:8" ht="40.5" customHeight="1" x14ac:dyDescent="0.2">
      <c r="A620" s="582" t="s">
        <v>4331</v>
      </c>
      <c r="B620" s="583" t="s">
        <v>1663</v>
      </c>
      <c r="C620" s="583"/>
      <c r="D620" s="582" t="s">
        <v>1664</v>
      </c>
      <c r="E620" s="584" t="s">
        <v>1257</v>
      </c>
      <c r="F620" s="585">
        <v>231.97</v>
      </c>
      <c r="G620" s="831">
        <f t="shared" si="51"/>
        <v>231.97</v>
      </c>
      <c r="H620" s="585">
        <f t="shared" si="52"/>
        <v>288.36</v>
      </c>
    </row>
    <row r="621" spans="1:8" ht="40.5" customHeight="1" x14ac:dyDescent="0.2">
      <c r="A621" s="582" t="s">
        <v>4332</v>
      </c>
      <c r="B621" s="583" t="s">
        <v>1665</v>
      </c>
      <c r="C621" s="583"/>
      <c r="D621" s="582" t="s">
        <v>1666</v>
      </c>
      <c r="E621" s="584" t="s">
        <v>1257</v>
      </c>
      <c r="F621" s="585">
        <v>92.72</v>
      </c>
      <c r="G621" s="831">
        <f t="shared" si="51"/>
        <v>92.72</v>
      </c>
      <c r="H621" s="585">
        <f t="shared" si="52"/>
        <v>115.26</v>
      </c>
    </row>
    <row r="622" spans="1:8" ht="40.5" customHeight="1" x14ac:dyDescent="0.2">
      <c r="A622" s="582" t="s">
        <v>4333</v>
      </c>
      <c r="B622" s="586" t="s">
        <v>1671</v>
      </c>
      <c r="C622" s="586"/>
      <c r="D622" s="582" t="s">
        <v>1672</v>
      </c>
      <c r="E622" s="587" t="s">
        <v>1257</v>
      </c>
      <c r="F622" s="585">
        <v>383.77</v>
      </c>
      <c r="G622" s="831">
        <f t="shared" si="51"/>
        <v>383.77</v>
      </c>
      <c r="H622" s="585">
        <f t="shared" si="52"/>
        <v>477.06</v>
      </c>
    </row>
    <row r="623" spans="1:8" ht="40.5" customHeight="1" x14ac:dyDescent="0.2">
      <c r="A623" s="840" t="s">
        <v>2815</v>
      </c>
      <c r="B623" s="841"/>
      <c r="C623" s="841"/>
      <c r="D623" s="842" t="s">
        <v>2768</v>
      </c>
      <c r="E623" s="843"/>
      <c r="F623" s="844"/>
      <c r="G623" s="844"/>
      <c r="H623" s="845"/>
    </row>
    <row r="624" spans="1:8" ht="40.5" customHeight="1" x14ac:dyDescent="0.2">
      <c r="A624" s="827" t="s">
        <v>4334</v>
      </c>
      <c r="B624" s="828" t="s">
        <v>4335</v>
      </c>
      <c r="C624" s="828"/>
      <c r="D624" s="827" t="s">
        <v>4336</v>
      </c>
      <c r="E624" s="829" t="s">
        <v>646</v>
      </c>
      <c r="F624" s="830">
        <v>5000</v>
      </c>
      <c r="G624" s="831">
        <f>(F624*($H$11))</f>
        <v>5000</v>
      </c>
      <c r="H624" s="830">
        <f>TRUNC((F624*($H$11))*(1+$H$8),2)</f>
        <v>6215.5</v>
      </c>
    </row>
    <row r="625" spans="1:8" ht="40.5" customHeight="1" x14ac:dyDescent="0.2">
      <c r="A625" s="582" t="s">
        <v>4337</v>
      </c>
      <c r="B625" s="583" t="s">
        <v>4338</v>
      </c>
      <c r="C625" s="583"/>
      <c r="D625" s="582" t="s">
        <v>4339</v>
      </c>
      <c r="E625" s="584" t="s">
        <v>1126</v>
      </c>
      <c r="F625" s="585">
        <v>57.66</v>
      </c>
      <c r="G625" s="831">
        <f>(F625*($H$11))</f>
        <v>57.66</v>
      </c>
      <c r="H625" s="585">
        <f>TRUNC((F625*($H$11))*(1+$H$8),2)</f>
        <v>71.67</v>
      </c>
    </row>
    <row r="626" spans="1:8" ht="40.5" customHeight="1" x14ac:dyDescent="0.2">
      <c r="A626" s="588"/>
      <c r="B626" s="589"/>
      <c r="C626" s="589"/>
      <c r="D626" s="590"/>
      <c r="E626" s="591"/>
      <c r="F626" s="592"/>
      <c r="G626" s="592"/>
      <c r="H626" s="593"/>
    </row>
  </sheetData>
  <sheetProtection sheet="1" objects="1" scenarios="1"/>
  <autoFilter ref="A12:H625" xr:uid="{9C237494-34DA-4B2C-9E02-6AF05E628723}">
    <filterColumn colId="1" showButton="0"/>
  </autoFilter>
  <mergeCells count="7">
    <mergeCell ref="B11:E11"/>
    <mergeCell ref="A5:H5"/>
    <mergeCell ref="A6:H6"/>
    <mergeCell ref="A7:H7"/>
    <mergeCell ref="C8:E8"/>
    <mergeCell ref="C9:E9"/>
    <mergeCell ref="B10:E10"/>
  </mergeCells>
  <printOptions horizontalCentered="1"/>
  <pageMargins left="0.196527777777778" right="0.196527777777778" top="0.65902777777777799" bottom="0.65902777777777799" header="0.39374999999999999" footer="0.39374999999999999"/>
  <pageSetup paperSize="9" scale="67" fitToHeight="0" orientation="portrait" r:id="rId1"/>
  <headerFooter>
    <oddHeader>&amp;C&amp;"Times New Roman,Normal"&amp;12&amp;A</oddHeader>
    <oddFooter>&amp;C&amp;"Times New Roman,Normal"&amp;12&amp;P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4105-474A-4D7B-8E8B-1CF5CC4B731A}">
  <dimension ref="A1:M36"/>
  <sheetViews>
    <sheetView view="pageBreakPreview" zoomScaleNormal="100" zoomScaleSheetLayoutView="100" workbookViewId="0">
      <selection activeCell="H1" sqref="H1"/>
    </sheetView>
  </sheetViews>
  <sheetFormatPr defaultColWidth="11.5" defaultRowHeight="14.25" customHeight="1" x14ac:dyDescent="0.25"/>
  <cols>
    <col min="1" max="1" width="1.83203125" style="318" customWidth="1"/>
    <col min="2" max="2" width="6.5" style="318" customWidth="1"/>
    <col min="3" max="3" width="26" style="318" customWidth="1"/>
    <col min="4" max="8" width="10" style="318" customWidth="1"/>
    <col min="9" max="9" width="2.5" style="318" customWidth="1"/>
    <col min="10" max="11" width="11.5" style="363"/>
    <col min="12" max="16384" width="11.5" style="318"/>
  </cols>
  <sheetData>
    <row r="1" spans="1:13" ht="14.25" customHeight="1" x14ac:dyDescent="0.25">
      <c r="A1" s="763"/>
      <c r="B1" s="724"/>
      <c r="C1" s="724"/>
      <c r="D1" s="724"/>
      <c r="E1" s="724"/>
      <c r="F1" s="724"/>
      <c r="G1" s="724"/>
      <c r="H1" s="724"/>
      <c r="I1" s="324"/>
    </row>
    <row r="2" spans="1:13" ht="15" x14ac:dyDescent="0.25">
      <c r="A2" s="720"/>
      <c r="B2" s="725"/>
      <c r="C2" s="724"/>
      <c r="D2" s="724" t="s">
        <v>120</v>
      </c>
      <c r="E2" s="724"/>
      <c r="F2" s="724"/>
      <c r="G2" s="724"/>
      <c r="H2" s="724"/>
      <c r="I2" s="364"/>
    </row>
    <row r="3" spans="1:13" ht="15" x14ac:dyDescent="0.25">
      <c r="A3" s="720"/>
      <c r="B3" s="725"/>
      <c r="C3" s="724"/>
      <c r="D3" s="726" t="s">
        <v>121</v>
      </c>
      <c r="E3" s="726"/>
      <c r="F3" s="724"/>
      <c r="G3" s="724"/>
      <c r="H3" s="724"/>
      <c r="I3" s="364"/>
    </row>
    <row r="4" spans="1:13" ht="29.25" customHeight="1" x14ac:dyDescent="0.25">
      <c r="A4" s="720"/>
      <c r="B4" s="725"/>
      <c r="C4" s="724"/>
      <c r="D4" s="1569" t="s">
        <v>122</v>
      </c>
      <c r="E4" s="1569"/>
      <c r="F4" s="1569"/>
      <c r="G4" s="1569"/>
      <c r="H4" s="1569"/>
      <c r="I4" s="1570"/>
    </row>
    <row r="5" spans="1:13" ht="15" x14ac:dyDescent="0.25">
      <c r="A5" s="727"/>
      <c r="B5" s="728"/>
      <c r="C5" s="729"/>
      <c r="D5" s="730" t="s">
        <v>123</v>
      </c>
      <c r="E5" s="730"/>
      <c r="F5" s="729"/>
      <c r="G5" s="729"/>
      <c r="H5" s="729"/>
      <c r="I5" s="764"/>
    </row>
    <row r="6" spans="1:13" ht="25.9" customHeight="1" x14ac:dyDescent="0.25">
      <c r="A6" s="1571" t="s">
        <v>4340</v>
      </c>
      <c r="B6" s="1571"/>
      <c r="C6" s="1571"/>
      <c r="D6" s="1571"/>
      <c r="E6" s="1571"/>
      <c r="F6" s="1571"/>
      <c r="G6" s="1571"/>
      <c r="H6" s="1571"/>
      <c r="I6" s="1571"/>
    </row>
    <row r="7" spans="1:13" ht="15" x14ac:dyDescent="0.25">
      <c r="A7" s="1619" t="s">
        <v>2674</v>
      </c>
      <c r="B7" s="1619"/>
      <c r="C7" s="1619"/>
      <c r="D7" s="1619"/>
      <c r="E7" s="1619"/>
      <c r="F7" s="1619"/>
      <c r="G7" s="1619"/>
      <c r="H7" s="1619"/>
      <c r="I7" s="1619"/>
    </row>
    <row r="8" spans="1:13" ht="15" x14ac:dyDescent="0.25">
      <c r="A8" s="1573" t="s">
        <v>4341</v>
      </c>
      <c r="B8" s="1573"/>
      <c r="C8" s="1573"/>
      <c r="D8" s="1573"/>
      <c r="E8" s="1573"/>
      <c r="F8" s="1573"/>
      <c r="G8" s="1573"/>
      <c r="H8" s="1573"/>
      <c r="I8" s="1573"/>
    </row>
    <row r="9" spans="1:13" ht="15.75" x14ac:dyDescent="0.25">
      <c r="A9" s="1574" t="s">
        <v>496</v>
      </c>
      <c r="B9" s="1574"/>
      <c r="C9" s="1575" t="s">
        <v>2676</v>
      </c>
      <c r="D9" s="1575"/>
      <c r="E9" s="1574" t="s">
        <v>2677</v>
      </c>
      <c r="F9" s="1574"/>
      <c r="G9" s="1574"/>
      <c r="H9" s="1574"/>
      <c r="I9" s="1574"/>
    </row>
    <row r="10" spans="1:13" ht="15" x14ac:dyDescent="0.25">
      <c r="A10" s="365"/>
      <c r="B10" s="366"/>
      <c r="C10" s="367" t="s">
        <v>2678</v>
      </c>
      <c r="D10" s="366"/>
      <c r="E10" s="368"/>
      <c r="F10" s="368"/>
      <c r="G10" s="369"/>
      <c r="H10" s="594"/>
      <c r="I10" s="595"/>
    </row>
    <row r="11" spans="1:13" ht="24.75" customHeight="1" x14ac:dyDescent="0.25">
      <c r="A11" s="365"/>
      <c r="B11" s="370"/>
      <c r="C11" s="1581" t="s">
        <v>2679</v>
      </c>
      <c r="D11" s="1581"/>
      <c r="E11" s="371" t="s">
        <v>2680</v>
      </c>
      <c r="F11" s="371" t="s">
        <v>2681</v>
      </c>
      <c r="G11" s="371" t="s">
        <v>2682</v>
      </c>
      <c r="H11" s="371" t="s">
        <v>2683</v>
      </c>
      <c r="I11" s="595"/>
    </row>
    <row r="12" spans="1:13" ht="24.75" customHeight="1" x14ac:dyDescent="0.25">
      <c r="A12" s="365"/>
      <c r="B12" s="366" t="s">
        <v>2684</v>
      </c>
      <c r="C12" s="1620" t="s">
        <v>2685</v>
      </c>
      <c r="D12" s="1620"/>
      <c r="E12" s="596">
        <v>0.03</v>
      </c>
      <c r="F12" s="596">
        <v>0.04</v>
      </c>
      <c r="G12" s="597">
        <v>5.5E-2</v>
      </c>
      <c r="H12" s="598">
        <f>Dados!G68</f>
        <v>0.05</v>
      </c>
      <c r="I12" s="595"/>
    </row>
    <row r="13" spans="1:13" ht="15" x14ac:dyDescent="0.2">
      <c r="A13" s="365"/>
      <c r="B13" s="711" t="s">
        <v>2686</v>
      </c>
      <c r="C13" s="1576" t="s">
        <v>2687</v>
      </c>
      <c r="D13" s="1576"/>
      <c r="E13" s="732">
        <v>8.0000000000000002E-3</v>
      </c>
      <c r="F13" s="732">
        <v>8.0000000000000002E-3</v>
      </c>
      <c r="G13" s="733">
        <v>0.01</v>
      </c>
      <c r="H13" s="734">
        <f>Dados!G69</f>
        <v>8.0000000000000002E-3</v>
      </c>
      <c r="I13" s="595"/>
      <c r="J13" s="820"/>
      <c r="K13" s="821"/>
      <c r="L13" s="821"/>
      <c r="M13" s="821"/>
    </row>
    <row r="14" spans="1:13" ht="13.5" customHeight="1" x14ac:dyDescent="0.2">
      <c r="A14" s="365"/>
      <c r="B14" s="711" t="s">
        <v>2688</v>
      </c>
      <c r="C14" s="1582" t="s">
        <v>2689</v>
      </c>
      <c r="D14" s="1582"/>
      <c r="E14" s="732">
        <v>9.7000000000000003E-3</v>
      </c>
      <c r="F14" s="732">
        <v>1.2699999999999999E-2</v>
      </c>
      <c r="G14" s="733">
        <v>1.2699999999999999E-2</v>
      </c>
      <c r="H14" s="734">
        <f>Dados!G70</f>
        <v>9.7000000000000003E-3</v>
      </c>
      <c r="I14" s="595"/>
      <c r="J14" s="822"/>
      <c r="K14" s="821"/>
      <c r="L14" s="821"/>
      <c r="M14" s="821"/>
    </row>
    <row r="15" spans="1:13" ht="13.5" customHeight="1" x14ac:dyDescent="0.2">
      <c r="A15" s="365"/>
      <c r="B15" s="711" t="s">
        <v>2690</v>
      </c>
      <c r="C15" s="1582" t="s">
        <v>2691</v>
      </c>
      <c r="D15" s="1582"/>
      <c r="E15" s="732">
        <v>5.8999999999999999E-3</v>
      </c>
      <c r="F15" s="732">
        <v>1.23E-2</v>
      </c>
      <c r="G15" s="733">
        <v>1.3899999999999999E-2</v>
      </c>
      <c r="H15" s="734">
        <f>Dados!G71</f>
        <v>1.23E-2</v>
      </c>
      <c r="I15" s="595"/>
      <c r="J15" s="822"/>
      <c r="K15" s="821"/>
      <c r="L15" s="821"/>
      <c r="M15" s="821"/>
    </row>
    <row r="16" spans="1:13" ht="15" x14ac:dyDescent="0.25">
      <c r="A16" s="365"/>
      <c r="B16" s="711" t="s">
        <v>1248</v>
      </c>
      <c r="C16" s="1576" t="s">
        <v>2692</v>
      </c>
      <c r="D16" s="1576"/>
      <c r="E16" s="732">
        <v>6.1600000000000002E-2</v>
      </c>
      <c r="F16" s="732">
        <v>7.3999999999999996E-2</v>
      </c>
      <c r="G16" s="733">
        <v>8.9599999999999999E-2</v>
      </c>
      <c r="H16" s="734">
        <f>Dados!G72</f>
        <v>6.7900000000000002E-2</v>
      </c>
      <c r="I16" s="595"/>
    </row>
    <row r="17" spans="1:9" ht="15" x14ac:dyDescent="0.25">
      <c r="A17" s="365"/>
      <c r="B17" s="372"/>
      <c r="C17" s="599"/>
      <c r="D17" s="599"/>
      <c r="E17" s="599"/>
      <c r="F17" s="599"/>
      <c r="G17" s="599"/>
      <c r="H17" s="373">
        <f>SUM(H12:H16)</f>
        <v>0.14790000000000003</v>
      </c>
      <c r="I17" s="595"/>
    </row>
    <row r="18" spans="1:9" ht="15" x14ac:dyDescent="0.25">
      <c r="A18" s="365"/>
      <c r="B18" s="366"/>
      <c r="C18" s="1577" t="s">
        <v>2693</v>
      </c>
      <c r="D18" s="1577"/>
      <c r="E18" s="1577"/>
      <c r="F18" s="1577"/>
      <c r="G18" s="1577"/>
      <c r="H18" s="600"/>
      <c r="I18" s="595"/>
    </row>
    <row r="19" spans="1:9" ht="18" customHeight="1" x14ac:dyDescent="0.25">
      <c r="A19" s="601"/>
      <c r="B19" s="602"/>
      <c r="C19" s="1578" t="s">
        <v>2694</v>
      </c>
      <c r="D19" s="1578"/>
      <c r="E19" s="1578"/>
      <c r="F19" s="1578"/>
      <c r="G19" s="1578"/>
      <c r="H19" s="603">
        <f>Dados!G62</f>
        <v>6.4999999999999997E-3</v>
      </c>
      <c r="I19" s="595"/>
    </row>
    <row r="20" spans="1:9" ht="14.25" customHeight="1" x14ac:dyDescent="0.25">
      <c r="A20" s="604"/>
      <c r="B20" s="599"/>
      <c r="C20" s="1579" t="s">
        <v>2695</v>
      </c>
      <c r="D20" s="1579"/>
      <c r="E20" s="1579"/>
      <c r="F20" s="1579"/>
      <c r="G20" s="1579"/>
      <c r="H20" s="603">
        <f>Dados!G61</f>
        <v>0.03</v>
      </c>
      <c r="I20" s="595"/>
    </row>
    <row r="21" spans="1:9" ht="57" customHeight="1" x14ac:dyDescent="0.25">
      <c r="A21" s="604"/>
      <c r="B21" s="599"/>
      <c r="C21" s="1617" t="s">
        <v>2696</v>
      </c>
      <c r="D21" s="1617"/>
      <c r="E21" s="1617"/>
      <c r="F21" s="1617"/>
      <c r="G21" s="1617"/>
      <c r="H21" s="735">
        <f>Dados!G75</f>
        <v>3.5000000000000003E-2</v>
      </c>
      <c r="I21" s="595"/>
    </row>
    <row r="22" spans="1:9" ht="41.45" customHeight="1" x14ac:dyDescent="0.25">
      <c r="A22" s="604"/>
      <c r="B22" s="599"/>
      <c r="C22" s="1568" t="s">
        <v>4342</v>
      </c>
      <c r="D22" s="1568"/>
      <c r="E22" s="1568"/>
      <c r="F22" s="1568"/>
      <c r="G22" s="1568"/>
      <c r="H22" s="603">
        <f>Dados!G64</f>
        <v>0</v>
      </c>
      <c r="I22" s="595"/>
    </row>
    <row r="23" spans="1:9" ht="17.25" customHeight="1" x14ac:dyDescent="0.25">
      <c r="A23" s="365"/>
      <c r="B23" s="366" t="s">
        <v>2698</v>
      </c>
      <c r="C23" s="374" t="s">
        <v>2699</v>
      </c>
      <c r="D23" s="374"/>
      <c r="E23" s="374"/>
      <c r="F23" s="374"/>
      <c r="G23" s="374"/>
      <c r="H23" s="375">
        <f>SUM(H19:H22)</f>
        <v>7.1500000000000008E-2</v>
      </c>
      <c r="I23" s="605"/>
    </row>
    <row r="24" spans="1:9" ht="15" x14ac:dyDescent="0.25">
      <c r="A24" s="376"/>
      <c r="B24" s="377"/>
      <c r="C24" s="378"/>
      <c r="D24" s="378"/>
      <c r="E24" s="378"/>
      <c r="F24" s="378"/>
      <c r="G24" s="378"/>
      <c r="H24" s="379"/>
      <c r="I24" s="606"/>
    </row>
    <row r="25" spans="1:9" ht="15" x14ac:dyDescent="0.25">
      <c r="A25" s="380"/>
      <c r="B25" s="381" t="s">
        <v>89</v>
      </c>
      <c r="C25" s="382" t="s">
        <v>2700</v>
      </c>
      <c r="D25" s="382"/>
      <c r="E25" s="382"/>
      <c r="F25" s="382"/>
      <c r="G25" s="383"/>
      <c r="H25" s="384">
        <f>ROUND(((1+(H12+H13+H14))*(1+H15)*(1+H16))/(1-H23)-1,4)</f>
        <v>0.24310000000000001</v>
      </c>
      <c r="I25" s="607"/>
    </row>
    <row r="26" spans="1:9" ht="15" x14ac:dyDescent="0.25">
      <c r="A26" s="380"/>
      <c r="B26" s="950"/>
      <c r="C26" s="951"/>
      <c r="D26" s="951"/>
      <c r="E26" s="951"/>
      <c r="F26" s="951"/>
      <c r="G26" s="952"/>
      <c r="H26" s="953"/>
      <c r="I26" s="607"/>
    </row>
    <row r="27" spans="1:9" ht="15" x14ac:dyDescent="0.25">
      <c r="A27" s="954"/>
      <c r="B27" s="955" t="s">
        <v>2701</v>
      </c>
      <c r="C27" s="1590"/>
      <c r="D27" s="1590"/>
      <c r="E27" s="1590"/>
      <c r="F27" s="1590"/>
      <c r="G27" s="1590"/>
      <c r="H27" s="1590"/>
      <c r="I27" s="1618"/>
    </row>
    <row r="28" spans="1:9" ht="24.75" customHeight="1" x14ac:dyDescent="0.25">
      <c r="A28" s="956"/>
      <c r="B28" s="957"/>
      <c r="C28" s="1593" t="s">
        <v>2702</v>
      </c>
      <c r="D28" s="1593"/>
      <c r="E28" s="1593"/>
      <c r="F28" s="1593"/>
      <c r="G28" s="1593"/>
      <c r="H28" s="1593"/>
      <c r="I28" s="958"/>
    </row>
    <row r="29" spans="1:9" ht="24.75" customHeight="1" x14ac:dyDescent="0.25">
      <c r="A29" s="956"/>
      <c r="B29" s="957"/>
      <c r="C29" s="1593" t="s">
        <v>2703</v>
      </c>
      <c r="D29" s="1593"/>
      <c r="E29" s="1593"/>
      <c r="F29" s="1593"/>
      <c r="G29" s="1593"/>
      <c r="H29" s="1593"/>
      <c r="I29" s="958"/>
    </row>
    <row r="30" spans="1:9" ht="54" customHeight="1" x14ac:dyDescent="0.25">
      <c r="A30" s="956"/>
      <c r="B30" s="957"/>
      <c r="C30" s="1593" t="s">
        <v>4343</v>
      </c>
      <c r="D30" s="1593"/>
      <c r="E30" s="1593"/>
      <c r="F30" s="1593"/>
      <c r="G30" s="1593"/>
      <c r="H30" s="1593"/>
      <c r="I30" s="958"/>
    </row>
    <row r="31" spans="1:9" ht="55.5" customHeight="1" x14ac:dyDescent="0.25">
      <c r="A31" s="956"/>
      <c r="B31" s="957"/>
      <c r="C31" s="1593" t="s">
        <v>2704</v>
      </c>
      <c r="D31" s="1593"/>
      <c r="E31" s="1593"/>
      <c r="F31" s="1593"/>
      <c r="G31" s="1593"/>
      <c r="H31" s="1593"/>
      <c r="I31" s="958"/>
    </row>
    <row r="32" spans="1:9" ht="54" customHeight="1" x14ac:dyDescent="0.25">
      <c r="A32" s="763"/>
      <c r="B32" s="957"/>
      <c r="C32" s="1592" t="s">
        <v>2705</v>
      </c>
      <c r="D32" s="1593"/>
      <c r="E32" s="1593"/>
      <c r="F32" s="1593"/>
      <c r="G32" s="1593"/>
      <c r="H32" s="1593"/>
      <c r="I32" s="959"/>
    </row>
    <row r="33" spans="1:9" ht="21" customHeight="1" x14ac:dyDescent="0.25">
      <c r="A33" s="721"/>
      <c r="B33" s="722"/>
      <c r="C33" s="1585" t="s">
        <v>2706</v>
      </c>
      <c r="D33" s="1586"/>
      <c r="E33" s="1586"/>
      <c r="F33" s="1586"/>
      <c r="G33" s="1586"/>
      <c r="H33" s="1586"/>
      <c r="I33" s="723"/>
    </row>
    <row r="34" spans="1:9" ht="29.25" customHeight="1" x14ac:dyDescent="0.25">
      <c r="A34" s="960"/>
      <c r="B34" s="729"/>
      <c r="C34" s="1587" t="s">
        <v>2707</v>
      </c>
      <c r="D34" s="1588"/>
      <c r="E34" s="1588"/>
      <c r="F34" s="1588"/>
      <c r="G34" s="1588"/>
      <c r="H34" s="1588"/>
      <c r="I34" s="961"/>
    </row>
    <row r="35" spans="1:9" ht="121.5" customHeight="1" x14ac:dyDescent="0.25">
      <c r="A35" s="721"/>
      <c r="B35" s="722"/>
      <c r="C35" s="1589" t="s">
        <v>2708</v>
      </c>
      <c r="D35" s="1590"/>
      <c r="E35" s="1590"/>
      <c r="F35" s="1590"/>
      <c r="G35" s="1590"/>
      <c r="H35" s="1590"/>
      <c r="I35" s="723"/>
    </row>
    <row r="36" spans="1:9" ht="6.75" customHeight="1" x14ac:dyDescent="0.25">
      <c r="A36" s="960"/>
      <c r="B36" s="1591"/>
      <c r="C36" s="1591"/>
      <c r="D36" s="1591"/>
      <c r="E36" s="1591"/>
      <c r="F36" s="1591"/>
      <c r="G36" s="729"/>
      <c r="H36" s="729"/>
      <c r="I36" s="961"/>
    </row>
  </sheetData>
  <sheetProtection sheet="1" objects="1" scenarios="1"/>
  <mergeCells count="28">
    <mergeCell ref="C33:H33"/>
    <mergeCell ref="C34:H34"/>
    <mergeCell ref="E9:I9"/>
    <mergeCell ref="C11:D11"/>
    <mergeCell ref="C12:D12"/>
    <mergeCell ref="C13:D13"/>
    <mergeCell ref="C14:D14"/>
    <mergeCell ref="C15:D15"/>
    <mergeCell ref="C30:H30"/>
    <mergeCell ref="C31:H31"/>
    <mergeCell ref="B36:F36"/>
    <mergeCell ref="C35:H35"/>
    <mergeCell ref="D4:I4"/>
    <mergeCell ref="A6:I6"/>
    <mergeCell ref="A7:I7"/>
    <mergeCell ref="A8:I8"/>
    <mergeCell ref="A9:B9"/>
    <mergeCell ref="C9:D9"/>
    <mergeCell ref="C32:H32"/>
    <mergeCell ref="C16:D16"/>
    <mergeCell ref="C28:H28"/>
    <mergeCell ref="C29:H29"/>
    <mergeCell ref="C18:G18"/>
    <mergeCell ref="C19:G19"/>
    <mergeCell ref="C20:G20"/>
    <mergeCell ref="C21:G21"/>
    <mergeCell ref="C22:G22"/>
    <mergeCell ref="C27:I27"/>
  </mergeCells>
  <printOptions horizontalCentered="1"/>
  <pageMargins left="0.196527777777778" right="0.196527777777778" top="0.64305555555555605" bottom="0.61527777777777803" header="0.39374999999999999" footer="0.39374999999999999"/>
  <pageSetup paperSize="9" fitToHeight="2" orientation="portrait" r:id="rId1"/>
  <headerFooter>
    <oddHeader>&amp;C&amp;"Times New Roman,Normal"&amp;12&amp;Kffffff&amp;A</oddHeader>
    <oddFooter>&amp;C&amp;"Arial,Normal"&amp;10&amp;P de &amp;N</oddFooter>
  </headerFooter>
  <rowBreaks count="1" manualBreakCount="1">
    <brk id="26" max="8"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FC6A0-56CD-4578-BCCC-352519DB43B0}">
  <sheetPr>
    <pageSetUpPr fitToPage="1"/>
  </sheetPr>
  <dimension ref="A1:O47"/>
  <sheetViews>
    <sheetView view="pageBreakPreview" zoomScaleNormal="100" zoomScaleSheetLayoutView="100" workbookViewId="0">
      <selection activeCell="R7" sqref="R7"/>
    </sheetView>
  </sheetViews>
  <sheetFormatPr defaultColWidth="9" defaultRowHeight="12.75" customHeight="1" x14ac:dyDescent="0.2"/>
  <cols>
    <col min="1" max="1" width="11.33203125" customWidth="1"/>
    <col min="2" max="2" width="28.83203125" customWidth="1"/>
    <col min="3" max="3" width="10.5" customWidth="1"/>
    <col min="4" max="5" width="17.5" customWidth="1"/>
    <col min="6" max="8" width="17.83203125" style="228" customWidth="1"/>
    <col min="9" max="9" width="17.83203125" customWidth="1"/>
    <col min="10" max="10" width="17.83203125" bestFit="1" customWidth="1"/>
  </cols>
  <sheetData>
    <row r="1" spans="1:15" ht="17.25" x14ac:dyDescent="0.3">
      <c r="A1" s="873"/>
      <c r="B1" s="874"/>
      <c r="C1" s="874" t="s">
        <v>120</v>
      </c>
      <c r="D1" s="875"/>
      <c r="E1" s="875"/>
      <c r="F1" s="876"/>
      <c r="G1" s="876"/>
      <c r="H1" s="876"/>
      <c r="I1" s="877"/>
    </row>
    <row r="2" spans="1:15" x14ac:dyDescent="0.2">
      <c r="A2" s="878"/>
      <c r="B2" s="784"/>
      <c r="C2" s="784" t="s">
        <v>1</v>
      </c>
      <c r="D2" s="879"/>
      <c r="E2" s="879"/>
      <c r="F2" s="880"/>
      <c r="G2" s="880"/>
      <c r="H2" s="880"/>
      <c r="I2" s="881"/>
    </row>
    <row r="3" spans="1:15" ht="13.5" thickBot="1" x14ac:dyDescent="0.25">
      <c r="A3" s="878"/>
      <c r="B3" s="784"/>
      <c r="C3" s="784" t="s">
        <v>2</v>
      </c>
      <c r="D3" s="879"/>
      <c r="E3" s="879"/>
      <c r="F3" s="880"/>
      <c r="G3" s="880"/>
      <c r="H3" s="880"/>
      <c r="I3" s="881"/>
    </row>
    <row r="4" spans="1:15" ht="13.5" thickBot="1" x14ac:dyDescent="0.25">
      <c r="A4" s="999"/>
      <c r="B4" s="1000"/>
      <c r="C4" s="1000" t="s">
        <v>493</v>
      </c>
      <c r="D4" s="875"/>
      <c r="E4" s="875"/>
      <c r="F4" s="876"/>
      <c r="G4" s="876"/>
      <c r="H4" s="876"/>
      <c r="I4" s="877"/>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32.25" customHeight="1" thickBot="1" x14ac:dyDescent="0.25">
      <c r="A6" s="1646" t="str">
        <f>A8</f>
        <v>Engenheiro de Manutenção (Pleno)</v>
      </c>
      <c r="B6" s="1646"/>
      <c r="C6" s="1646"/>
      <c r="D6" s="1646"/>
      <c r="E6" s="1646"/>
      <c r="F6" s="1646"/>
      <c r="G6" s="1646"/>
      <c r="H6" s="1646"/>
      <c r="I6" s="1646"/>
    </row>
    <row r="7" spans="1:15" ht="36.75" customHeight="1" thickBot="1" x14ac:dyDescent="0.25">
      <c r="A7" s="1647"/>
      <c r="B7" s="1647"/>
      <c r="C7" s="1647"/>
      <c r="D7" s="1647"/>
      <c r="E7" s="1647"/>
      <c r="F7" s="1647"/>
      <c r="G7" s="1647"/>
      <c r="H7" s="1647"/>
      <c r="I7" s="1647"/>
      <c r="J7" s="1623" t="s">
        <v>4344</v>
      </c>
      <c r="K7" s="1625" t="s">
        <v>4345</v>
      </c>
      <c r="L7" s="1625"/>
      <c r="M7" s="1625"/>
      <c r="N7" s="1621" t="s">
        <v>4346</v>
      </c>
      <c r="O7" s="1622"/>
    </row>
    <row r="8" spans="1:15" ht="33.75" x14ac:dyDescent="0.2">
      <c r="A8" s="1656" t="str">
        <f>Dados!B11</f>
        <v>Engenheiro de Manutenção (Pleno)</v>
      </c>
      <c r="B8" s="1657"/>
      <c r="C8" s="995" t="s">
        <v>4347</v>
      </c>
      <c r="D8" s="996">
        <f>Dados!F11</f>
        <v>13347.64</v>
      </c>
      <c r="E8" s="995"/>
      <c r="F8" s="1648" t="s">
        <v>4348</v>
      </c>
      <c r="G8" s="1648" t="s">
        <v>4349</v>
      </c>
      <c r="H8" s="1650" t="s">
        <v>4350</v>
      </c>
      <c r="I8" s="1652" t="s">
        <v>4351</v>
      </c>
      <c r="J8" s="1624"/>
      <c r="K8" s="853" t="s">
        <v>4352</v>
      </c>
      <c r="L8" s="853" t="s">
        <v>4353</v>
      </c>
      <c r="M8" s="853" t="s">
        <v>4354</v>
      </c>
      <c r="N8" s="853" t="s">
        <v>4355</v>
      </c>
      <c r="O8" s="1015" t="s">
        <v>4356</v>
      </c>
    </row>
    <row r="9" spans="1:15" ht="36" customHeight="1" x14ac:dyDescent="0.2">
      <c r="A9" s="1654" t="str">
        <f>_xlfn.CONCAT("33390.37.01 - ",A8)</f>
        <v>33390.37.01 - Engenheiro de Manutenção (Pleno)</v>
      </c>
      <c r="B9" s="1655"/>
      <c r="C9" s="1655"/>
      <c r="D9" s="1655"/>
      <c r="E9" s="988" t="s">
        <v>389</v>
      </c>
      <c r="F9" s="1649"/>
      <c r="G9" s="1649"/>
      <c r="H9" s="1651"/>
      <c r="I9" s="1653"/>
      <c r="J9" s="1624"/>
      <c r="K9" s="882">
        <f>CCT!H15</f>
        <v>0.25</v>
      </c>
      <c r="L9" s="882">
        <f>100%+Dados!G94</f>
        <v>1.5</v>
      </c>
      <c r="M9" s="882">
        <f>100%+Dados!G95</f>
        <v>2</v>
      </c>
      <c r="N9" s="987">
        <f>D23</f>
        <v>42</v>
      </c>
      <c r="O9" s="1016">
        <f>(D21+E21)*2</f>
        <v>30.1</v>
      </c>
    </row>
    <row r="10" spans="1:15" ht="24.6"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7" customHeight="1" x14ac:dyDescent="0.2">
      <c r="A11" s="1660">
        <v>1</v>
      </c>
      <c r="B11" s="1661" t="str">
        <f>A8</f>
        <v>Engenheiro de Manutenção (Pleno)</v>
      </c>
      <c r="C11" s="1661"/>
      <c r="D11" s="229">
        <f>Dados!C11</f>
        <v>220</v>
      </c>
      <c r="E11" s="230">
        <f>Dados!N11</f>
        <v>13347.64</v>
      </c>
      <c r="F11" s="230">
        <f>ROUND(E11/220*D11,2)</f>
        <v>13347.64</v>
      </c>
      <c r="G11" s="230"/>
      <c r="H11" s="230"/>
      <c r="I11" s="1002"/>
      <c r="J11" s="756" t="s">
        <v>4363</v>
      </c>
      <c r="K11" s="442">
        <f>ROUND($F$11/$D$11*K9,2)</f>
        <v>15.17</v>
      </c>
      <c r="L11" s="442">
        <f>ROUND($F$11/$D$11*L9,2)</f>
        <v>91.01</v>
      </c>
      <c r="M11" s="442">
        <f>ROUND($F$11/$D$11*M9,2)</f>
        <v>121.34</v>
      </c>
      <c r="N11" s="1031" t="s">
        <v>88</v>
      </c>
      <c r="O11" s="1032" t="s">
        <v>88</v>
      </c>
    </row>
    <row r="12" spans="1:15" ht="24" customHeight="1" x14ac:dyDescent="0.2">
      <c r="A12" s="1660"/>
      <c r="B12" s="1633"/>
      <c r="C12" s="1633"/>
      <c r="D12" s="231"/>
      <c r="E12" s="990"/>
      <c r="F12" s="230">
        <f>ROUND(((E12/220*D11)*C12)*D12,2)</f>
        <v>0</v>
      </c>
      <c r="G12" s="230"/>
      <c r="H12" s="230"/>
      <c r="I12" s="1002"/>
      <c r="J12" s="756" t="s">
        <v>4364</v>
      </c>
      <c r="K12" s="442">
        <f>ROUND($M$10/$K$10*K11,2)</f>
        <v>3.03</v>
      </c>
      <c r="L12" s="442">
        <f>ROUND($M$10/$K$10*L11,2)</f>
        <v>18.2</v>
      </c>
      <c r="M12" s="442">
        <f>ROUND($M$10/$K$10*M11,2)</f>
        <v>24.27</v>
      </c>
      <c r="N12" s="1031" t="s">
        <v>88</v>
      </c>
      <c r="O12" s="1032" t="s">
        <v>88</v>
      </c>
    </row>
    <row r="13" spans="1:15" ht="19.5" customHeight="1" x14ac:dyDescent="0.2">
      <c r="A13" s="1660"/>
      <c r="B13" s="1632" t="s">
        <v>4365</v>
      </c>
      <c r="C13" s="1632"/>
      <c r="D13" s="1632"/>
      <c r="E13" s="1632"/>
      <c r="F13" s="232">
        <f>F11+F12</f>
        <v>13347.64</v>
      </c>
      <c r="G13" s="232"/>
      <c r="H13" s="232"/>
      <c r="I13" s="233"/>
      <c r="J13" s="1019" t="s">
        <v>334</v>
      </c>
      <c r="K13" s="443">
        <f>SUM(K11:K12)</f>
        <v>18.2</v>
      </c>
      <c r="L13" s="443">
        <f>SUM(L11:L12)</f>
        <v>109.21000000000001</v>
      </c>
      <c r="M13" s="443">
        <f>SUM(M11:M12)</f>
        <v>145.61000000000001</v>
      </c>
      <c r="N13" s="443">
        <f>N9</f>
        <v>42</v>
      </c>
      <c r="O13" s="1020">
        <f>O9</f>
        <v>30.1</v>
      </c>
    </row>
    <row r="14" spans="1:15" ht="19.5" customHeight="1" x14ac:dyDescent="0.2">
      <c r="A14" s="1660"/>
      <c r="B14" s="1626" t="s">
        <v>4366</v>
      </c>
      <c r="C14" s="1626"/>
      <c r="D14" s="1626"/>
      <c r="E14" s="240">
        <f>Dados!G34</f>
        <v>0.76400000000000001</v>
      </c>
      <c r="F14" s="230">
        <f>(ROUND((E14*F13),2))</f>
        <v>10197.6</v>
      </c>
      <c r="G14" s="230"/>
      <c r="H14" s="230"/>
      <c r="I14" s="1002"/>
      <c r="J14" s="756" t="s">
        <v>4367</v>
      </c>
      <c r="K14" s="442">
        <f>K13*$E$14</f>
        <v>13.9048</v>
      </c>
      <c r="L14" s="442">
        <f>L13*$E$14</f>
        <v>83.436440000000005</v>
      </c>
      <c r="M14" s="442">
        <f>M13*$E$14</f>
        <v>111.24604000000001</v>
      </c>
      <c r="N14" s="1031" t="s">
        <v>88</v>
      </c>
      <c r="O14" s="1032" t="s">
        <v>88</v>
      </c>
    </row>
    <row r="15" spans="1:15" ht="24.75" customHeight="1" x14ac:dyDescent="0.2">
      <c r="A15" s="1631" t="s">
        <v>4368</v>
      </c>
      <c r="B15" s="1632"/>
      <c r="C15" s="1632"/>
      <c r="D15" s="1632"/>
      <c r="E15" s="1632"/>
      <c r="F15" s="232">
        <f>ROUND(SUM(F13:F14),2)</f>
        <v>23545.24</v>
      </c>
      <c r="G15" s="232"/>
      <c r="H15" s="232"/>
      <c r="I15" s="233"/>
      <c r="J15" s="1019" t="s">
        <v>4369</v>
      </c>
      <c r="K15" s="443">
        <f>K13+K14</f>
        <v>32.104799999999997</v>
      </c>
      <c r="L15" s="443">
        <f>L13+L14</f>
        <v>192.64644000000001</v>
      </c>
      <c r="M15" s="443">
        <f>M13+M14</f>
        <v>256.85604000000001</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4372</v>
      </c>
      <c r="E17" s="1628"/>
      <c r="F17" s="1628"/>
      <c r="G17" s="1628"/>
      <c r="H17" s="1628"/>
      <c r="I17" s="1659"/>
      <c r="J17" s="1023"/>
      <c r="K17" s="980"/>
      <c r="L17" s="980"/>
      <c r="M17" s="980"/>
      <c r="N17" s="980"/>
      <c r="O17" s="1022"/>
    </row>
    <row r="18" spans="1:15" ht="19.5" customHeight="1" x14ac:dyDescent="0.2">
      <c r="A18" s="1386" t="s">
        <v>4373</v>
      </c>
      <c r="B18" s="1626"/>
      <c r="C18" s="235"/>
      <c r="D18" s="230">
        <f>Dados!O11</f>
        <v>90.35</v>
      </c>
      <c r="E18" s="230"/>
      <c r="F18" s="442">
        <f>ROUND((D18),2)</f>
        <v>90.35</v>
      </c>
      <c r="G18" s="230"/>
      <c r="H18" s="230"/>
      <c r="I18" s="1002"/>
      <c r="J18" s="1021"/>
      <c r="K18" s="445"/>
      <c r="L18" s="445"/>
      <c r="M18" s="445"/>
      <c r="N18" s="445"/>
      <c r="O18" s="1024"/>
    </row>
    <row r="19" spans="1:15" ht="19.5" customHeight="1" x14ac:dyDescent="0.2">
      <c r="A19" s="1386" t="s">
        <v>4374</v>
      </c>
      <c r="B19" s="1626"/>
      <c r="C19" s="235"/>
      <c r="D19" s="230">
        <f>Dados!P11</f>
        <v>35.347500000000004</v>
      </c>
      <c r="E19" s="230"/>
      <c r="F19" s="442">
        <f>ROUND((D19),2)</f>
        <v>35.35</v>
      </c>
      <c r="G19" s="230"/>
      <c r="H19" s="230"/>
      <c r="I19" s="1002"/>
      <c r="J19" s="1021"/>
      <c r="K19" s="445"/>
      <c r="L19" s="445"/>
      <c r="M19" s="445"/>
      <c r="N19" s="445"/>
      <c r="O19" s="1024"/>
    </row>
    <row r="20" spans="1:15" ht="19.5" customHeight="1" x14ac:dyDescent="0.2">
      <c r="A20" s="1386" t="s">
        <v>4375</v>
      </c>
      <c r="B20" s="1626"/>
      <c r="C20" s="235">
        <v>1</v>
      </c>
      <c r="D20" s="230">
        <f>VLOOKUP(A8,CCT!$A$14:$Z$30,9,FALSE)</f>
        <v>20</v>
      </c>
      <c r="E20" s="236"/>
      <c r="F20" s="442">
        <f>ROUND((C20*D20),2)</f>
        <v>20</v>
      </c>
      <c r="G20" s="230"/>
      <c r="H20" s="230"/>
      <c r="I20" s="1002"/>
      <c r="J20" s="1021"/>
      <c r="K20" s="445"/>
      <c r="L20" s="445"/>
      <c r="M20" s="445"/>
      <c r="N20" s="445"/>
      <c r="O20" s="1024"/>
    </row>
    <row r="21" spans="1:15" ht="19.5" customHeight="1" x14ac:dyDescent="0.2">
      <c r="A21" s="1386" t="s">
        <v>4376</v>
      </c>
      <c r="B21" s="1626"/>
      <c r="C21" s="230">
        <f>Dados!$G$47</f>
        <v>22</v>
      </c>
      <c r="D21" s="230">
        <f>Dados!$G$46</f>
        <v>8.8000000000000007</v>
      </c>
      <c r="E21" s="230">
        <f>Dados!$G$44</f>
        <v>6.25</v>
      </c>
      <c r="F21" s="230">
        <f>IF((C21*D21*Dados!G45+C21*E21*Dados!G43)-6%*D8&lt;0,0,(C21*D21*Dados!G45+C21*E21*Dados!G43)-6%*D8)</f>
        <v>0</v>
      </c>
      <c r="G21" s="230"/>
      <c r="H21" s="230"/>
      <c r="I21" s="1002">
        <f>F21</f>
        <v>0</v>
      </c>
      <c r="J21" s="1021"/>
      <c r="K21" s="445"/>
      <c r="L21" s="445"/>
      <c r="M21" s="445"/>
      <c r="N21" s="445"/>
      <c r="O21" s="1024"/>
    </row>
    <row r="22" spans="1:15" ht="25.5" customHeight="1" x14ac:dyDescent="0.2">
      <c r="A22" s="1386" t="s">
        <v>368</v>
      </c>
      <c r="B22" s="1626"/>
      <c r="C22" s="235">
        <v>1</v>
      </c>
      <c r="D22" s="230">
        <f>VLOOKUP(A8,CCT!$A$14:$Z$30,10,FALSE)</f>
        <v>380.02</v>
      </c>
      <c r="E22" s="236">
        <f>VLOOKUP(A8,CCT!$A$14:$Z$30,11,FALSE)</f>
        <v>0.2</v>
      </c>
      <c r="F22" s="442">
        <f>IFERROR(C22*D22*E22,C22*D22)</f>
        <v>76.004000000000005</v>
      </c>
      <c r="G22" s="230"/>
      <c r="H22" s="230"/>
      <c r="I22" s="1002"/>
      <c r="J22" s="756"/>
      <c r="K22" s="442"/>
      <c r="L22" s="442"/>
      <c r="M22" s="442"/>
      <c r="N22" s="442"/>
      <c r="O22" s="1018"/>
    </row>
    <row r="23" spans="1:15" ht="25.5" customHeight="1" x14ac:dyDescent="0.2">
      <c r="A23" s="1386" t="s">
        <v>4377</v>
      </c>
      <c r="B23" s="1626"/>
      <c r="C23" s="442">
        <f>VLOOKUP(A8,CCT!$A$14:$Z$30,15,FALSE)</f>
        <v>22</v>
      </c>
      <c r="D23" s="442">
        <f>VLOOKUP(A8,CCT!$A$14:$Z$30,13,FALSE)</f>
        <v>42</v>
      </c>
      <c r="E23" s="981">
        <f>VLOOKUP(A8,CCT!$A$14:$Z$30,14,FALSE)</f>
        <v>0.2</v>
      </c>
      <c r="F23" s="442">
        <f>VLOOKUP(A8,CCT!$A$14:$Z$30,16,FALSE)</f>
        <v>739.2</v>
      </c>
      <c r="G23" s="230">
        <f>F23</f>
        <v>739.2</v>
      </c>
      <c r="H23" s="230"/>
      <c r="I23" s="1002"/>
      <c r="J23" s="756"/>
      <c r="K23" s="442"/>
      <c r="L23" s="442"/>
      <c r="M23" s="442"/>
      <c r="N23" s="442"/>
      <c r="O23" s="1018"/>
    </row>
    <row r="24" spans="1:15" ht="25.5" customHeight="1" x14ac:dyDescent="0.2">
      <c r="A24" s="1386" t="str">
        <f>CCT!Q8</f>
        <v>Cesta Básica</v>
      </c>
      <c r="B24" s="1626"/>
      <c r="C24" s="442">
        <v>1</v>
      </c>
      <c r="D24" s="442">
        <f>VLOOKUP(A8,CCT!$A$14:$Z$30,17,FALSE)</f>
        <v>0</v>
      </c>
      <c r="E24" s="982">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442">
        <f>VLOOKUP(A8,CCT!$A$14:$Z$30,20,FALSE)</f>
        <v>0</v>
      </c>
      <c r="E25" s="982">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230">
        <f>VLOOKUP(A8,CCT!$A$14:$Z$30,24,FALSE)</f>
        <v>0</v>
      </c>
      <c r="E26" s="230"/>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230">
        <f>VLOOKUP(A8,CCT!$A$14:$Z$30,25,FALSE)</f>
        <v>0</v>
      </c>
      <c r="E27" s="230"/>
      <c r="F27" s="230">
        <f>ROUND((C27*D27),2)</f>
        <v>0</v>
      </c>
      <c r="G27" s="230"/>
      <c r="H27" s="230"/>
      <c r="I27" s="1002"/>
      <c r="J27" s="756"/>
      <c r="K27" s="442"/>
      <c r="L27" s="442"/>
      <c r="M27" s="442"/>
      <c r="N27" s="442"/>
      <c r="O27" s="1018"/>
    </row>
    <row r="28" spans="1:15" ht="19.5" customHeight="1" x14ac:dyDescent="0.2">
      <c r="A28" s="1386" t="str">
        <f>CCT!Z8</f>
        <v>Outros (inserir somente com a justificativa legal)</v>
      </c>
      <c r="B28" s="1626"/>
      <c r="C28" s="230">
        <v>1</v>
      </c>
      <c r="D28" s="230">
        <f>VLOOKUP(A8,CCT!$A$14:$Z$30,26,FALSE)</f>
        <v>0</v>
      </c>
      <c r="E28" s="230"/>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1013.404</v>
      </c>
      <c r="G30" s="232">
        <f>SUM(G18:G29)</f>
        <v>739.2</v>
      </c>
      <c r="H30" s="232">
        <f>SUM($H$18:$H$29)</f>
        <v>0</v>
      </c>
      <c r="I30" s="233">
        <f>SUM($I$18:$I$29)</f>
        <v>0</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24558.644</v>
      </c>
      <c r="G31" s="232">
        <f>$G$15+$G$30</f>
        <v>739.2</v>
      </c>
      <c r="H31" s="232">
        <f>$H$15+$H$30</f>
        <v>0</v>
      </c>
      <c r="I31" s="233">
        <f>$I$15+$I$30</f>
        <v>0</v>
      </c>
      <c r="J31" s="1019" t="s">
        <v>4381</v>
      </c>
      <c r="K31" s="443">
        <f>K15+K30</f>
        <v>32.104799999999997</v>
      </c>
      <c r="L31" s="443">
        <f>L15+L30</f>
        <v>192.64644000000001</v>
      </c>
      <c r="M31" s="443">
        <f>M15+M30</f>
        <v>256.85604000000001</v>
      </c>
      <c r="N31" s="443">
        <f>N15+N30</f>
        <v>42</v>
      </c>
      <c r="O31" s="1020">
        <f>O15+O30</f>
        <v>30.1</v>
      </c>
    </row>
    <row r="32" spans="1:15" ht="19.5" customHeight="1" x14ac:dyDescent="0.2">
      <c r="A32" s="1003" t="s">
        <v>4382</v>
      </c>
      <c r="B32" s="983"/>
      <c r="C32" s="983"/>
      <c r="D32" s="983"/>
      <c r="E32" s="983"/>
      <c r="F32" s="983"/>
      <c r="G32" s="983"/>
      <c r="H32" s="983">
        <f>SUM($H$18:$H$31)</f>
        <v>0</v>
      </c>
      <c r="I32" s="1004">
        <f>SUM($I$18:$I$31)</f>
        <v>0</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1227.93</v>
      </c>
      <c r="G34" s="230">
        <f>ROUND(($G$31*$D$34),2)</f>
        <v>36.96</v>
      </c>
      <c r="H34" s="230">
        <f>ROUND((H31*D34),2)</f>
        <v>0</v>
      </c>
      <c r="I34" s="1002">
        <f>ROUND((I31*D34),2)</f>
        <v>0</v>
      </c>
      <c r="J34" s="756" t="s">
        <v>4386</v>
      </c>
      <c r="K34" s="442">
        <f>ROUND((K31*$D$34),2)</f>
        <v>1.61</v>
      </c>
      <c r="L34" s="442">
        <f>ROUND((L31*$D$34),2)</f>
        <v>9.6300000000000008</v>
      </c>
      <c r="M34" s="442">
        <f>ROUND((M31*$D$34),2)</f>
        <v>12.84</v>
      </c>
      <c r="N34" s="442">
        <f>ROUND((N31*$D$34),2)</f>
        <v>2.1</v>
      </c>
      <c r="O34" s="1018">
        <f>ROUND((O31*$D$34),2)</f>
        <v>1.51</v>
      </c>
    </row>
    <row r="35" spans="1:15" ht="19.5" customHeight="1" x14ac:dyDescent="0.2">
      <c r="A35" s="1636" t="s">
        <v>4387</v>
      </c>
      <c r="B35" s="1637"/>
      <c r="C35" s="1637"/>
      <c r="D35" s="236"/>
      <c r="E35" s="230"/>
      <c r="F35" s="230">
        <f>F31+F34</f>
        <v>25786.574000000001</v>
      </c>
      <c r="G35" s="230">
        <f>$G$34+$G$31</f>
        <v>776.16000000000008</v>
      </c>
      <c r="H35" s="230">
        <f>H31+H34</f>
        <v>0</v>
      </c>
      <c r="I35" s="1002">
        <f>I31+I34</f>
        <v>0</v>
      </c>
      <c r="J35" s="756" t="s">
        <v>4388</v>
      </c>
      <c r="K35" s="442">
        <f>K31+K34</f>
        <v>33.714799999999997</v>
      </c>
      <c r="L35" s="442">
        <f>L31+L34</f>
        <v>202.27644000000001</v>
      </c>
      <c r="M35" s="442">
        <f>M31+M34</f>
        <v>269.69603999999998</v>
      </c>
      <c r="N35" s="442">
        <f>N31+N34</f>
        <v>44.1</v>
      </c>
      <c r="O35" s="1018">
        <f>O31+O34</f>
        <v>31.610000000000003</v>
      </c>
    </row>
    <row r="36" spans="1:15" ht="19.5" customHeight="1" x14ac:dyDescent="0.2">
      <c r="A36" s="411" t="s">
        <v>447</v>
      </c>
      <c r="B36" s="235"/>
      <c r="C36" s="235"/>
      <c r="D36" s="236">
        <f>Dados!$G$54</f>
        <v>6.7900000000000002E-2</v>
      </c>
      <c r="E36" s="230">
        <f>F31+F34</f>
        <v>25786.574000000001</v>
      </c>
      <c r="F36" s="230">
        <f>ROUND((E36*D36),2)</f>
        <v>1750.91</v>
      </c>
      <c r="G36" s="230">
        <f>ROUND(($G$35*$D$36),2)</f>
        <v>52.7</v>
      </c>
      <c r="H36" s="230">
        <f>ROUND((H35*D36),2)</f>
        <v>0</v>
      </c>
      <c r="I36" s="1002">
        <f>ROUND((I35*D36),2)</f>
        <v>0</v>
      </c>
      <c r="J36" s="756" t="s">
        <v>447</v>
      </c>
      <c r="K36" s="442">
        <f>ROUND((K35*$D$36),2)</f>
        <v>2.29</v>
      </c>
      <c r="L36" s="442">
        <f>ROUND((L35*$D$36),2)</f>
        <v>13.73</v>
      </c>
      <c r="M36" s="442">
        <f>ROUND((M35*$D$36),2)</f>
        <v>18.309999999999999</v>
      </c>
      <c r="N36" s="442">
        <f>ROUND((N35*$D$36),2)</f>
        <v>2.99</v>
      </c>
      <c r="O36" s="1018">
        <f>ROUND((O35*$D$36),2)</f>
        <v>2.15</v>
      </c>
    </row>
    <row r="37" spans="1:15" ht="24.75" customHeight="1" x14ac:dyDescent="0.2">
      <c r="A37" s="421" t="s">
        <v>4389</v>
      </c>
      <c r="B37" s="422"/>
      <c r="C37" s="422"/>
      <c r="D37" s="237">
        <f>SUM(D34:D36)</f>
        <v>0.1179</v>
      </c>
      <c r="E37" s="232"/>
      <c r="F37" s="232">
        <f>F34+F36</f>
        <v>2978.84</v>
      </c>
      <c r="G37" s="232">
        <f>$G$34+$G$36</f>
        <v>89.66</v>
      </c>
      <c r="H37" s="232">
        <f>H34+H36</f>
        <v>0</v>
      </c>
      <c r="I37" s="233">
        <f>I34+I36</f>
        <v>0</v>
      </c>
      <c r="J37" s="1019" t="s">
        <v>4390</v>
      </c>
      <c r="K37" s="443">
        <f>K34+K36</f>
        <v>3.9000000000000004</v>
      </c>
      <c r="L37" s="443">
        <f>L34+L36</f>
        <v>23.36</v>
      </c>
      <c r="M37" s="443">
        <f>M34+M36</f>
        <v>31.15</v>
      </c>
      <c r="N37" s="443">
        <f>N34+N36</f>
        <v>5.09</v>
      </c>
      <c r="O37" s="1020">
        <f>O34+O36</f>
        <v>3.66</v>
      </c>
    </row>
    <row r="38" spans="1:15" ht="24.75" customHeight="1" x14ac:dyDescent="0.2">
      <c r="A38" s="1631" t="s">
        <v>4391</v>
      </c>
      <c r="B38" s="1632"/>
      <c r="C38" s="1632"/>
      <c r="D38" s="1632"/>
      <c r="E38" s="1632"/>
      <c r="F38" s="232">
        <f>F15+F30+F37</f>
        <v>27537.484</v>
      </c>
      <c r="G38" s="232">
        <f>$G$15+$G$30+$G$37</f>
        <v>828.86</v>
      </c>
      <c r="H38" s="232">
        <f>H15+H30+H37</f>
        <v>0</v>
      </c>
      <c r="I38" s="233">
        <f>I15+I30+I37</f>
        <v>0</v>
      </c>
      <c r="J38" s="1019" t="s">
        <v>4392</v>
      </c>
      <c r="K38" s="443">
        <f>K15+K30+K37</f>
        <v>36.004799999999996</v>
      </c>
      <c r="L38" s="443">
        <f>L15+L30+L37</f>
        <v>216.00644</v>
      </c>
      <c r="M38" s="443">
        <f>M15+M30+M37</f>
        <v>288.00603999999998</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880.26</v>
      </c>
      <c r="G40" s="230">
        <f>ROUND(($G$45*$D$40),2)</f>
        <v>26.5</v>
      </c>
      <c r="H40" s="230">
        <f>ROUND((H45*D40),2)</f>
        <v>0</v>
      </c>
      <c r="I40" s="1002">
        <f>ROUND((I45*D40),2)</f>
        <v>0</v>
      </c>
      <c r="J40" s="1026" t="s">
        <v>452</v>
      </c>
      <c r="K40" s="442">
        <f>ROUND((K45*$D$40),2)</f>
        <v>1.1499999999999999</v>
      </c>
      <c r="L40" s="442">
        <f>ROUND((L45*$D$40),2)</f>
        <v>6.9</v>
      </c>
      <c r="M40" s="442">
        <f>ROUND((M45*$D$40),2)</f>
        <v>9.2100000000000009</v>
      </c>
      <c r="N40" s="442">
        <f>ROUND((N45*$D$40),2)</f>
        <v>1.51</v>
      </c>
      <c r="O40" s="1018">
        <f>ROUND((O45*$D$40),2)</f>
        <v>1.08</v>
      </c>
    </row>
    <row r="41" spans="1:15" ht="19.5" customHeight="1" x14ac:dyDescent="0.2">
      <c r="A41" s="411" t="s">
        <v>454</v>
      </c>
      <c r="B41" s="235"/>
      <c r="C41" s="235"/>
      <c r="D41" s="236">
        <f>Dados!$G$62</f>
        <v>6.4999999999999997E-3</v>
      </c>
      <c r="E41" s="230"/>
      <c r="F41" s="230">
        <f>ROUND((F45*D41),2)</f>
        <v>190.72</v>
      </c>
      <c r="G41" s="230">
        <f>ROUND(($G$45*$D$41),2)</f>
        <v>5.74</v>
      </c>
      <c r="H41" s="230">
        <f>ROUND((H45*D41),2)</f>
        <v>0</v>
      </c>
      <c r="I41" s="1002">
        <f>ROUND((I45*D41),2)</f>
        <v>0</v>
      </c>
      <c r="J41" s="1026" t="s">
        <v>454</v>
      </c>
      <c r="K41" s="442">
        <f>ROUND((K45*$D$42),2)</f>
        <v>0.96</v>
      </c>
      <c r="L41" s="442">
        <f>ROUND((L45*$D$41),2)</f>
        <v>1.5</v>
      </c>
      <c r="M41" s="442">
        <f>ROUND((M45*$D$41),2)</f>
        <v>1.99</v>
      </c>
      <c r="N41" s="442">
        <f>ROUND((N45*$D$41),2)</f>
        <v>0.33</v>
      </c>
      <c r="O41" s="1018">
        <f>ROUND((O45*$D$41),2)</f>
        <v>0.23</v>
      </c>
    </row>
    <row r="42" spans="1:15" ht="19.5" customHeight="1" x14ac:dyDescent="0.2">
      <c r="A42" s="411" t="s">
        <v>456</v>
      </c>
      <c r="B42" s="235"/>
      <c r="C42" s="235"/>
      <c r="D42" s="236">
        <f>Dados!$G$63</f>
        <v>2.5000000000000001E-2</v>
      </c>
      <c r="E42" s="230"/>
      <c r="F42" s="230">
        <f>ROUND((F45*D42),2)</f>
        <v>733.55</v>
      </c>
      <c r="G42" s="230">
        <f>ROUND(($G$45*$D$42),2)</f>
        <v>22.08</v>
      </c>
      <c r="H42" s="230">
        <f>ROUND((H45*D42),2)</f>
        <v>0</v>
      </c>
      <c r="I42" s="1002">
        <f>ROUND((I45*D42),2)</f>
        <v>0</v>
      </c>
      <c r="J42" s="1026" t="s">
        <v>456</v>
      </c>
      <c r="K42" s="442">
        <f>ROUND((K45*$D$42),2)</f>
        <v>0.96</v>
      </c>
      <c r="L42" s="442">
        <f>ROUND((L45*$D$42),2)</f>
        <v>5.75</v>
      </c>
      <c r="M42" s="442">
        <f>ROUND((M45*$D$42),2)</f>
        <v>7.67</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ROUND((G45*E43),2)</f>
        <v>0</v>
      </c>
      <c r="H43" s="230"/>
      <c r="I43" s="1002"/>
      <c r="J43" s="1026" t="s">
        <v>4394</v>
      </c>
      <c r="K43" s="442"/>
      <c r="L43" s="442"/>
      <c r="M43" s="442"/>
      <c r="N43" s="442"/>
      <c r="O43" s="1018"/>
    </row>
    <row r="44" spans="1:15" ht="30" customHeight="1" x14ac:dyDescent="0.2">
      <c r="A44" s="421" t="s">
        <v>4395</v>
      </c>
      <c r="B44" s="422"/>
      <c r="C44" s="422"/>
      <c r="D44" s="237">
        <f>SUM(D40:D43)</f>
        <v>6.1499999999999999E-2</v>
      </c>
      <c r="E44" s="232"/>
      <c r="F44" s="232">
        <f>SUM(F40:F43)</f>
        <v>1804.53</v>
      </c>
      <c r="G44" s="232">
        <f>SUM(G40:G43)</f>
        <v>54.32</v>
      </c>
      <c r="H44" s="232">
        <f>SUM(H40:H43)</f>
        <v>0</v>
      </c>
      <c r="I44" s="233">
        <f>SUM(I40:I43)</f>
        <v>0</v>
      </c>
      <c r="J44" s="1019" t="s">
        <v>4396</v>
      </c>
      <c r="K44" s="443">
        <f>SUM(K40:K43)</f>
        <v>3.07</v>
      </c>
      <c r="L44" s="443">
        <f>SUM(L40:L43)</f>
        <v>14.15</v>
      </c>
      <c r="M44" s="443">
        <f>SUM(M40:M43)</f>
        <v>18.87</v>
      </c>
      <c r="N44" s="443">
        <f>SUM(N40:N43)</f>
        <v>3.09</v>
      </c>
      <c r="O44" s="1020">
        <f>SUM(O40:O43)</f>
        <v>2.21</v>
      </c>
    </row>
    <row r="45" spans="1:15" ht="34.5" hidden="1" customHeight="1" thickBot="1" x14ac:dyDescent="0.25">
      <c r="A45" s="1641" t="str">
        <f>A8</f>
        <v>Engenheiro de Manutenção (Pleno)</v>
      </c>
      <c r="B45" s="1642"/>
      <c r="C45" s="1642"/>
      <c r="D45" s="1642"/>
      <c r="E45" s="1642"/>
      <c r="F45" s="232">
        <f>ROUND(F38/(1-D44),2)</f>
        <v>29342.02</v>
      </c>
      <c r="G45" s="232">
        <f>ROUND($G$38/(1-$D$44),2)</f>
        <v>883.18</v>
      </c>
      <c r="H45" s="232">
        <f>ROUND(H38/(1-D44),2)</f>
        <v>0</v>
      </c>
      <c r="I45" s="233">
        <f>ROUND(I38/(1-D44),2)</f>
        <v>0</v>
      </c>
      <c r="J45" s="1019" t="s">
        <v>585</v>
      </c>
      <c r="K45" s="443">
        <f>ROUND(K38/(1-$D$44),2)</f>
        <v>38.36</v>
      </c>
      <c r="L45" s="443">
        <f>ROUND(L38/(1-$D$44),2)</f>
        <v>230.16</v>
      </c>
      <c r="M45" s="443">
        <f>ROUND(M38/(1-$D$44),2)</f>
        <v>306.88</v>
      </c>
      <c r="N45" s="443">
        <f>ROUND(N38/(1-$D$44),2)</f>
        <v>50.18</v>
      </c>
      <c r="O45" s="1020">
        <f>ROUND(O38/(1-$D$44),2)</f>
        <v>35.97</v>
      </c>
    </row>
    <row r="46" spans="1:15" ht="30" customHeight="1" x14ac:dyDescent="0.2">
      <c r="A46" s="1643" t="str">
        <f>A8</f>
        <v>Engenheiro de Manutenção (Pleno)</v>
      </c>
      <c r="B46" s="1644"/>
      <c r="C46" s="1644"/>
      <c r="D46" s="1644"/>
      <c r="E46" s="1644"/>
      <c r="F46" s="984">
        <f>F45</f>
        <v>29342.02</v>
      </c>
      <c r="G46" s="984">
        <f>$G$45</f>
        <v>883.18</v>
      </c>
      <c r="H46" s="984">
        <f>H45</f>
        <v>0</v>
      </c>
      <c r="I46" s="1005">
        <f>I45</f>
        <v>0</v>
      </c>
      <c r="J46" s="1019" t="s">
        <v>585</v>
      </c>
      <c r="K46" s="446">
        <f>K45</f>
        <v>38.36</v>
      </c>
      <c r="L46" s="446">
        <f>L45</f>
        <v>230.16</v>
      </c>
      <c r="M46" s="446">
        <f>M45</f>
        <v>306.88</v>
      </c>
      <c r="N46" s="446">
        <f>N45</f>
        <v>50.18</v>
      </c>
      <c r="O46" s="1027">
        <f>O45</f>
        <v>35.97</v>
      </c>
    </row>
    <row r="47" spans="1:15" ht="29.25" customHeight="1" thickBot="1" x14ac:dyDescent="0.25">
      <c r="A47" s="1634" t="s">
        <v>4397</v>
      </c>
      <c r="B47" s="1635"/>
      <c r="C47" s="1635"/>
      <c r="D47" s="1635"/>
      <c r="E47" s="1635"/>
      <c r="F47" s="1006">
        <f>($F$46/$F$13)/100</f>
        <v>2.1982927318986725E-2</v>
      </c>
      <c r="G47" s="1006"/>
      <c r="H47" s="1006"/>
      <c r="I47" s="1007"/>
      <c r="J47" s="1028"/>
      <c r="K47" s="1029"/>
      <c r="L47" s="1029"/>
      <c r="M47" s="1029"/>
      <c r="N47" s="1029"/>
      <c r="O47" s="1030"/>
    </row>
  </sheetData>
  <sheetProtection sheet="1" objects="1" scenarios="1"/>
  <mergeCells count="46">
    <mergeCell ref="A19:B19"/>
    <mergeCell ref="B10:C10"/>
    <mergeCell ref="A15:E15"/>
    <mergeCell ref="A16:I16"/>
    <mergeCell ref="A17:B17"/>
    <mergeCell ref="D17:I17"/>
    <mergeCell ref="F10:I10"/>
    <mergeCell ref="A11:A14"/>
    <mergeCell ref="B11:C11"/>
    <mergeCell ref="A5:I5"/>
    <mergeCell ref="A6:I6"/>
    <mergeCell ref="A7:I7"/>
    <mergeCell ref="F8:F9"/>
    <mergeCell ref="G8:G9"/>
    <mergeCell ref="H8:H9"/>
    <mergeCell ref="I8:I9"/>
    <mergeCell ref="A9:D9"/>
    <mergeCell ref="A8:B8"/>
    <mergeCell ref="A26:B26"/>
    <mergeCell ref="A47:E47"/>
    <mergeCell ref="A35:C35"/>
    <mergeCell ref="A38:E38"/>
    <mergeCell ref="A39:I39"/>
    <mergeCell ref="A45:E45"/>
    <mergeCell ref="A46:E46"/>
    <mergeCell ref="A27:B27"/>
    <mergeCell ref="B12:C12"/>
    <mergeCell ref="B13:E13"/>
    <mergeCell ref="B14:D14"/>
    <mergeCell ref="A24:B24"/>
    <mergeCell ref="A25:B25"/>
    <mergeCell ref="A18:B18"/>
    <mergeCell ref="A20:B20"/>
    <mergeCell ref="A22:B22"/>
    <mergeCell ref="A23:B23"/>
    <mergeCell ref="A21:B21"/>
    <mergeCell ref="N7:O7"/>
    <mergeCell ref="J7:J9"/>
    <mergeCell ref="K7:M7"/>
    <mergeCell ref="A28:B28"/>
    <mergeCell ref="A33:C33"/>
    <mergeCell ref="D33:E33"/>
    <mergeCell ref="F33:I33"/>
    <mergeCell ref="A29:B29"/>
    <mergeCell ref="A30:E30"/>
    <mergeCell ref="A31:E31"/>
  </mergeCells>
  <printOptions horizontalCentered="1"/>
  <pageMargins left="0.196527777777778" right="0.196527777777778" top="0.56041666666666701" bottom="0.56041666666666701" header="0.39374999999999999" footer="0.39374999999999999"/>
  <pageSetup paperSize="9" scale="51" orientation="portrait" r:id="rId1"/>
  <headerFooter>
    <oddHeader>&amp;C&amp;12&amp;A</oddHeader>
    <oddFooter>&amp;C&amp;12&amp;P</oddFooter>
  </headerFooter>
  <rowBreaks count="1" manualBreakCount="1">
    <brk id="47"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815E-045F-4495-8F54-61E968284CF2}">
  <sheetPr>
    <pageSetUpPr fitToPage="1"/>
  </sheetPr>
  <dimension ref="A1:O47"/>
  <sheetViews>
    <sheetView view="pageBreakPreview" zoomScaleNormal="100" zoomScaleSheetLayoutView="100" workbookViewId="0">
      <selection activeCell="N18" sqref="N18"/>
    </sheetView>
  </sheetViews>
  <sheetFormatPr defaultColWidth="9" defaultRowHeight="12.75" customHeight="1" x14ac:dyDescent="0.2"/>
  <cols>
    <col min="1" max="1" width="11.33203125" customWidth="1"/>
    <col min="2" max="2" width="28.83203125" customWidth="1"/>
    <col min="3" max="3" width="10.33203125" customWidth="1"/>
    <col min="4" max="5" width="17.5" customWidth="1"/>
    <col min="6" max="8" width="17.83203125" style="228" customWidth="1"/>
    <col min="9" max="9" width="17.83203125" customWidth="1"/>
    <col min="10" max="10" width="18.5" bestFit="1" customWidth="1"/>
  </cols>
  <sheetData>
    <row r="1" spans="1:15" ht="17.25" x14ac:dyDescent="0.3">
      <c r="A1" s="873"/>
      <c r="B1" s="874"/>
      <c r="C1" s="874" t="s">
        <v>120</v>
      </c>
      <c r="D1" s="875"/>
      <c r="E1" s="875"/>
      <c r="F1" s="876"/>
      <c r="G1" s="876"/>
      <c r="H1" s="876"/>
      <c r="I1" s="877"/>
    </row>
    <row r="2" spans="1:15" x14ac:dyDescent="0.2">
      <c r="A2" s="878"/>
      <c r="B2" s="784"/>
      <c r="C2" s="784" t="s">
        <v>1</v>
      </c>
      <c r="D2" s="879"/>
      <c r="E2" s="879"/>
      <c r="F2" s="880"/>
      <c r="G2" s="880"/>
      <c r="H2" s="880"/>
      <c r="I2" s="881"/>
    </row>
    <row r="3" spans="1:15" ht="13.5" thickBot="1" x14ac:dyDescent="0.25">
      <c r="A3" s="878"/>
      <c r="B3" s="784"/>
      <c r="C3" s="784" t="s">
        <v>2</v>
      </c>
      <c r="D3" s="879"/>
      <c r="E3" s="879"/>
      <c r="F3" s="880"/>
      <c r="G3" s="880"/>
      <c r="H3" s="880"/>
      <c r="I3" s="881"/>
    </row>
    <row r="4" spans="1:15" ht="13.5" thickBot="1" x14ac:dyDescent="0.25">
      <c r="A4" s="999"/>
      <c r="B4" s="1000"/>
      <c r="C4" s="1000" t="s">
        <v>493</v>
      </c>
      <c r="D4" s="875"/>
      <c r="E4" s="875"/>
      <c r="F4" s="876"/>
      <c r="G4" s="876"/>
      <c r="H4" s="876"/>
      <c r="I4" s="877"/>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32.25" customHeight="1" thickBot="1" x14ac:dyDescent="0.25">
      <c r="A6" s="1646" t="str">
        <f>A8</f>
        <v>Líder Técnico</v>
      </c>
      <c r="B6" s="1646"/>
      <c r="C6" s="1646"/>
      <c r="D6" s="1646"/>
      <c r="E6" s="1646"/>
      <c r="F6" s="1646"/>
      <c r="G6" s="1646"/>
      <c r="H6" s="1646"/>
      <c r="I6" s="1646"/>
    </row>
    <row r="7" spans="1:15" ht="33" customHeight="1" thickBot="1" x14ac:dyDescent="0.25">
      <c r="A7" s="1647"/>
      <c r="B7" s="1647"/>
      <c r="C7" s="1647"/>
      <c r="D7" s="1647"/>
      <c r="E7" s="1647"/>
      <c r="F7" s="1647"/>
      <c r="G7" s="1647"/>
      <c r="H7" s="1647"/>
      <c r="I7" s="1647"/>
      <c r="J7" s="1623" t="s">
        <v>4344</v>
      </c>
      <c r="K7" s="1625" t="s">
        <v>4345</v>
      </c>
      <c r="L7" s="1625"/>
      <c r="M7" s="1625"/>
      <c r="N7" s="1621" t="s">
        <v>4346</v>
      </c>
      <c r="O7" s="1622"/>
    </row>
    <row r="8" spans="1:15" ht="30" customHeight="1" x14ac:dyDescent="0.2">
      <c r="A8" s="1656" t="str">
        <f>Dados!B12</f>
        <v>Líder Técnico</v>
      </c>
      <c r="B8" s="1657"/>
      <c r="C8" s="995" t="s">
        <v>4347</v>
      </c>
      <c r="D8" s="996">
        <f>Dados!F12</f>
        <v>4111.95</v>
      </c>
      <c r="E8" s="995"/>
      <c r="F8" s="1648" t="s">
        <v>4348</v>
      </c>
      <c r="G8" s="1648" t="s">
        <v>4349</v>
      </c>
      <c r="H8" s="1650" t="s">
        <v>4350</v>
      </c>
      <c r="I8" s="1652" t="s">
        <v>4351</v>
      </c>
      <c r="J8" s="1624"/>
      <c r="K8" s="853" t="s">
        <v>4352</v>
      </c>
      <c r="L8" s="853" t="s">
        <v>4353</v>
      </c>
      <c r="M8" s="853" t="s">
        <v>4354</v>
      </c>
      <c r="N8" s="853" t="s">
        <v>4355</v>
      </c>
      <c r="O8" s="1015" t="s">
        <v>4356</v>
      </c>
    </row>
    <row r="9" spans="1:15" ht="36" customHeight="1" x14ac:dyDescent="0.2">
      <c r="A9" s="1662" t="str">
        <f>_xlfn.CONCAT("33390.37.01 - ",A8)</f>
        <v>33390.37.01 - Líder Técnico</v>
      </c>
      <c r="B9" s="1663"/>
      <c r="C9" s="1663"/>
      <c r="D9" s="1663"/>
      <c r="E9" s="988" t="s">
        <v>389</v>
      </c>
      <c r="F9" s="1649"/>
      <c r="G9" s="1649"/>
      <c r="H9" s="1651"/>
      <c r="I9" s="1653"/>
      <c r="J9" s="1624"/>
      <c r="K9" s="882">
        <f>CCT!H16</f>
        <v>0.2</v>
      </c>
      <c r="L9" s="882">
        <f>100%+Dados!G94</f>
        <v>1.5</v>
      </c>
      <c r="M9" s="882">
        <f>100%+Dados!G95</f>
        <v>2</v>
      </c>
      <c r="N9" s="987">
        <f>D23</f>
        <v>42</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Líder Técnico</v>
      </c>
      <c r="C11" s="1661"/>
      <c r="D11" s="238">
        <f>Dados!C14</f>
        <v>220</v>
      </c>
      <c r="E11" s="230">
        <f>Dados!$N12</f>
        <v>7812.7049999999999</v>
      </c>
      <c r="F11" s="230">
        <f>ROUND(E11/220*D11,2)</f>
        <v>7812.71</v>
      </c>
      <c r="G11" s="230"/>
      <c r="H11" s="230"/>
      <c r="I11" s="1002"/>
      <c r="J11" s="756" t="s">
        <v>4363</v>
      </c>
      <c r="K11" s="442">
        <f>ROUND($F$11/$D$11*K9,2)</f>
        <v>7.1</v>
      </c>
      <c r="L11" s="442">
        <f>ROUND($F$11/$D$11*L9,2)</f>
        <v>53.27</v>
      </c>
      <c r="M11" s="442">
        <f>ROUND($F$11/$D$11*M9,2)</f>
        <v>71.02</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1.42</v>
      </c>
      <c r="L12" s="442">
        <f>ROUND($M$10/$K$10*L11,2)</f>
        <v>10.65</v>
      </c>
      <c r="M12" s="442">
        <f>ROUND($M$10/$K$10*M11,2)</f>
        <v>14.2</v>
      </c>
      <c r="N12" s="1031" t="s">
        <v>88</v>
      </c>
      <c r="O12" s="1032" t="s">
        <v>88</v>
      </c>
    </row>
    <row r="13" spans="1:15" ht="19.5" customHeight="1" x14ac:dyDescent="0.2">
      <c r="A13" s="1660"/>
      <c r="B13" s="1632" t="s">
        <v>4365</v>
      </c>
      <c r="C13" s="1632"/>
      <c r="D13" s="1632"/>
      <c r="E13" s="1632"/>
      <c r="F13" s="232">
        <f>F11+F12</f>
        <v>7812.71</v>
      </c>
      <c r="G13" s="232"/>
      <c r="H13" s="232"/>
      <c r="I13" s="233"/>
      <c r="J13" s="1019" t="s">
        <v>334</v>
      </c>
      <c r="K13" s="443">
        <f>SUM(K11:K12)</f>
        <v>8.52</v>
      </c>
      <c r="L13" s="443">
        <f>SUM(L11:L12)</f>
        <v>63.92</v>
      </c>
      <c r="M13" s="443">
        <f>SUM(M11:M12)</f>
        <v>85.22</v>
      </c>
      <c r="N13" s="443">
        <f>N9</f>
        <v>42</v>
      </c>
      <c r="O13" s="1020">
        <f>O9</f>
        <v>30.1</v>
      </c>
    </row>
    <row r="14" spans="1:15" ht="19.5" customHeight="1" x14ac:dyDescent="0.2">
      <c r="A14" s="1660"/>
      <c r="B14" s="1626" t="s">
        <v>4366</v>
      </c>
      <c r="C14" s="1626"/>
      <c r="D14" s="1626"/>
      <c r="E14" s="240">
        <f>Dados!G34</f>
        <v>0.76400000000000001</v>
      </c>
      <c r="F14" s="230">
        <f>(ROUND((E14*F13),2))</f>
        <v>5968.91</v>
      </c>
      <c r="G14" s="230"/>
      <c r="H14" s="230"/>
      <c r="I14" s="1002"/>
      <c r="J14" s="756" t="s">
        <v>4367</v>
      </c>
      <c r="K14" s="442">
        <f>K13*$E$14</f>
        <v>6.5092799999999995</v>
      </c>
      <c r="L14" s="442">
        <f>L13*$E$14</f>
        <v>48.834880000000005</v>
      </c>
      <c r="M14" s="442">
        <f>M13*$E$14</f>
        <v>65.108080000000001</v>
      </c>
      <c r="N14" s="1031" t="s">
        <v>88</v>
      </c>
      <c r="O14" s="1032" t="s">
        <v>88</v>
      </c>
    </row>
    <row r="15" spans="1:15" ht="24.75" customHeight="1" x14ac:dyDescent="0.2">
      <c r="A15" s="1631" t="s">
        <v>4368</v>
      </c>
      <c r="B15" s="1632"/>
      <c r="C15" s="1632"/>
      <c r="D15" s="1632"/>
      <c r="E15" s="1632"/>
      <c r="F15" s="232">
        <f>ROUND(SUM(F13:F14),2)</f>
        <v>13781.62</v>
      </c>
      <c r="G15" s="232"/>
      <c r="H15" s="232"/>
      <c r="I15" s="233"/>
      <c r="J15" s="1019" t="s">
        <v>4369</v>
      </c>
      <c r="K15" s="443">
        <f>K13+K14</f>
        <v>15.02928</v>
      </c>
      <c r="L15" s="443">
        <f>L13+L14</f>
        <v>112.75488000000001</v>
      </c>
      <c r="M15" s="443">
        <f>M13+M14</f>
        <v>150.32808</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Dados!O12</f>
        <v>90.35</v>
      </c>
      <c r="E18" s="230"/>
      <c r="F18" s="442">
        <f>ROUND((D18),2)</f>
        <v>90.35</v>
      </c>
      <c r="G18" s="230"/>
      <c r="H18" s="230"/>
      <c r="I18" s="1002"/>
      <c r="J18" s="1021"/>
      <c r="K18" s="445"/>
      <c r="L18" s="445"/>
      <c r="M18" s="445"/>
      <c r="N18" s="445"/>
      <c r="O18" s="1024"/>
    </row>
    <row r="19" spans="1:15" ht="19.5" customHeight="1" x14ac:dyDescent="0.2">
      <c r="A19" s="1386" t="s">
        <v>4374</v>
      </c>
      <c r="B19" s="1626"/>
      <c r="C19" s="235"/>
      <c r="D19" s="230">
        <f>Dados!P12</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415.48300000000006</v>
      </c>
      <c r="G21" s="230"/>
      <c r="H21" s="230"/>
      <c r="I21" s="1002">
        <f>F21</f>
        <v>415.48300000000006</v>
      </c>
      <c r="J21" s="1021"/>
      <c r="K21" s="445"/>
      <c r="L21" s="445"/>
      <c r="M21" s="445"/>
      <c r="N21" s="445"/>
      <c r="O21" s="1024"/>
    </row>
    <row r="22" spans="1:15" ht="25.5" customHeight="1" x14ac:dyDescent="0.2">
      <c r="A22" s="1386" t="s">
        <v>368</v>
      </c>
      <c r="B22" s="1626"/>
      <c r="C22" s="235">
        <v>1</v>
      </c>
      <c r="D22" s="303">
        <f>VLOOKUP(A8,CCT!$A$14:$Z$30,10,FALSE)</f>
        <v>380.02</v>
      </c>
      <c r="E22" s="973">
        <f>VLOOKUP(A8,CCT!$A$14:$Z$30,11,FALSE)</f>
        <v>0.3</v>
      </c>
      <c r="F22" s="442">
        <f>IFERROR(C22*D22*E22,C22*D22)</f>
        <v>114.00599999999999</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42</v>
      </c>
      <c r="E23" s="758">
        <f>VLOOKUP(A8,CCT!$A$14:$Z$30,14,FALSE)</f>
        <v>0.2</v>
      </c>
      <c r="F23" s="442">
        <f>VLOOKUP(A8,CCT!$A$14:$Z$30,16,FALSE)</f>
        <v>739.2</v>
      </c>
      <c r="G23" s="230">
        <f>F23</f>
        <v>739.2</v>
      </c>
      <c r="H23" s="230"/>
      <c r="I23" s="1002"/>
      <c r="J23" s="756"/>
      <c r="K23" s="442"/>
      <c r="L23" s="442"/>
      <c r="M23" s="442"/>
      <c r="N23" s="442"/>
      <c r="O23" s="1018"/>
    </row>
    <row r="24" spans="1:15" ht="25.5" customHeight="1" x14ac:dyDescent="0.2">
      <c r="A24" s="1386" t="str">
        <f>CCT!Q8</f>
        <v>Cesta Básica</v>
      </c>
      <c r="B24" s="1626"/>
      <c r="C24" s="442">
        <v>1</v>
      </c>
      <c r="D24" s="757">
        <f>VLOOKUP(A8,CCT!$A$14:$Z$30,17,FALSE)</f>
        <v>0</v>
      </c>
      <c r="E24" s="759">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0</v>
      </c>
      <c r="E26" s="303"/>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1466.8890000000001</v>
      </c>
      <c r="G30" s="232">
        <f>SUM(G18:G29)</f>
        <v>739.2</v>
      </c>
      <c r="H30" s="232">
        <f>SUM($H$18:$H$29)</f>
        <v>0</v>
      </c>
      <c r="I30" s="233">
        <f>SUM($I$18:$I$29)</f>
        <v>415.48300000000006</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15248.509000000002</v>
      </c>
      <c r="G31" s="232">
        <f>$G$15+$G$30</f>
        <v>739.2</v>
      </c>
      <c r="H31" s="232">
        <f>$H$15+$H$30</f>
        <v>0</v>
      </c>
      <c r="I31" s="233">
        <f>$I$15+$I$30</f>
        <v>415.48300000000006</v>
      </c>
      <c r="J31" s="1019" t="s">
        <v>4381</v>
      </c>
      <c r="K31" s="443">
        <f>K15+K30</f>
        <v>15.02928</v>
      </c>
      <c r="L31" s="443">
        <f>L15+L30</f>
        <v>112.75488000000001</v>
      </c>
      <c r="M31" s="443">
        <f>M15+M30</f>
        <v>150.32808</v>
      </c>
      <c r="N31" s="443">
        <f>N15+N30</f>
        <v>42</v>
      </c>
      <c r="O31" s="1020">
        <f>O15+O30</f>
        <v>30.1</v>
      </c>
    </row>
    <row r="32" spans="1:15" ht="19.5" customHeight="1" x14ac:dyDescent="0.2">
      <c r="A32" s="1638" t="s">
        <v>4382</v>
      </c>
      <c r="B32" s="1639"/>
      <c r="C32" s="1639"/>
      <c r="D32" s="1639"/>
      <c r="E32" s="1639"/>
      <c r="F32" s="1639"/>
      <c r="G32" s="1639"/>
      <c r="H32" s="1639">
        <f>SUM($H$18:$H$31)</f>
        <v>0</v>
      </c>
      <c r="I32" s="1640">
        <f>SUM($I$18:$I$31)</f>
        <v>1246.4490000000001</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762.43</v>
      </c>
      <c r="G34" s="230">
        <f>ROUND(($G$31*$D$34),2)</f>
        <v>36.96</v>
      </c>
      <c r="H34" s="230">
        <f>ROUND((H31*D34),2)</f>
        <v>0</v>
      </c>
      <c r="I34" s="1002">
        <f>ROUND((I31*D34),2)</f>
        <v>20.77</v>
      </c>
      <c r="J34" s="756" t="s">
        <v>4386</v>
      </c>
      <c r="K34" s="442">
        <f>ROUND((K31*$D$34),2)</f>
        <v>0.75</v>
      </c>
      <c r="L34" s="442">
        <f>ROUND((L31*$D$34),2)</f>
        <v>5.64</v>
      </c>
      <c r="M34" s="442">
        <f>ROUND((M31*$D$34),2)</f>
        <v>7.52</v>
      </c>
      <c r="N34" s="442">
        <f>ROUND((N31*$D$34),2)</f>
        <v>2.1</v>
      </c>
      <c r="O34" s="1018">
        <f>ROUND((O31*$D$34),2)</f>
        <v>1.51</v>
      </c>
    </row>
    <row r="35" spans="1:15" ht="19.5" customHeight="1" x14ac:dyDescent="0.2">
      <c r="A35" s="1636" t="s">
        <v>4387</v>
      </c>
      <c r="B35" s="1637"/>
      <c r="C35" s="1637"/>
      <c r="D35" s="236"/>
      <c r="E35" s="230"/>
      <c r="F35" s="230">
        <f>F31+F34</f>
        <v>16010.939000000002</v>
      </c>
      <c r="G35" s="230">
        <f>$G$34+$G$31</f>
        <v>776.16000000000008</v>
      </c>
      <c r="H35" s="230">
        <f>H31+H34</f>
        <v>0</v>
      </c>
      <c r="I35" s="1002">
        <f>I31+I34</f>
        <v>436.25300000000004</v>
      </c>
      <c r="J35" s="756" t="s">
        <v>4388</v>
      </c>
      <c r="K35" s="442">
        <f>K31+K34</f>
        <v>15.77928</v>
      </c>
      <c r="L35" s="442">
        <f>L31+L34</f>
        <v>118.39488000000001</v>
      </c>
      <c r="M35" s="442">
        <f>M31+M34</f>
        <v>157.84808000000001</v>
      </c>
      <c r="N35" s="442">
        <f>N31+N34</f>
        <v>44.1</v>
      </c>
      <c r="O35" s="1018">
        <f>O31+O34</f>
        <v>31.610000000000003</v>
      </c>
    </row>
    <row r="36" spans="1:15" ht="19.5" customHeight="1" x14ac:dyDescent="0.2">
      <c r="A36" s="411" t="s">
        <v>447</v>
      </c>
      <c r="B36" s="235"/>
      <c r="C36" s="235"/>
      <c r="D36" s="236">
        <f>Dados!$G$54</f>
        <v>6.7900000000000002E-2</v>
      </c>
      <c r="E36" s="230">
        <f>F31+F34</f>
        <v>16010.939000000002</v>
      </c>
      <c r="F36" s="230">
        <f>ROUND((E36*D36),2)</f>
        <v>1087.1400000000001</v>
      </c>
      <c r="G36" s="230">
        <f>ROUND(($G$35*$D$36),2)</f>
        <v>52.7</v>
      </c>
      <c r="H36" s="230">
        <f>ROUND((H35*D36),2)</f>
        <v>0</v>
      </c>
      <c r="I36" s="1002">
        <f>ROUND((I35*D36),2)</f>
        <v>29.62</v>
      </c>
      <c r="J36" s="756" t="s">
        <v>447</v>
      </c>
      <c r="K36" s="442">
        <f>ROUND((K35*$D$36),2)</f>
        <v>1.07</v>
      </c>
      <c r="L36" s="442">
        <f>ROUND((L35*$D$36),2)</f>
        <v>8.0399999999999991</v>
      </c>
      <c r="M36" s="442">
        <f>ROUND((M35*$D$36),2)</f>
        <v>10.72</v>
      </c>
      <c r="N36" s="442">
        <f>ROUND((N35*$D$36),2)</f>
        <v>2.99</v>
      </c>
      <c r="O36" s="1018">
        <f>ROUND((O35*$D$36),2)</f>
        <v>2.15</v>
      </c>
    </row>
    <row r="37" spans="1:15" ht="24.75" customHeight="1" x14ac:dyDescent="0.2">
      <c r="A37" s="421" t="s">
        <v>4389</v>
      </c>
      <c r="B37" s="422"/>
      <c r="C37" s="422"/>
      <c r="D37" s="237">
        <f>SUM(D34:D36)</f>
        <v>0.1179</v>
      </c>
      <c r="E37" s="232"/>
      <c r="F37" s="232">
        <f>F34+F36</f>
        <v>1849.5700000000002</v>
      </c>
      <c r="G37" s="232">
        <f>$G$34+$G$36</f>
        <v>89.66</v>
      </c>
      <c r="H37" s="232">
        <f>H34+H36</f>
        <v>0</v>
      </c>
      <c r="I37" s="233">
        <f>I34+I36</f>
        <v>50.39</v>
      </c>
      <c r="J37" s="1019" t="s">
        <v>4390</v>
      </c>
      <c r="K37" s="443">
        <f>K34+K36</f>
        <v>1.82</v>
      </c>
      <c r="L37" s="443">
        <f>L34+L36</f>
        <v>13.68</v>
      </c>
      <c r="M37" s="443">
        <f>M34+M36</f>
        <v>18.240000000000002</v>
      </c>
      <c r="N37" s="443">
        <f>N34+N36</f>
        <v>5.09</v>
      </c>
      <c r="O37" s="1020">
        <f>O34+O36</f>
        <v>3.66</v>
      </c>
    </row>
    <row r="38" spans="1:15" ht="24.75" customHeight="1" x14ac:dyDescent="0.2">
      <c r="A38" s="1631" t="s">
        <v>4391</v>
      </c>
      <c r="B38" s="1632"/>
      <c r="C38" s="1632"/>
      <c r="D38" s="1632"/>
      <c r="E38" s="1632"/>
      <c r="F38" s="232">
        <f>F15+F30+F37</f>
        <v>17098.079000000002</v>
      </c>
      <c r="G38" s="232">
        <f>$G$15+$G$30+$G$37</f>
        <v>828.86</v>
      </c>
      <c r="H38" s="232">
        <f>H15+H30+H37</f>
        <v>0</v>
      </c>
      <c r="I38" s="233">
        <f>I15+I30+I37</f>
        <v>465.87300000000005</v>
      </c>
      <c r="J38" s="1019" t="s">
        <v>4392</v>
      </c>
      <c r="K38" s="443">
        <f>K15+K30+K37</f>
        <v>16.84928</v>
      </c>
      <c r="L38" s="443">
        <f>L15+L30+L37</f>
        <v>126.43488000000002</v>
      </c>
      <c r="M38" s="443">
        <f>M15+M30+M37</f>
        <v>168.56808000000001</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546.55999999999995</v>
      </c>
      <c r="G40" s="230">
        <f>ROUND(($G$45*$D$40),2)</f>
        <v>26.5</v>
      </c>
      <c r="H40" s="230">
        <f>ROUND((H45*D40),2)</f>
        <v>0</v>
      </c>
      <c r="I40" s="1002">
        <f>ROUND((I45*D40),2)</f>
        <v>14.89</v>
      </c>
      <c r="J40" s="1026" t="s">
        <v>452</v>
      </c>
      <c r="K40" s="442">
        <f>ROUND((K45*$D$40),2)</f>
        <v>0.54</v>
      </c>
      <c r="L40" s="442">
        <f>ROUND((L45*$D$40),2)</f>
        <v>4.04</v>
      </c>
      <c r="M40" s="442">
        <f>ROUND((M45*$D$40),2)</f>
        <v>5.39</v>
      </c>
      <c r="N40" s="442">
        <f>ROUND((N45*$D$40),2)</f>
        <v>1.51</v>
      </c>
      <c r="O40" s="1018">
        <f>ROUND((O45*$D$40),2)</f>
        <v>1.08</v>
      </c>
    </row>
    <row r="41" spans="1:15" ht="19.5" customHeight="1" x14ac:dyDescent="0.2">
      <c r="A41" s="411" t="s">
        <v>454</v>
      </c>
      <c r="B41" s="235"/>
      <c r="C41" s="235"/>
      <c r="D41" s="236">
        <f>Dados!$G$62</f>
        <v>6.4999999999999997E-3</v>
      </c>
      <c r="E41" s="230"/>
      <c r="F41" s="230">
        <f>ROUND((F45*D41),2)</f>
        <v>118.42</v>
      </c>
      <c r="G41" s="230">
        <f>ROUND(($G$45*$D$41),2)</f>
        <v>5.74</v>
      </c>
      <c r="H41" s="230">
        <f>ROUND((H45*D41),2)</f>
        <v>0</v>
      </c>
      <c r="I41" s="1002">
        <f>ROUND((I45*D41),2)</f>
        <v>3.23</v>
      </c>
      <c r="J41" s="1026" t="s">
        <v>454</v>
      </c>
      <c r="K41" s="442">
        <f>ROUND((K45*$D$42),2)</f>
        <v>0.45</v>
      </c>
      <c r="L41" s="442">
        <f>ROUND((L45*$D$41),2)</f>
        <v>0.88</v>
      </c>
      <c r="M41" s="442">
        <f>ROUND((M45*$D$41),2)</f>
        <v>1.17</v>
      </c>
      <c r="N41" s="442">
        <f>ROUND((N45*$D$41),2)</f>
        <v>0.33</v>
      </c>
      <c r="O41" s="1018">
        <f>ROUND((O45*$D$41),2)</f>
        <v>0.23</v>
      </c>
    </row>
    <row r="42" spans="1:15" ht="19.5" customHeight="1" x14ac:dyDescent="0.2">
      <c r="A42" s="411" t="s">
        <v>456</v>
      </c>
      <c r="B42" s="235"/>
      <c r="C42" s="235"/>
      <c r="D42" s="236">
        <f>Dados!$G$63</f>
        <v>2.5000000000000001E-2</v>
      </c>
      <c r="E42" s="230"/>
      <c r="F42" s="230">
        <f>ROUND((F45*D42),2)</f>
        <v>455.46</v>
      </c>
      <c r="G42" s="230">
        <f>ROUND(($G$45*$D$42),2)</f>
        <v>22.08</v>
      </c>
      <c r="H42" s="230">
        <f>ROUND((H45*D42),2)</f>
        <v>0</v>
      </c>
      <c r="I42" s="1002">
        <f>ROUND((I45*D42),2)</f>
        <v>12.41</v>
      </c>
      <c r="J42" s="1026" t="s">
        <v>456</v>
      </c>
      <c r="K42" s="442">
        <f>ROUND((K45*$D$42),2)</f>
        <v>0.45</v>
      </c>
      <c r="L42" s="442">
        <f>ROUND((L45*$D$42),2)</f>
        <v>3.37</v>
      </c>
      <c r="M42" s="442">
        <f>ROUND((M45*$D$42),2)</f>
        <v>4.49</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1120.4399999999998</v>
      </c>
      <c r="G44" s="232">
        <f>SUM(G40:G43)</f>
        <v>54.32</v>
      </c>
      <c r="H44" s="232">
        <f>SUM(H40:H43)</f>
        <v>0</v>
      </c>
      <c r="I44" s="233">
        <f>SUM(I40:I43)</f>
        <v>30.53</v>
      </c>
      <c r="J44" s="1019" t="s">
        <v>4396</v>
      </c>
      <c r="K44" s="443">
        <f>SUM(K40:K43)</f>
        <v>1.44</v>
      </c>
      <c r="L44" s="443">
        <f>SUM(L40:L43)</f>
        <v>8.2899999999999991</v>
      </c>
      <c r="M44" s="443">
        <f>SUM(M40:M43)</f>
        <v>11.05</v>
      </c>
      <c r="N44" s="443">
        <f>SUM(N40:N43)</f>
        <v>3.09</v>
      </c>
      <c r="O44" s="1020">
        <f>SUM(O40:O43)</f>
        <v>2.21</v>
      </c>
    </row>
    <row r="45" spans="1:15" ht="34.5" hidden="1" customHeight="1" thickBot="1" x14ac:dyDescent="0.25">
      <c r="A45" s="1641" t="str">
        <f>A8</f>
        <v>Líder Técnico</v>
      </c>
      <c r="B45" s="1642"/>
      <c r="C45" s="1642"/>
      <c r="D45" s="1642"/>
      <c r="E45" s="1642"/>
      <c r="F45" s="232">
        <f>ROUND(F38/(1-D44),2)</f>
        <v>18218.52</v>
      </c>
      <c r="G45" s="232">
        <f>ROUND($G$38/(1-$D$44),2)</f>
        <v>883.18</v>
      </c>
      <c r="H45" s="232">
        <f>ROUND(H38/(1-D44),2)</f>
        <v>0</v>
      </c>
      <c r="I45" s="233">
        <f>ROUND(I38/(1-D44),2)</f>
        <v>496.4</v>
      </c>
      <c r="J45" s="1019" t="s">
        <v>585</v>
      </c>
      <c r="K45" s="443">
        <f>ROUND(K38/(1-$D$44),2)</f>
        <v>17.95</v>
      </c>
      <c r="L45" s="443">
        <f>ROUND(L38/(1-$D$44),2)</f>
        <v>134.72</v>
      </c>
      <c r="M45" s="443">
        <f>ROUND(M38/(1-$D$44),2)</f>
        <v>179.61</v>
      </c>
      <c r="N45" s="443">
        <f>ROUND(N38/(1-$D$44),2)</f>
        <v>50.18</v>
      </c>
      <c r="O45" s="1020">
        <f>ROUND(O38/(1-$D$44),2)</f>
        <v>35.97</v>
      </c>
    </row>
    <row r="46" spans="1:15" ht="30" customHeight="1" x14ac:dyDescent="0.2">
      <c r="A46" s="1643" t="str">
        <f>A8</f>
        <v>Líder Técnico</v>
      </c>
      <c r="B46" s="1644"/>
      <c r="C46" s="1644"/>
      <c r="D46" s="1644"/>
      <c r="E46" s="1644"/>
      <c r="F46" s="984">
        <f>F45</f>
        <v>18218.52</v>
      </c>
      <c r="G46" s="984">
        <f>$G$45</f>
        <v>883.18</v>
      </c>
      <c r="H46" s="984">
        <f>H45</f>
        <v>0</v>
      </c>
      <c r="I46" s="1005">
        <f>I45</f>
        <v>496.4</v>
      </c>
      <c r="J46" s="1019" t="s">
        <v>585</v>
      </c>
      <c r="K46" s="446">
        <f>K45</f>
        <v>17.95</v>
      </c>
      <c r="L46" s="446">
        <f>L45</f>
        <v>134.72</v>
      </c>
      <c r="M46" s="446">
        <f>M45</f>
        <v>179.61</v>
      </c>
      <c r="N46" s="446">
        <f>N45</f>
        <v>50.18</v>
      </c>
      <c r="O46" s="1027">
        <f>O45</f>
        <v>35.97</v>
      </c>
    </row>
    <row r="47" spans="1:15" ht="29.25" customHeight="1" thickBot="1" x14ac:dyDescent="0.25">
      <c r="A47" s="1634" t="s">
        <v>4397</v>
      </c>
      <c r="B47" s="1635"/>
      <c r="C47" s="1635"/>
      <c r="D47" s="1635"/>
      <c r="E47" s="1635"/>
      <c r="F47" s="1006">
        <f>($F$46/$F$13)/100</f>
        <v>2.3319078783162309E-2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C5788-3F27-47DD-9C08-D98910464B7F}">
  <sheetPr>
    <pageSetUpPr fitToPage="1"/>
  </sheetPr>
  <dimension ref="A1:O47"/>
  <sheetViews>
    <sheetView view="pageBreakPreview" zoomScaleNormal="100" zoomScaleSheetLayoutView="100" workbookViewId="0">
      <selection activeCell="R16" sqref="R16"/>
    </sheetView>
  </sheetViews>
  <sheetFormatPr defaultColWidth="9" defaultRowHeight="12.75" customHeight="1" x14ac:dyDescent="0.2"/>
  <cols>
    <col min="1" max="1" width="11.33203125" customWidth="1"/>
    <col min="2" max="2" width="28.83203125" customWidth="1"/>
    <col min="3" max="3" width="10.33203125" customWidth="1"/>
    <col min="4" max="5" width="17.5" customWidth="1"/>
    <col min="6" max="8" width="17.83203125" style="228" customWidth="1"/>
    <col min="9" max="9" width="17.83203125" customWidth="1"/>
    <col min="10" max="10" width="18.5" bestFit="1" customWidth="1"/>
  </cols>
  <sheetData>
    <row r="1" spans="1:15" ht="17.25" x14ac:dyDescent="0.3">
      <c r="A1" s="873"/>
      <c r="B1" s="1085"/>
      <c r="C1" s="874" t="s">
        <v>120</v>
      </c>
      <c r="D1" s="875"/>
      <c r="E1" s="875"/>
      <c r="F1" s="876"/>
      <c r="G1" s="876"/>
      <c r="H1" s="876"/>
      <c r="I1" s="877"/>
    </row>
    <row r="2" spans="1:15" x14ac:dyDescent="0.2">
      <c r="A2" s="878"/>
      <c r="B2" s="784"/>
      <c r="C2" s="784" t="s">
        <v>1</v>
      </c>
      <c r="D2" s="879"/>
      <c r="E2" s="879"/>
      <c r="F2" s="880"/>
      <c r="G2" s="880"/>
      <c r="H2" s="880"/>
      <c r="I2" s="881"/>
    </row>
    <row r="3" spans="1:15" x14ac:dyDescent="0.2">
      <c r="A3" s="878"/>
      <c r="B3" s="784"/>
      <c r="C3" s="784" t="s">
        <v>2</v>
      </c>
      <c r="D3" s="879"/>
      <c r="E3" s="879"/>
      <c r="F3" s="880"/>
      <c r="G3" s="880"/>
      <c r="H3" s="880"/>
      <c r="I3" s="881"/>
    </row>
    <row r="4" spans="1:15" ht="13.5" thickBot="1" x14ac:dyDescent="0.25">
      <c r="A4" s="1086"/>
      <c r="B4" s="1087"/>
      <c r="C4" s="1087" t="s">
        <v>493</v>
      </c>
      <c r="D4" s="1088"/>
      <c r="E4" s="1088"/>
      <c r="F4" s="1089"/>
      <c r="G4" s="1089"/>
      <c r="H4" s="1089"/>
      <c r="I4" s="1090"/>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27" customHeight="1" thickBot="1" x14ac:dyDescent="0.25">
      <c r="A6" s="1646" t="str">
        <f>A8</f>
        <v>Assistente de Engenharia</v>
      </c>
      <c r="B6" s="1646"/>
      <c r="C6" s="1646"/>
      <c r="D6" s="1646"/>
      <c r="E6" s="1646"/>
      <c r="F6" s="1646"/>
      <c r="G6" s="1646"/>
      <c r="H6" s="1646"/>
      <c r="I6" s="1646"/>
    </row>
    <row r="7" spans="1:15" ht="39.75" customHeight="1" thickBot="1" x14ac:dyDescent="0.25">
      <c r="A7" s="1647"/>
      <c r="B7" s="1647"/>
      <c r="C7" s="1647"/>
      <c r="D7" s="1647"/>
      <c r="E7" s="1647"/>
      <c r="F7" s="1647"/>
      <c r="G7" s="1647"/>
      <c r="H7" s="1647"/>
      <c r="I7" s="1647"/>
      <c r="J7" s="1623" t="s">
        <v>4344</v>
      </c>
      <c r="K7" s="1625" t="s">
        <v>4345</v>
      </c>
      <c r="L7" s="1625"/>
      <c r="M7" s="1625"/>
      <c r="N7" s="1621" t="s">
        <v>4346</v>
      </c>
      <c r="O7" s="1622"/>
    </row>
    <row r="8" spans="1:15" ht="30" customHeight="1" x14ac:dyDescent="0.2">
      <c r="A8" s="1656" t="str">
        <f>Dados!B13</f>
        <v>Assistente de Engenharia</v>
      </c>
      <c r="B8" s="1657"/>
      <c r="C8" s="995" t="s">
        <v>4347</v>
      </c>
      <c r="D8" s="996">
        <f>Dados!F13</f>
        <v>3809.45</v>
      </c>
      <c r="E8" s="995"/>
      <c r="F8" s="1648" t="s">
        <v>4348</v>
      </c>
      <c r="G8" s="1648" t="s">
        <v>4349</v>
      </c>
      <c r="H8" s="1650" t="s">
        <v>4350</v>
      </c>
      <c r="I8" s="1652" t="s">
        <v>4351</v>
      </c>
      <c r="J8" s="1624"/>
      <c r="K8" s="853" t="s">
        <v>4352</v>
      </c>
      <c r="L8" s="853" t="s">
        <v>4353</v>
      </c>
      <c r="M8" s="853" t="s">
        <v>4354</v>
      </c>
      <c r="N8" s="853" t="s">
        <v>4355</v>
      </c>
      <c r="O8" s="1015" t="s">
        <v>4356</v>
      </c>
    </row>
    <row r="9" spans="1:15" ht="36" customHeight="1" x14ac:dyDescent="0.2">
      <c r="A9" s="1662" t="str">
        <f>_xlfn.CONCAT("33390.37.01 - ",A8)</f>
        <v>33390.37.01 - Assistente de Engenharia</v>
      </c>
      <c r="B9" s="1663"/>
      <c r="C9" s="1663"/>
      <c r="D9" s="1663"/>
      <c r="E9" s="988" t="s">
        <v>389</v>
      </c>
      <c r="F9" s="1649"/>
      <c r="G9" s="1649"/>
      <c r="H9" s="1651"/>
      <c r="I9" s="1653"/>
      <c r="J9" s="1624"/>
      <c r="K9" s="882">
        <f>CCT!H17</f>
        <v>0.2</v>
      </c>
      <c r="L9" s="882">
        <f>100%+Dados!G94</f>
        <v>1.5</v>
      </c>
      <c r="M9" s="882">
        <f>100%+Dados!G95</f>
        <v>2</v>
      </c>
      <c r="N9" s="987">
        <f>D23</f>
        <v>42</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Assistente de Engenharia</v>
      </c>
      <c r="C11" s="1661"/>
      <c r="D11" s="238">
        <f>Dados!C13</f>
        <v>220</v>
      </c>
      <c r="E11" s="230">
        <f>Dados!$N13</f>
        <v>3809.45</v>
      </c>
      <c r="F11" s="230">
        <f>ROUND(E11/220*D11,2)</f>
        <v>3809.45</v>
      </c>
      <c r="G11" s="230"/>
      <c r="H11" s="230"/>
      <c r="I11" s="1002"/>
      <c r="J11" s="756" t="s">
        <v>4363</v>
      </c>
      <c r="K11" s="442">
        <f>ROUND($F$11/$D$11*K9,2)</f>
        <v>3.46</v>
      </c>
      <c r="L11" s="442">
        <f>ROUND($F$11/$D$11*L9,2)</f>
        <v>25.97</v>
      </c>
      <c r="M11" s="442">
        <f>ROUND($F$11/$D$11*M9,2)</f>
        <v>34.630000000000003</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0.69</v>
      </c>
      <c r="L12" s="442">
        <f>ROUND($M$10/$K$10*L11,2)</f>
        <v>5.19</v>
      </c>
      <c r="M12" s="442">
        <f>ROUND($M$10/$K$10*M11,2)</f>
        <v>6.93</v>
      </c>
      <c r="N12" s="1031" t="s">
        <v>88</v>
      </c>
      <c r="O12" s="1032" t="s">
        <v>88</v>
      </c>
    </row>
    <row r="13" spans="1:15" ht="19.5" customHeight="1" x14ac:dyDescent="0.2">
      <c r="A13" s="1660"/>
      <c r="B13" s="1632" t="s">
        <v>4365</v>
      </c>
      <c r="C13" s="1632"/>
      <c r="D13" s="1632"/>
      <c r="E13" s="1632"/>
      <c r="F13" s="232">
        <f>F11+F12</f>
        <v>3809.45</v>
      </c>
      <c r="G13" s="232"/>
      <c r="H13" s="232"/>
      <c r="I13" s="233"/>
      <c r="J13" s="1019" t="s">
        <v>334</v>
      </c>
      <c r="K13" s="443">
        <f>SUM(K11:K12)</f>
        <v>4.1500000000000004</v>
      </c>
      <c r="L13" s="443">
        <f>SUM(L11:L12)</f>
        <v>31.16</v>
      </c>
      <c r="M13" s="443">
        <f>SUM(M11:M12)</f>
        <v>41.56</v>
      </c>
      <c r="N13" s="443">
        <f>N9</f>
        <v>42</v>
      </c>
      <c r="O13" s="1020">
        <f>O9</f>
        <v>30.1</v>
      </c>
    </row>
    <row r="14" spans="1:15" ht="19.5" customHeight="1" x14ac:dyDescent="0.2">
      <c r="A14" s="1660"/>
      <c r="B14" s="1626" t="s">
        <v>4366</v>
      </c>
      <c r="C14" s="1626"/>
      <c r="D14" s="1626"/>
      <c r="E14" s="240">
        <f>Dados!G34</f>
        <v>0.76400000000000001</v>
      </c>
      <c r="F14" s="230">
        <f>(ROUND((E14*F13),2))</f>
        <v>2910.42</v>
      </c>
      <c r="G14" s="230"/>
      <c r="H14" s="230"/>
      <c r="I14" s="1002"/>
      <c r="J14" s="756" t="s">
        <v>4367</v>
      </c>
      <c r="K14" s="442">
        <f>K13*$E$14</f>
        <v>3.1706000000000003</v>
      </c>
      <c r="L14" s="442">
        <f>L13*$E$14</f>
        <v>23.806239999999999</v>
      </c>
      <c r="M14" s="442">
        <f>M13*$E$14</f>
        <v>31.751840000000001</v>
      </c>
      <c r="N14" s="1031" t="s">
        <v>88</v>
      </c>
      <c r="O14" s="1032" t="s">
        <v>88</v>
      </c>
    </row>
    <row r="15" spans="1:15" ht="24.75" customHeight="1" x14ac:dyDescent="0.2">
      <c r="A15" s="1631" t="s">
        <v>4368</v>
      </c>
      <c r="B15" s="1632"/>
      <c r="C15" s="1632"/>
      <c r="D15" s="1632"/>
      <c r="E15" s="1632"/>
      <c r="F15" s="232">
        <f>ROUND(SUM(F13:F14),2)</f>
        <v>6719.87</v>
      </c>
      <c r="G15" s="232"/>
      <c r="H15" s="232"/>
      <c r="I15" s="233"/>
      <c r="J15" s="1019" t="s">
        <v>4369</v>
      </c>
      <c r="K15" s="443">
        <f>K13+K14</f>
        <v>7.3206000000000007</v>
      </c>
      <c r="L15" s="443">
        <f>L13+L14</f>
        <v>54.966239999999999</v>
      </c>
      <c r="M15" s="443">
        <f>M13+M14</f>
        <v>73.311840000000004</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Dados!O13</f>
        <v>59.25</v>
      </c>
      <c r="E18" s="230"/>
      <c r="F18" s="442">
        <f>ROUND((D18),2)</f>
        <v>59.25</v>
      </c>
      <c r="G18" s="230"/>
      <c r="H18" s="230"/>
      <c r="I18" s="1002"/>
      <c r="J18" s="1021"/>
      <c r="K18" s="445"/>
      <c r="L18" s="445"/>
      <c r="M18" s="445"/>
      <c r="N18" s="445"/>
      <c r="O18" s="1024"/>
    </row>
    <row r="19" spans="1:15" ht="19.5" customHeight="1" x14ac:dyDescent="0.2">
      <c r="A19" s="1386" t="s">
        <v>4374</v>
      </c>
      <c r="B19" s="1626"/>
      <c r="C19" s="235"/>
      <c r="D19" s="230">
        <f>Dados!P13</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433.63300000000004</v>
      </c>
      <c r="G21" s="230"/>
      <c r="H21" s="230"/>
      <c r="I21" s="1002">
        <f>F21</f>
        <v>433.63300000000004</v>
      </c>
      <c r="J21" s="1021"/>
      <c r="K21" s="445"/>
      <c r="L21" s="445"/>
      <c r="M21" s="445"/>
      <c r="N21" s="445"/>
      <c r="O21" s="1024"/>
    </row>
    <row r="22" spans="1:15" ht="25.5" customHeight="1" x14ac:dyDescent="0.2">
      <c r="A22" s="1386" t="s">
        <v>368</v>
      </c>
      <c r="B22" s="1626"/>
      <c r="C22" s="235">
        <v>1</v>
      </c>
      <c r="D22" s="303">
        <f>VLOOKUP(A8,CCT!$A$14:$Z$30,10,FALSE)</f>
        <v>380.02</v>
      </c>
      <c r="E22" s="973">
        <f>VLOOKUP(A8,CCT!$A$14:$Z$30,11,FALSE)</f>
        <v>0.3</v>
      </c>
      <c r="F22" s="442">
        <f>IFERROR(C22*D22*E22,C22*D22)</f>
        <v>114.00599999999999</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42</v>
      </c>
      <c r="E23" s="758">
        <f>VLOOKUP(A8,CCT!$A$14:$Z$30,14,FALSE)</f>
        <v>0.2</v>
      </c>
      <c r="F23" s="442">
        <f>VLOOKUP(A8,CCT!$A$14:$Z$30,16,FALSE)</f>
        <v>739.2</v>
      </c>
      <c r="G23" s="230">
        <f>F23</f>
        <v>739.2</v>
      </c>
      <c r="H23" s="230"/>
      <c r="I23" s="1002"/>
      <c r="J23" s="756"/>
      <c r="K23" s="442"/>
      <c r="L23" s="442"/>
      <c r="M23" s="442"/>
      <c r="N23" s="442"/>
      <c r="O23" s="1018"/>
    </row>
    <row r="24" spans="1:15" ht="25.5" customHeight="1" x14ac:dyDescent="0.2">
      <c r="A24" s="1386" t="str">
        <f>CCT!Q8</f>
        <v>Cesta Básica</v>
      </c>
      <c r="B24" s="1626"/>
      <c r="C24" s="442">
        <v>1</v>
      </c>
      <c r="D24" s="757">
        <f>VLOOKUP(A8,CCT!$A$14:$Z$30,17,FALSE)</f>
        <v>0</v>
      </c>
      <c r="E24" s="759">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0</v>
      </c>
      <c r="E26" s="303"/>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1453.9390000000001</v>
      </c>
      <c r="G30" s="232">
        <f>SUM(G18:G29)</f>
        <v>739.2</v>
      </c>
      <c r="H30" s="232">
        <f>SUM($H$18:$H$29)</f>
        <v>0</v>
      </c>
      <c r="I30" s="233">
        <f>SUM($I$18:$I$29)</f>
        <v>433.63300000000004</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8173.8090000000002</v>
      </c>
      <c r="G31" s="232">
        <f>$G$15+$G$30</f>
        <v>739.2</v>
      </c>
      <c r="H31" s="232">
        <f>$H$15+$H$30</f>
        <v>0</v>
      </c>
      <c r="I31" s="233">
        <f>$I$15+$I$30</f>
        <v>433.63300000000004</v>
      </c>
      <c r="J31" s="1019" t="s">
        <v>4381</v>
      </c>
      <c r="K31" s="443">
        <f>K15+K30</f>
        <v>7.3206000000000007</v>
      </c>
      <c r="L31" s="443">
        <f>L15+L30</f>
        <v>54.966239999999999</v>
      </c>
      <c r="M31" s="443">
        <f>M15+M30</f>
        <v>73.311840000000004</v>
      </c>
      <c r="N31" s="443">
        <f>N15+N30</f>
        <v>42</v>
      </c>
      <c r="O31" s="1020">
        <f>O15+O30</f>
        <v>30.1</v>
      </c>
    </row>
    <row r="32" spans="1:15" ht="19.5" customHeight="1" x14ac:dyDescent="0.2">
      <c r="A32" s="1638" t="s">
        <v>4382</v>
      </c>
      <c r="B32" s="1639"/>
      <c r="C32" s="1639"/>
      <c r="D32" s="1639"/>
      <c r="E32" s="1639"/>
      <c r="F32" s="1639"/>
      <c r="G32" s="1639"/>
      <c r="H32" s="1639">
        <f>SUM($H$18:$H$31)</f>
        <v>0</v>
      </c>
      <c r="I32" s="1640">
        <f>SUM($I$18:$I$31)</f>
        <v>1300.8990000000001</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408.69</v>
      </c>
      <c r="G34" s="230">
        <f>ROUND(($G$31*$D$34),2)</f>
        <v>36.96</v>
      </c>
      <c r="H34" s="230">
        <f>ROUND((H31*D34),2)</f>
        <v>0</v>
      </c>
      <c r="I34" s="1002">
        <f>ROUND((I31*D34),2)</f>
        <v>21.68</v>
      </c>
      <c r="J34" s="756" t="s">
        <v>4386</v>
      </c>
      <c r="K34" s="442">
        <f>ROUND((K31*$D$34),2)</f>
        <v>0.37</v>
      </c>
      <c r="L34" s="442">
        <f>ROUND((L31*$D$34),2)</f>
        <v>2.75</v>
      </c>
      <c r="M34" s="442">
        <f>ROUND((M31*$D$34),2)</f>
        <v>3.67</v>
      </c>
      <c r="N34" s="442">
        <f>ROUND((N31*$D$34),2)</f>
        <v>2.1</v>
      </c>
      <c r="O34" s="1018">
        <f>ROUND((O31*$D$34),2)</f>
        <v>1.51</v>
      </c>
    </row>
    <row r="35" spans="1:15" ht="19.5" customHeight="1" x14ac:dyDescent="0.2">
      <c r="A35" s="1636" t="s">
        <v>4387</v>
      </c>
      <c r="B35" s="1637"/>
      <c r="C35" s="1637"/>
      <c r="D35" s="236"/>
      <c r="E35" s="230"/>
      <c r="F35" s="230">
        <f>F31+F34</f>
        <v>8582.4989999999998</v>
      </c>
      <c r="G35" s="230">
        <f>$G$34+$G$31</f>
        <v>776.16000000000008</v>
      </c>
      <c r="H35" s="230">
        <f>H31+H34</f>
        <v>0</v>
      </c>
      <c r="I35" s="1002">
        <f>I31+I34</f>
        <v>455.31300000000005</v>
      </c>
      <c r="J35" s="756" t="s">
        <v>4388</v>
      </c>
      <c r="K35" s="442">
        <f>K31+K34</f>
        <v>7.6906000000000008</v>
      </c>
      <c r="L35" s="442">
        <f>L31+L34</f>
        <v>57.716239999999999</v>
      </c>
      <c r="M35" s="442">
        <f>M31+M34</f>
        <v>76.981840000000005</v>
      </c>
      <c r="N35" s="442">
        <f>N31+N34</f>
        <v>44.1</v>
      </c>
      <c r="O35" s="1018">
        <f>O31+O34</f>
        <v>31.610000000000003</v>
      </c>
    </row>
    <row r="36" spans="1:15" ht="19.5" customHeight="1" x14ac:dyDescent="0.2">
      <c r="A36" s="411" t="s">
        <v>447</v>
      </c>
      <c r="B36" s="235"/>
      <c r="C36" s="235"/>
      <c r="D36" s="236">
        <f>Dados!$G$54</f>
        <v>6.7900000000000002E-2</v>
      </c>
      <c r="E36" s="230">
        <f>F31+F34</f>
        <v>8582.4989999999998</v>
      </c>
      <c r="F36" s="230">
        <f>ROUND((E36*D36),2)</f>
        <v>582.75</v>
      </c>
      <c r="G36" s="230">
        <f>ROUND(($G$35*$D$36),2)</f>
        <v>52.7</v>
      </c>
      <c r="H36" s="230">
        <f>ROUND((H35*D36),2)</f>
        <v>0</v>
      </c>
      <c r="I36" s="1002">
        <f>ROUND((I35*D36),2)</f>
        <v>30.92</v>
      </c>
      <c r="J36" s="756" t="s">
        <v>447</v>
      </c>
      <c r="K36" s="442">
        <f>ROUND((K35*$D$36),2)</f>
        <v>0.52</v>
      </c>
      <c r="L36" s="442">
        <f>ROUND((L35*$D$36),2)</f>
        <v>3.92</v>
      </c>
      <c r="M36" s="442">
        <f>ROUND((M35*$D$36),2)</f>
        <v>5.23</v>
      </c>
      <c r="N36" s="442">
        <f>ROUND((N35*$D$36),2)</f>
        <v>2.99</v>
      </c>
      <c r="O36" s="1018">
        <f>ROUND((O35*$D$36),2)</f>
        <v>2.15</v>
      </c>
    </row>
    <row r="37" spans="1:15" ht="24.75" customHeight="1" x14ac:dyDescent="0.2">
      <c r="A37" s="421" t="s">
        <v>4389</v>
      </c>
      <c r="B37" s="422"/>
      <c r="C37" s="422"/>
      <c r="D37" s="237">
        <f>SUM(D34:D36)</f>
        <v>0.1179</v>
      </c>
      <c r="E37" s="232"/>
      <c r="F37" s="232">
        <f>F34+F36</f>
        <v>991.44</v>
      </c>
      <c r="G37" s="232">
        <f>$G$34+$G$36</f>
        <v>89.66</v>
      </c>
      <c r="H37" s="232">
        <f>H34+H36</f>
        <v>0</v>
      </c>
      <c r="I37" s="233">
        <f>I34+I36</f>
        <v>52.6</v>
      </c>
      <c r="J37" s="1019" t="s">
        <v>4390</v>
      </c>
      <c r="K37" s="443">
        <f>K34+K36</f>
        <v>0.89</v>
      </c>
      <c r="L37" s="443">
        <f>L34+L36</f>
        <v>6.67</v>
      </c>
      <c r="M37" s="443">
        <f>M34+M36</f>
        <v>8.9</v>
      </c>
      <c r="N37" s="443">
        <f>N34+N36</f>
        <v>5.09</v>
      </c>
      <c r="O37" s="1020">
        <f>O34+O36</f>
        <v>3.66</v>
      </c>
    </row>
    <row r="38" spans="1:15" ht="24.75" customHeight="1" x14ac:dyDescent="0.2">
      <c r="A38" s="1631" t="s">
        <v>4391</v>
      </c>
      <c r="B38" s="1632"/>
      <c r="C38" s="1632"/>
      <c r="D38" s="1632"/>
      <c r="E38" s="1632"/>
      <c r="F38" s="232">
        <f>F15+F30+F37</f>
        <v>9165.2489999999998</v>
      </c>
      <c r="G38" s="232">
        <f>$G$15+$G$30+$G$37</f>
        <v>828.86</v>
      </c>
      <c r="H38" s="232">
        <f>H15+H30+H37</f>
        <v>0</v>
      </c>
      <c r="I38" s="233">
        <f>I15+I30+I37</f>
        <v>486.23300000000006</v>
      </c>
      <c r="J38" s="1019" t="s">
        <v>4392</v>
      </c>
      <c r="K38" s="443">
        <f>K15+K30+K37</f>
        <v>8.2106000000000012</v>
      </c>
      <c r="L38" s="443">
        <f>L15+L30+L37</f>
        <v>61.636240000000001</v>
      </c>
      <c r="M38" s="443">
        <f>M15+M30+M37</f>
        <v>82.211840000000009</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292.98</v>
      </c>
      <c r="G40" s="230">
        <f>ROUND(($G$45*$D$40),2)</f>
        <v>26.5</v>
      </c>
      <c r="H40" s="230">
        <f>ROUND((H45*D40),2)</f>
        <v>0</v>
      </c>
      <c r="I40" s="1002">
        <f>ROUND((I45*D40),2)</f>
        <v>15.54</v>
      </c>
      <c r="J40" s="1026" t="s">
        <v>452</v>
      </c>
      <c r="K40" s="442">
        <f>ROUND((K45*$D$40),2)</f>
        <v>0.26</v>
      </c>
      <c r="L40" s="442">
        <f>ROUND((L45*$D$40),2)</f>
        <v>1.97</v>
      </c>
      <c r="M40" s="442">
        <f>ROUND((M45*$D$40),2)</f>
        <v>2.63</v>
      </c>
      <c r="N40" s="442">
        <f>ROUND((N45*$D$40),2)</f>
        <v>1.51</v>
      </c>
      <c r="O40" s="1018">
        <f>ROUND((O45*$D$40),2)</f>
        <v>1.08</v>
      </c>
    </row>
    <row r="41" spans="1:15" ht="19.5" customHeight="1" x14ac:dyDescent="0.2">
      <c r="A41" s="411" t="s">
        <v>454</v>
      </c>
      <c r="B41" s="235"/>
      <c r="C41" s="235"/>
      <c r="D41" s="236">
        <f>Dados!$G$62</f>
        <v>6.4999999999999997E-3</v>
      </c>
      <c r="E41" s="230"/>
      <c r="F41" s="230">
        <f>ROUND((F45*D41),2)</f>
        <v>63.48</v>
      </c>
      <c r="G41" s="230">
        <f>ROUND(($G$45*$D$41),2)</f>
        <v>5.74</v>
      </c>
      <c r="H41" s="230">
        <f>ROUND((H45*D41),2)</f>
        <v>0</v>
      </c>
      <c r="I41" s="1002">
        <f>ROUND((I45*D41),2)</f>
        <v>3.37</v>
      </c>
      <c r="J41" s="1026" t="s">
        <v>454</v>
      </c>
      <c r="K41" s="442">
        <f>ROUND((K45*$D$42),2)</f>
        <v>0.22</v>
      </c>
      <c r="L41" s="442">
        <f>ROUND((L45*$D$41),2)</f>
        <v>0.43</v>
      </c>
      <c r="M41" s="442">
        <f>ROUND((M45*$D$41),2)</f>
        <v>0.56999999999999995</v>
      </c>
      <c r="N41" s="442">
        <f>ROUND((N45*$D$41),2)</f>
        <v>0.33</v>
      </c>
      <c r="O41" s="1018">
        <f>ROUND((O45*$D$41),2)</f>
        <v>0.23</v>
      </c>
    </row>
    <row r="42" spans="1:15" ht="19.5" customHeight="1" x14ac:dyDescent="0.2">
      <c r="A42" s="411" t="s">
        <v>456</v>
      </c>
      <c r="B42" s="235"/>
      <c r="C42" s="235"/>
      <c r="D42" s="236">
        <f>Dados!$G$63</f>
        <v>2.5000000000000001E-2</v>
      </c>
      <c r="E42" s="230"/>
      <c r="F42" s="230">
        <f>ROUND((F45*D42),2)</f>
        <v>244.15</v>
      </c>
      <c r="G42" s="230">
        <f>ROUND(($G$45*$D$42),2)</f>
        <v>22.08</v>
      </c>
      <c r="H42" s="230">
        <f>ROUND((H45*D42),2)</f>
        <v>0</v>
      </c>
      <c r="I42" s="1002">
        <f>ROUND((I45*D42),2)</f>
        <v>12.95</v>
      </c>
      <c r="J42" s="1026" t="s">
        <v>456</v>
      </c>
      <c r="K42" s="442">
        <f>ROUND((K45*$D$42),2)</f>
        <v>0.22</v>
      </c>
      <c r="L42" s="442">
        <f>ROUND((L45*$D$42),2)</f>
        <v>1.64</v>
      </c>
      <c r="M42" s="442">
        <f>ROUND((M45*$D$42),2)</f>
        <v>2.19</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600.61</v>
      </c>
      <c r="G44" s="232">
        <f>SUM(G40:G43)</f>
        <v>54.32</v>
      </c>
      <c r="H44" s="232">
        <f>SUM(H40:H43)</f>
        <v>0</v>
      </c>
      <c r="I44" s="233">
        <f>SUM(I40:I43)</f>
        <v>31.86</v>
      </c>
      <c r="J44" s="1019" t="s">
        <v>4396</v>
      </c>
      <c r="K44" s="443">
        <f>SUM(K40:K43)</f>
        <v>0.7</v>
      </c>
      <c r="L44" s="443">
        <f>SUM(L40:L43)</f>
        <v>4.04</v>
      </c>
      <c r="M44" s="443">
        <f>SUM(M40:M43)</f>
        <v>5.39</v>
      </c>
      <c r="N44" s="443">
        <f>SUM(N40:N43)</f>
        <v>3.09</v>
      </c>
      <c r="O44" s="1020">
        <f>SUM(O40:O43)</f>
        <v>2.21</v>
      </c>
    </row>
    <row r="45" spans="1:15" ht="34.5" hidden="1" customHeight="1" thickBot="1" x14ac:dyDescent="0.25">
      <c r="A45" s="1641" t="str">
        <f>A8</f>
        <v>Assistente de Engenharia</v>
      </c>
      <c r="B45" s="1642"/>
      <c r="C45" s="1642"/>
      <c r="D45" s="1642"/>
      <c r="E45" s="1642"/>
      <c r="F45" s="232">
        <f>ROUND(F38/(1-D44),2)</f>
        <v>9765.85</v>
      </c>
      <c r="G45" s="232">
        <f>ROUND($G$38/(1-$D$44),2)</f>
        <v>883.18</v>
      </c>
      <c r="H45" s="232">
        <f>ROUND(H38/(1-D44),2)</f>
        <v>0</v>
      </c>
      <c r="I45" s="233">
        <f>ROUND(I38/(1-D44),2)</f>
        <v>518.1</v>
      </c>
      <c r="J45" s="1019" t="s">
        <v>585</v>
      </c>
      <c r="K45" s="443">
        <f>ROUND(K38/(1-$D$44),2)</f>
        <v>8.75</v>
      </c>
      <c r="L45" s="443">
        <f>ROUND(L38/(1-$D$44),2)</f>
        <v>65.680000000000007</v>
      </c>
      <c r="M45" s="443">
        <f>ROUND(M38/(1-$D$44),2)</f>
        <v>87.6</v>
      </c>
      <c r="N45" s="443">
        <f>ROUND(N38/(1-$D$44),2)</f>
        <v>50.18</v>
      </c>
      <c r="O45" s="1020">
        <f>ROUND(O38/(1-$D$44),2)</f>
        <v>35.97</v>
      </c>
    </row>
    <row r="46" spans="1:15" ht="30" customHeight="1" x14ac:dyDescent="0.2">
      <c r="A46" s="1643" t="str">
        <f>A8</f>
        <v>Assistente de Engenharia</v>
      </c>
      <c r="B46" s="1644"/>
      <c r="C46" s="1644"/>
      <c r="D46" s="1644"/>
      <c r="E46" s="1644"/>
      <c r="F46" s="984">
        <f>F45</f>
        <v>9765.85</v>
      </c>
      <c r="G46" s="984">
        <f>$G$45</f>
        <v>883.18</v>
      </c>
      <c r="H46" s="984">
        <f>H45</f>
        <v>0</v>
      </c>
      <c r="I46" s="1005">
        <f>I45</f>
        <v>518.1</v>
      </c>
      <c r="J46" s="1019" t="s">
        <v>585</v>
      </c>
      <c r="K46" s="446">
        <f>K45</f>
        <v>8.75</v>
      </c>
      <c r="L46" s="446">
        <f>L45</f>
        <v>65.680000000000007</v>
      </c>
      <c r="M46" s="446">
        <f>M45</f>
        <v>87.6</v>
      </c>
      <c r="N46" s="446">
        <f>N45</f>
        <v>50.18</v>
      </c>
      <c r="O46" s="1027">
        <f>O45</f>
        <v>35.97</v>
      </c>
    </row>
    <row r="47" spans="1:15" ht="29.25" customHeight="1" thickBot="1" x14ac:dyDescent="0.25">
      <c r="A47" s="1634" t="s">
        <v>4397</v>
      </c>
      <c r="B47" s="1635"/>
      <c r="C47" s="1635"/>
      <c r="D47" s="1635"/>
      <c r="E47" s="1635"/>
      <c r="F47" s="1006">
        <f>($F$46/$F$13)/100</f>
        <v>2.5635852944650806E-2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E1D7-5FC8-42C1-9174-D767EBB81D5C}">
  <sheetPr>
    <pageSetUpPr fitToPage="1"/>
  </sheetPr>
  <dimension ref="A1:O47"/>
  <sheetViews>
    <sheetView view="pageBreakPreview" zoomScaleNormal="100" zoomScaleSheetLayoutView="100" workbookViewId="0">
      <selection activeCell="D17" sqref="D17:I17"/>
    </sheetView>
  </sheetViews>
  <sheetFormatPr defaultColWidth="9" defaultRowHeight="12.75" customHeight="1" x14ac:dyDescent="0.2"/>
  <cols>
    <col min="1" max="1" width="11.33203125" customWidth="1"/>
    <col min="2" max="2" width="28.83203125" customWidth="1"/>
    <col min="3" max="3" width="10.33203125" customWidth="1"/>
    <col min="4" max="5" width="17.5" customWidth="1"/>
    <col min="6" max="8" width="17.83203125" style="228" customWidth="1"/>
    <col min="9" max="9" width="17.83203125" customWidth="1"/>
    <col min="10" max="10" width="18.5" bestFit="1" customWidth="1"/>
  </cols>
  <sheetData>
    <row r="1" spans="1:15" ht="17.25" x14ac:dyDescent="0.3">
      <c r="A1" s="873"/>
      <c r="B1" s="1085"/>
      <c r="C1" s="874" t="s">
        <v>120</v>
      </c>
      <c r="D1" s="875"/>
      <c r="E1" s="875"/>
      <c r="F1" s="876"/>
      <c r="G1" s="876"/>
      <c r="H1" s="876"/>
      <c r="I1" s="877"/>
    </row>
    <row r="2" spans="1:15" x14ac:dyDescent="0.2">
      <c r="A2" s="878"/>
      <c r="B2" s="886"/>
      <c r="C2" s="784" t="s">
        <v>1</v>
      </c>
      <c r="D2" s="879"/>
      <c r="E2" s="879"/>
      <c r="F2" s="880"/>
      <c r="G2" s="880"/>
      <c r="H2" s="880"/>
      <c r="I2" s="881"/>
    </row>
    <row r="3" spans="1:15" x14ac:dyDescent="0.2">
      <c r="A3" s="878"/>
      <c r="B3" s="886"/>
      <c r="C3" s="784" t="s">
        <v>2</v>
      </c>
      <c r="D3" s="879"/>
      <c r="E3" s="879"/>
      <c r="F3" s="880"/>
      <c r="G3" s="880"/>
      <c r="H3" s="880"/>
      <c r="I3" s="881"/>
    </row>
    <row r="4" spans="1:15" ht="13.5" thickBot="1" x14ac:dyDescent="0.25">
      <c r="A4" s="1086"/>
      <c r="B4" s="1091"/>
      <c r="C4" s="1087" t="s">
        <v>493</v>
      </c>
      <c r="D4" s="1088"/>
      <c r="E4" s="1088"/>
      <c r="F4" s="1089"/>
      <c r="G4" s="1089"/>
      <c r="H4" s="1089"/>
      <c r="I4" s="1090"/>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32.25" customHeight="1" thickBot="1" x14ac:dyDescent="0.25">
      <c r="A6" s="1646" t="str">
        <f>A8</f>
        <v>Técnico em Edificações</v>
      </c>
      <c r="B6" s="1646"/>
      <c r="C6" s="1646"/>
      <c r="D6" s="1646"/>
      <c r="E6" s="1646"/>
      <c r="F6" s="1646"/>
      <c r="G6" s="1646"/>
      <c r="H6" s="1646"/>
      <c r="I6" s="1646"/>
    </row>
    <row r="7" spans="1:15" ht="42" customHeight="1" thickBot="1" x14ac:dyDescent="0.25">
      <c r="A7" s="1647"/>
      <c r="B7" s="1647"/>
      <c r="C7" s="1647"/>
      <c r="D7" s="1647"/>
      <c r="E7" s="1647"/>
      <c r="F7" s="1647"/>
      <c r="G7" s="1647"/>
      <c r="H7" s="1647"/>
      <c r="I7" s="1647"/>
      <c r="J7" s="1623" t="s">
        <v>4344</v>
      </c>
      <c r="K7" s="1625" t="s">
        <v>4345</v>
      </c>
      <c r="L7" s="1625"/>
      <c r="M7" s="1625"/>
      <c r="N7" s="1621" t="s">
        <v>4346</v>
      </c>
      <c r="O7" s="1622"/>
    </row>
    <row r="8" spans="1:15" ht="30" customHeight="1" x14ac:dyDescent="0.2">
      <c r="A8" s="1656" t="str">
        <f>Dados!B14</f>
        <v>Técnico em Edificações</v>
      </c>
      <c r="B8" s="1657"/>
      <c r="C8" s="995" t="s">
        <v>4347</v>
      </c>
      <c r="D8" s="996">
        <f>Dados!F14</f>
        <v>3606.93</v>
      </c>
      <c r="E8" s="995"/>
      <c r="F8" s="1648" t="s">
        <v>4348</v>
      </c>
      <c r="G8" s="1648" t="s">
        <v>4349</v>
      </c>
      <c r="H8" s="1650" t="s">
        <v>4350</v>
      </c>
      <c r="I8" s="1652" t="s">
        <v>4351</v>
      </c>
      <c r="J8" s="1624"/>
      <c r="K8" s="853" t="s">
        <v>4352</v>
      </c>
      <c r="L8" s="853" t="s">
        <v>4353</v>
      </c>
      <c r="M8" s="853" t="s">
        <v>4354</v>
      </c>
      <c r="N8" s="853" t="s">
        <v>4355</v>
      </c>
      <c r="O8" s="1015" t="s">
        <v>4356</v>
      </c>
    </row>
    <row r="9" spans="1:15" ht="36" customHeight="1" x14ac:dyDescent="0.2">
      <c r="A9" s="1662" t="str">
        <f>_xlfn.CONCAT("33390.37.01 - ",A8)</f>
        <v>33390.37.01 - Técnico em Edificações</v>
      </c>
      <c r="B9" s="1663"/>
      <c r="C9" s="1663"/>
      <c r="D9" s="1663"/>
      <c r="E9" s="988" t="s">
        <v>389</v>
      </c>
      <c r="F9" s="1649"/>
      <c r="G9" s="1649"/>
      <c r="H9" s="1651"/>
      <c r="I9" s="1653"/>
      <c r="J9" s="1624"/>
      <c r="K9" s="882">
        <f>CCT!H18</f>
        <v>0.2</v>
      </c>
      <c r="L9" s="882">
        <f>100%+Dados!G94</f>
        <v>1.5</v>
      </c>
      <c r="M9" s="882">
        <f>100%+Dados!G95</f>
        <v>2</v>
      </c>
      <c r="N9" s="987">
        <f>D23</f>
        <v>42</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Técnico em Edificações</v>
      </c>
      <c r="C11" s="1661"/>
      <c r="D11" s="238">
        <f>Dados!C14</f>
        <v>220</v>
      </c>
      <c r="E11" s="230">
        <f>Dados!$N14</f>
        <v>4328.3159999999998</v>
      </c>
      <c r="F11" s="230">
        <f>ROUND(E11/220*D11,2)</f>
        <v>4328.32</v>
      </c>
      <c r="G11" s="230"/>
      <c r="H11" s="230"/>
      <c r="I11" s="1002"/>
      <c r="J11" s="756" t="s">
        <v>4363</v>
      </c>
      <c r="K11" s="442">
        <f>ROUND($F$11/$D$11*K9,2)</f>
        <v>3.93</v>
      </c>
      <c r="L11" s="442">
        <f>ROUND($F$11/$D$11*L9,2)</f>
        <v>29.51</v>
      </c>
      <c r="M11" s="442">
        <f>ROUND($F$11/$D$11*M9,2)</f>
        <v>39.35</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0.79</v>
      </c>
      <c r="L12" s="442">
        <f>ROUND($M$10/$K$10*L11,2)</f>
        <v>5.9</v>
      </c>
      <c r="M12" s="442">
        <f>ROUND($M$10/$K$10*M11,2)</f>
        <v>7.87</v>
      </c>
      <c r="N12" s="1031" t="s">
        <v>88</v>
      </c>
      <c r="O12" s="1032" t="s">
        <v>88</v>
      </c>
    </row>
    <row r="13" spans="1:15" ht="19.5" customHeight="1" x14ac:dyDescent="0.2">
      <c r="A13" s="1660"/>
      <c r="B13" s="1632" t="s">
        <v>4365</v>
      </c>
      <c r="C13" s="1632"/>
      <c r="D13" s="1632"/>
      <c r="E13" s="1632"/>
      <c r="F13" s="232">
        <f>F11+F12</f>
        <v>4328.32</v>
      </c>
      <c r="G13" s="232"/>
      <c r="H13" s="232"/>
      <c r="I13" s="233"/>
      <c r="J13" s="1019" t="s">
        <v>334</v>
      </c>
      <c r="K13" s="443">
        <f>SUM(K11:K12)</f>
        <v>4.7200000000000006</v>
      </c>
      <c r="L13" s="443">
        <f>SUM(L11:L12)</f>
        <v>35.410000000000004</v>
      </c>
      <c r="M13" s="443">
        <f>SUM(M11:M12)</f>
        <v>47.22</v>
      </c>
      <c r="N13" s="443">
        <f>N9</f>
        <v>42</v>
      </c>
      <c r="O13" s="1020">
        <f>O9</f>
        <v>30.1</v>
      </c>
    </row>
    <row r="14" spans="1:15" ht="19.5" customHeight="1" x14ac:dyDescent="0.2">
      <c r="A14" s="1660"/>
      <c r="B14" s="1626" t="s">
        <v>4366</v>
      </c>
      <c r="C14" s="1626"/>
      <c r="D14" s="1626"/>
      <c r="E14" s="240">
        <f>Dados!G34</f>
        <v>0.76400000000000001</v>
      </c>
      <c r="F14" s="230">
        <f>(ROUND((E14*F13),2))</f>
        <v>3306.84</v>
      </c>
      <c r="G14" s="230"/>
      <c r="H14" s="230"/>
      <c r="I14" s="1002"/>
      <c r="J14" s="756" t="s">
        <v>4367</v>
      </c>
      <c r="K14" s="442">
        <f>K13*$E$14</f>
        <v>3.6060800000000004</v>
      </c>
      <c r="L14" s="442">
        <f>L13*$E$14</f>
        <v>27.053240000000002</v>
      </c>
      <c r="M14" s="442">
        <f>M13*$E$14</f>
        <v>36.076079999999997</v>
      </c>
      <c r="N14" s="1031" t="s">
        <v>88</v>
      </c>
      <c r="O14" s="1032" t="s">
        <v>88</v>
      </c>
    </row>
    <row r="15" spans="1:15" ht="24.75" customHeight="1" x14ac:dyDescent="0.2">
      <c r="A15" s="1631" t="s">
        <v>4368</v>
      </c>
      <c r="B15" s="1632"/>
      <c r="C15" s="1632"/>
      <c r="D15" s="1632"/>
      <c r="E15" s="1632"/>
      <c r="F15" s="232">
        <f>ROUND(SUM(F13:F14),2)</f>
        <v>7635.16</v>
      </c>
      <c r="G15" s="232"/>
      <c r="H15" s="232"/>
      <c r="I15" s="233"/>
      <c r="J15" s="1019" t="s">
        <v>4369</v>
      </c>
      <c r="K15" s="443">
        <f>K13+K14</f>
        <v>8.326080000000001</v>
      </c>
      <c r="L15" s="443">
        <f>L13+L14</f>
        <v>62.463240000000006</v>
      </c>
      <c r="M15" s="443">
        <f>M13+M14</f>
        <v>83.296079999999989</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Dados!O14</f>
        <v>59.25</v>
      </c>
      <c r="E18" s="230"/>
      <c r="F18" s="442">
        <f>ROUND((D18),2)</f>
        <v>59.25</v>
      </c>
      <c r="G18" s="230"/>
      <c r="H18" s="230"/>
      <c r="I18" s="1002"/>
      <c r="J18" s="1021"/>
      <c r="K18" s="445"/>
      <c r="L18" s="445"/>
      <c r="M18" s="445"/>
      <c r="N18" s="445"/>
      <c r="O18" s="1024"/>
    </row>
    <row r="19" spans="1:15" ht="19.5" customHeight="1" x14ac:dyDescent="0.2">
      <c r="A19" s="1386" t="s">
        <v>4374</v>
      </c>
      <c r="B19" s="1626"/>
      <c r="C19" s="235"/>
      <c r="D19" s="230">
        <f>Dados!P14</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445.78420000000006</v>
      </c>
      <c r="G21" s="230"/>
      <c r="H21" s="230"/>
      <c r="I21" s="1002">
        <f>F21</f>
        <v>445.78420000000006</v>
      </c>
      <c r="J21" s="1021"/>
      <c r="K21" s="445"/>
      <c r="L21" s="445"/>
      <c r="M21" s="445"/>
      <c r="N21" s="445"/>
      <c r="O21" s="1024"/>
    </row>
    <row r="22" spans="1:15" ht="25.5" customHeight="1" x14ac:dyDescent="0.2">
      <c r="A22" s="1386" t="s">
        <v>368</v>
      </c>
      <c r="B22" s="1626"/>
      <c r="C22" s="235">
        <v>1</v>
      </c>
      <c r="D22" s="303">
        <f>VLOOKUP(A8,CCT!$A$14:$Z$30,10,FALSE)</f>
        <v>380.02</v>
      </c>
      <c r="E22" s="973">
        <f>VLOOKUP(A8,CCT!$A$14:$Z$30,11,FALSE)</f>
        <v>0.3</v>
      </c>
      <c r="F22" s="442">
        <f>IFERROR(C22*D22*E22,C22*D22)</f>
        <v>114.00599999999999</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42</v>
      </c>
      <c r="E23" s="758">
        <f>VLOOKUP(A8,CCT!$A$14:$Z$30,14,FALSE)</f>
        <v>0.2</v>
      </c>
      <c r="F23" s="442">
        <f>VLOOKUP(A8,CCT!$A$14:$Z$30,16,FALSE)</f>
        <v>739.2</v>
      </c>
      <c r="G23" s="230">
        <f>F23</f>
        <v>739.2</v>
      </c>
      <c r="H23" s="230"/>
      <c r="I23" s="1002"/>
      <c r="J23" s="756"/>
      <c r="K23" s="442"/>
      <c r="L23" s="442"/>
      <c r="M23" s="442"/>
      <c r="N23" s="442"/>
      <c r="O23" s="1018"/>
    </row>
    <row r="24" spans="1:15" ht="25.5" customHeight="1" x14ac:dyDescent="0.2">
      <c r="A24" s="1386" t="str">
        <f>CCT!Q8</f>
        <v>Cesta Básica</v>
      </c>
      <c r="B24" s="1626"/>
      <c r="C24" s="442">
        <v>1</v>
      </c>
      <c r="D24" s="757">
        <f>VLOOKUP(A8,CCT!$A$14:$Z$30,17,FALSE)</f>
        <v>0</v>
      </c>
      <c r="E24" s="759">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0</v>
      </c>
      <c r="E26" s="303"/>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1466.0902000000001</v>
      </c>
      <c r="G30" s="232">
        <f>SUM(G18:G29)</f>
        <v>739.2</v>
      </c>
      <c r="H30" s="232">
        <f>SUM($H$18:$H$29)</f>
        <v>0</v>
      </c>
      <c r="I30" s="233">
        <f>SUM($I$18:$I$29)</f>
        <v>445.78420000000006</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9101.2502000000004</v>
      </c>
      <c r="G31" s="232">
        <f>$G$15+$G$30</f>
        <v>739.2</v>
      </c>
      <c r="H31" s="232">
        <f>$H$15+$H$30</f>
        <v>0</v>
      </c>
      <c r="I31" s="233">
        <f>$I$15+$I$30</f>
        <v>445.78420000000006</v>
      </c>
      <c r="J31" s="1019" t="s">
        <v>4381</v>
      </c>
      <c r="K31" s="443">
        <f>K15+K30</f>
        <v>8.326080000000001</v>
      </c>
      <c r="L31" s="443">
        <f>L15+L30</f>
        <v>62.463240000000006</v>
      </c>
      <c r="M31" s="443">
        <f>M15+M30</f>
        <v>83.296079999999989</v>
      </c>
      <c r="N31" s="443">
        <f>N15+N30</f>
        <v>42</v>
      </c>
      <c r="O31" s="1020">
        <f>O15+O30</f>
        <v>30.1</v>
      </c>
    </row>
    <row r="32" spans="1:15" ht="19.5" customHeight="1" x14ac:dyDescent="0.2">
      <c r="A32" s="1638" t="s">
        <v>4382</v>
      </c>
      <c r="B32" s="1639"/>
      <c r="C32" s="1639"/>
      <c r="D32" s="1639"/>
      <c r="E32" s="1639"/>
      <c r="F32" s="1639"/>
      <c r="G32" s="1639"/>
      <c r="H32" s="1639">
        <f>SUM($H$18:$H$31)</f>
        <v>0</v>
      </c>
      <c r="I32" s="1640">
        <f>SUM($I$18:$I$31)</f>
        <v>1337.3526000000002</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455.06</v>
      </c>
      <c r="G34" s="230">
        <f>ROUND(($G$31*$D$34),2)</f>
        <v>36.96</v>
      </c>
      <c r="H34" s="230">
        <f>ROUND((H31*D34),2)</f>
        <v>0</v>
      </c>
      <c r="I34" s="1002">
        <f>ROUND((I31*D34),2)</f>
        <v>22.29</v>
      </c>
      <c r="J34" s="756" t="s">
        <v>4386</v>
      </c>
      <c r="K34" s="442">
        <f>ROUND((K31*$D$34),2)</f>
        <v>0.42</v>
      </c>
      <c r="L34" s="442">
        <f>ROUND((L31*$D$34),2)</f>
        <v>3.12</v>
      </c>
      <c r="M34" s="442">
        <f>ROUND((M31*$D$34),2)</f>
        <v>4.16</v>
      </c>
      <c r="N34" s="442">
        <f>ROUND((N31*$D$34),2)</f>
        <v>2.1</v>
      </c>
      <c r="O34" s="1018">
        <f>ROUND((O31*$D$34),2)</f>
        <v>1.51</v>
      </c>
    </row>
    <row r="35" spans="1:15" ht="19.5" customHeight="1" x14ac:dyDescent="0.2">
      <c r="A35" s="1636" t="s">
        <v>4387</v>
      </c>
      <c r="B35" s="1637"/>
      <c r="C35" s="1637"/>
      <c r="D35" s="236"/>
      <c r="E35" s="230"/>
      <c r="F35" s="230">
        <f>F31+F34</f>
        <v>9556.3101999999999</v>
      </c>
      <c r="G35" s="230">
        <f>$G$34+$G$31</f>
        <v>776.16000000000008</v>
      </c>
      <c r="H35" s="230">
        <f>H31+H34</f>
        <v>0</v>
      </c>
      <c r="I35" s="1002">
        <f>I31+I34</f>
        <v>468.07420000000008</v>
      </c>
      <c r="J35" s="756" t="s">
        <v>4388</v>
      </c>
      <c r="K35" s="442">
        <f>K31+K34</f>
        <v>8.746080000000001</v>
      </c>
      <c r="L35" s="442">
        <f>L31+L34</f>
        <v>65.583240000000004</v>
      </c>
      <c r="M35" s="442">
        <f>M31+M34</f>
        <v>87.456079999999986</v>
      </c>
      <c r="N35" s="442">
        <f>N31+N34</f>
        <v>44.1</v>
      </c>
      <c r="O35" s="1018">
        <f>O31+O34</f>
        <v>31.610000000000003</v>
      </c>
    </row>
    <row r="36" spans="1:15" ht="19.5" customHeight="1" x14ac:dyDescent="0.2">
      <c r="A36" s="411" t="s">
        <v>447</v>
      </c>
      <c r="B36" s="235"/>
      <c r="C36" s="235"/>
      <c r="D36" s="236">
        <f>Dados!$G$54</f>
        <v>6.7900000000000002E-2</v>
      </c>
      <c r="E36" s="230">
        <f>F31+F34</f>
        <v>9556.3101999999999</v>
      </c>
      <c r="F36" s="230">
        <f>ROUND((E36*D36),2)</f>
        <v>648.87</v>
      </c>
      <c r="G36" s="230">
        <f>ROUND(($G$35*$D$36),2)</f>
        <v>52.7</v>
      </c>
      <c r="H36" s="230">
        <f>ROUND((H35*D36),2)</f>
        <v>0</v>
      </c>
      <c r="I36" s="1002">
        <f>ROUND((I35*D36),2)</f>
        <v>31.78</v>
      </c>
      <c r="J36" s="756" t="s">
        <v>447</v>
      </c>
      <c r="K36" s="442">
        <f>ROUND((K35*$D$36),2)</f>
        <v>0.59</v>
      </c>
      <c r="L36" s="442">
        <f>ROUND((L35*$D$36),2)</f>
        <v>4.45</v>
      </c>
      <c r="M36" s="442">
        <f>ROUND((M35*$D$36),2)</f>
        <v>5.94</v>
      </c>
      <c r="N36" s="442">
        <f>ROUND((N35*$D$36),2)</f>
        <v>2.99</v>
      </c>
      <c r="O36" s="1018">
        <f>ROUND((O35*$D$36),2)</f>
        <v>2.15</v>
      </c>
    </row>
    <row r="37" spans="1:15" ht="24.75" customHeight="1" x14ac:dyDescent="0.2">
      <c r="A37" s="421" t="s">
        <v>4389</v>
      </c>
      <c r="B37" s="422"/>
      <c r="C37" s="422"/>
      <c r="D37" s="237">
        <f>SUM(D34:D36)</f>
        <v>0.1179</v>
      </c>
      <c r="E37" s="232"/>
      <c r="F37" s="232">
        <f>F34+F36</f>
        <v>1103.93</v>
      </c>
      <c r="G37" s="232">
        <f>$G$34+$G$36</f>
        <v>89.66</v>
      </c>
      <c r="H37" s="232">
        <f>H34+H36</f>
        <v>0</v>
      </c>
      <c r="I37" s="233">
        <f>I34+I36</f>
        <v>54.07</v>
      </c>
      <c r="J37" s="1019" t="s">
        <v>4390</v>
      </c>
      <c r="K37" s="443">
        <f>K34+K36</f>
        <v>1.01</v>
      </c>
      <c r="L37" s="443">
        <f>L34+L36</f>
        <v>7.57</v>
      </c>
      <c r="M37" s="443">
        <f>M34+M36</f>
        <v>10.100000000000001</v>
      </c>
      <c r="N37" s="443">
        <f>N34+N36</f>
        <v>5.09</v>
      </c>
      <c r="O37" s="1020">
        <f>O34+O36</f>
        <v>3.66</v>
      </c>
    </row>
    <row r="38" spans="1:15" ht="24.75" customHeight="1" x14ac:dyDescent="0.2">
      <c r="A38" s="1631" t="s">
        <v>4391</v>
      </c>
      <c r="B38" s="1632"/>
      <c r="C38" s="1632"/>
      <c r="D38" s="1632"/>
      <c r="E38" s="1632"/>
      <c r="F38" s="232">
        <f>F15+F30+F37</f>
        <v>10205.180200000001</v>
      </c>
      <c r="G38" s="232">
        <f>$G$15+$G$30+$G$37</f>
        <v>828.86</v>
      </c>
      <c r="H38" s="232">
        <f>H15+H30+H37</f>
        <v>0</v>
      </c>
      <c r="I38" s="233">
        <f>I15+I30+I37</f>
        <v>499.85420000000005</v>
      </c>
      <c r="J38" s="1019" t="s">
        <v>4392</v>
      </c>
      <c r="K38" s="443">
        <f>K15+K30+K37</f>
        <v>9.3360800000000008</v>
      </c>
      <c r="L38" s="443">
        <f>L15+L30+L37</f>
        <v>70.033240000000006</v>
      </c>
      <c r="M38" s="443">
        <f>M15+M30+M37</f>
        <v>93.396079999999984</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326.22000000000003</v>
      </c>
      <c r="G40" s="230">
        <f>ROUND(($G$45*$D$40),2)</f>
        <v>26.5</v>
      </c>
      <c r="H40" s="230">
        <f>ROUND((H45*D40),2)</f>
        <v>0</v>
      </c>
      <c r="I40" s="1002">
        <f>ROUND((I45*D40),2)</f>
        <v>15.98</v>
      </c>
      <c r="J40" s="1026" t="s">
        <v>452</v>
      </c>
      <c r="K40" s="442">
        <f>ROUND((K45*$D$40),2)</f>
        <v>0.3</v>
      </c>
      <c r="L40" s="442">
        <f>ROUND((L45*$D$40),2)</f>
        <v>2.2400000000000002</v>
      </c>
      <c r="M40" s="442">
        <f>ROUND((M45*$D$40),2)</f>
        <v>2.99</v>
      </c>
      <c r="N40" s="442">
        <f>ROUND((N45*$D$40),2)</f>
        <v>1.51</v>
      </c>
      <c r="O40" s="1018">
        <f>ROUND((O45*$D$40),2)</f>
        <v>1.08</v>
      </c>
    </row>
    <row r="41" spans="1:15" ht="19.5" customHeight="1" x14ac:dyDescent="0.2">
      <c r="A41" s="411" t="s">
        <v>454</v>
      </c>
      <c r="B41" s="235"/>
      <c r="C41" s="235"/>
      <c r="D41" s="236">
        <f>Dados!$G$62</f>
        <v>6.4999999999999997E-3</v>
      </c>
      <c r="E41" s="230"/>
      <c r="F41" s="230">
        <f>ROUND((F45*D41),2)</f>
        <v>70.680000000000007</v>
      </c>
      <c r="G41" s="230">
        <f>ROUND(($G$45*$D$41),2)</f>
        <v>5.74</v>
      </c>
      <c r="H41" s="230">
        <f>ROUND((H45*D41),2)</f>
        <v>0</v>
      </c>
      <c r="I41" s="1002">
        <f>ROUND((I45*D41),2)</f>
        <v>3.46</v>
      </c>
      <c r="J41" s="1026" t="s">
        <v>454</v>
      </c>
      <c r="K41" s="442">
        <f>ROUND((K45*$D$42),2)</f>
        <v>0.25</v>
      </c>
      <c r="L41" s="442">
        <f>ROUND((L45*$D$41),2)</f>
        <v>0.49</v>
      </c>
      <c r="M41" s="442">
        <f>ROUND((M45*$D$41),2)</f>
        <v>0.65</v>
      </c>
      <c r="N41" s="442">
        <f>ROUND((N45*$D$41),2)</f>
        <v>0.33</v>
      </c>
      <c r="O41" s="1018">
        <f>ROUND((O45*$D$41),2)</f>
        <v>0.23</v>
      </c>
    </row>
    <row r="42" spans="1:15" ht="19.5" customHeight="1" x14ac:dyDescent="0.2">
      <c r="A42" s="411" t="s">
        <v>456</v>
      </c>
      <c r="B42" s="235"/>
      <c r="C42" s="235"/>
      <c r="D42" s="236">
        <f>Dados!$G$63</f>
        <v>2.5000000000000001E-2</v>
      </c>
      <c r="E42" s="230"/>
      <c r="F42" s="230">
        <f>ROUND((F45*D42),2)</f>
        <v>271.85000000000002</v>
      </c>
      <c r="G42" s="230">
        <f>ROUND(($G$45*$D$42),2)</f>
        <v>22.08</v>
      </c>
      <c r="H42" s="230">
        <f>ROUND((H45*D42),2)</f>
        <v>0</v>
      </c>
      <c r="I42" s="1002">
        <f>ROUND((I45*D42),2)</f>
        <v>13.32</v>
      </c>
      <c r="J42" s="1026" t="s">
        <v>456</v>
      </c>
      <c r="K42" s="442">
        <f>ROUND((K45*$D$42),2)</f>
        <v>0.25</v>
      </c>
      <c r="L42" s="442">
        <f>ROUND((L45*$D$42),2)</f>
        <v>1.87</v>
      </c>
      <c r="M42" s="442">
        <f>ROUND((M45*$D$42),2)</f>
        <v>2.4900000000000002</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668.75</v>
      </c>
      <c r="G44" s="232">
        <f>SUM(G40:G43)</f>
        <v>54.32</v>
      </c>
      <c r="H44" s="232">
        <f>SUM(H40:H43)</f>
        <v>0</v>
      </c>
      <c r="I44" s="233">
        <f>SUM(I40:I43)</f>
        <v>32.760000000000005</v>
      </c>
      <c r="J44" s="1019" t="s">
        <v>4396</v>
      </c>
      <c r="K44" s="443">
        <f>SUM(K40:K43)</f>
        <v>0.8</v>
      </c>
      <c r="L44" s="443">
        <f>SUM(L40:L43)</f>
        <v>4.6000000000000005</v>
      </c>
      <c r="M44" s="443">
        <f>SUM(M40:M43)</f>
        <v>6.1300000000000008</v>
      </c>
      <c r="N44" s="443">
        <f>SUM(N40:N43)</f>
        <v>3.09</v>
      </c>
      <c r="O44" s="1020">
        <f>SUM(O40:O43)</f>
        <v>2.21</v>
      </c>
    </row>
    <row r="45" spans="1:15" ht="34.5" hidden="1" customHeight="1" thickBot="1" x14ac:dyDescent="0.25">
      <c r="A45" s="1641" t="str">
        <f>A8</f>
        <v>Técnico em Edificações</v>
      </c>
      <c r="B45" s="1642"/>
      <c r="C45" s="1642"/>
      <c r="D45" s="1642"/>
      <c r="E45" s="1642"/>
      <c r="F45" s="232">
        <f>ROUND(F38/(1-D44),2)</f>
        <v>10873.93</v>
      </c>
      <c r="G45" s="232">
        <f>ROUND($G$38/(1-$D$44),2)</f>
        <v>883.18</v>
      </c>
      <c r="H45" s="232">
        <f>ROUND(H38/(1-D44),2)</f>
        <v>0</v>
      </c>
      <c r="I45" s="233">
        <f>ROUND(I38/(1-D44),2)</f>
        <v>532.61</v>
      </c>
      <c r="J45" s="1019" t="s">
        <v>585</v>
      </c>
      <c r="K45" s="443">
        <f>ROUND(K38/(1-$D$44),2)</f>
        <v>9.9499999999999993</v>
      </c>
      <c r="L45" s="443">
        <f>ROUND(L38/(1-$D$44),2)</f>
        <v>74.62</v>
      </c>
      <c r="M45" s="443">
        <f>ROUND(M38/(1-$D$44),2)</f>
        <v>99.52</v>
      </c>
      <c r="N45" s="443">
        <f>ROUND(N38/(1-$D$44),2)</f>
        <v>50.18</v>
      </c>
      <c r="O45" s="1020">
        <f>ROUND(O38/(1-$D$44),2)</f>
        <v>35.97</v>
      </c>
    </row>
    <row r="46" spans="1:15" ht="30" customHeight="1" x14ac:dyDescent="0.2">
      <c r="A46" s="1643" t="str">
        <f>A8</f>
        <v>Técnico em Edificações</v>
      </c>
      <c r="B46" s="1644"/>
      <c r="C46" s="1644"/>
      <c r="D46" s="1644"/>
      <c r="E46" s="1644"/>
      <c r="F46" s="984">
        <f>F45</f>
        <v>10873.93</v>
      </c>
      <c r="G46" s="984">
        <f>$G$45</f>
        <v>883.18</v>
      </c>
      <c r="H46" s="984">
        <f>H45</f>
        <v>0</v>
      </c>
      <c r="I46" s="1005">
        <f>I45</f>
        <v>532.61</v>
      </c>
      <c r="J46" s="1019" t="s">
        <v>585</v>
      </c>
      <c r="K46" s="446">
        <f>K45</f>
        <v>9.9499999999999993</v>
      </c>
      <c r="L46" s="446">
        <f>L45</f>
        <v>74.62</v>
      </c>
      <c r="M46" s="446">
        <f>M45</f>
        <v>99.52</v>
      </c>
      <c r="N46" s="446">
        <f>N45</f>
        <v>50.18</v>
      </c>
      <c r="O46" s="1027">
        <f>O45</f>
        <v>35.97</v>
      </c>
    </row>
    <row r="47" spans="1:15" ht="29.25" customHeight="1" thickBot="1" x14ac:dyDescent="0.25">
      <c r="A47" s="1634" t="s">
        <v>4397</v>
      </c>
      <c r="B47" s="1635"/>
      <c r="C47" s="1635"/>
      <c r="D47" s="1635"/>
      <c r="E47" s="1635"/>
      <c r="F47" s="1006">
        <f>($F$46/$F$13)/100</f>
        <v>2.5122749704273254E-2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867F-D444-4585-B23A-D6201E567276}">
  <sheetPr>
    <pageSetUpPr fitToPage="1"/>
  </sheetPr>
  <dimension ref="A1:O47"/>
  <sheetViews>
    <sheetView view="pageBreakPreview" zoomScale="106" zoomScaleNormal="100" zoomScaleSheetLayoutView="106" workbookViewId="0">
      <selection sqref="A1:I4"/>
    </sheetView>
  </sheetViews>
  <sheetFormatPr defaultColWidth="9" defaultRowHeight="12.75" customHeight="1" x14ac:dyDescent="0.2"/>
  <cols>
    <col min="1" max="1" width="11.33203125" customWidth="1"/>
    <col min="2" max="2" width="28.83203125" customWidth="1"/>
    <col min="3" max="3" width="10.33203125" customWidth="1"/>
    <col min="4" max="5" width="17.5" customWidth="1"/>
    <col min="6" max="8" width="17.83203125" style="228" customWidth="1"/>
    <col min="9" max="9" width="17.83203125" customWidth="1"/>
    <col min="10" max="10" width="18.5" bestFit="1" customWidth="1"/>
  </cols>
  <sheetData>
    <row r="1" spans="1:15" ht="17.25" x14ac:dyDescent="0.3">
      <c r="A1" s="873"/>
      <c r="B1" s="874"/>
      <c r="C1" s="874" t="s">
        <v>120</v>
      </c>
      <c r="D1" s="875"/>
      <c r="E1" s="875"/>
      <c r="F1" s="876"/>
      <c r="G1" s="876"/>
      <c r="H1" s="876"/>
      <c r="I1" s="877"/>
    </row>
    <row r="2" spans="1:15" x14ac:dyDescent="0.2">
      <c r="A2" s="878"/>
      <c r="B2" s="784"/>
      <c r="C2" s="784" t="s">
        <v>1</v>
      </c>
      <c r="D2" s="879"/>
      <c r="E2" s="879"/>
      <c r="F2" s="880"/>
      <c r="G2" s="880"/>
      <c r="H2" s="880"/>
      <c r="I2" s="881"/>
    </row>
    <row r="3" spans="1:15" x14ac:dyDescent="0.2">
      <c r="A3" s="878"/>
      <c r="B3" s="784"/>
      <c r="C3" s="784" t="s">
        <v>2</v>
      </c>
      <c r="D3" s="879"/>
      <c r="E3" s="879"/>
      <c r="F3" s="880"/>
      <c r="G3" s="880"/>
      <c r="H3" s="880"/>
      <c r="I3" s="881"/>
    </row>
    <row r="4" spans="1:15" ht="13.5" thickBot="1" x14ac:dyDescent="0.25">
      <c r="A4" s="1086"/>
      <c r="B4" s="1087"/>
      <c r="C4" s="1087" t="s">
        <v>493</v>
      </c>
      <c r="D4" s="1088"/>
      <c r="E4" s="1088"/>
      <c r="F4" s="1089"/>
      <c r="G4" s="1089"/>
      <c r="H4" s="1089"/>
      <c r="I4" s="1090"/>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32.25" customHeight="1" thickBot="1" x14ac:dyDescent="0.25">
      <c r="A6" s="1646" t="str">
        <f>A8</f>
        <v>Técnico Eletrotécnico (12x36 diurno) - (EPI Eletricista)</v>
      </c>
      <c r="B6" s="1646"/>
      <c r="C6" s="1646"/>
      <c r="D6" s="1646"/>
      <c r="E6" s="1646"/>
      <c r="F6" s="1646"/>
      <c r="G6" s="1646"/>
      <c r="H6" s="1646"/>
      <c r="I6" s="1646"/>
    </row>
    <row r="7" spans="1:15" ht="39"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Dados!B15</f>
        <v>Técnico Eletrotécnico (12x36 diurno) - (EPI Eletricista)</v>
      </c>
      <c r="B8" s="1657"/>
      <c r="C8" s="995" t="s">
        <v>4347</v>
      </c>
      <c r="D8" s="996">
        <f>Dados!F15</f>
        <v>4111.95</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Técnico Eletrotécnico (12x36 diurno) - (EPI Eletricista)</v>
      </c>
      <c r="B9" s="1663"/>
      <c r="C9" s="1663"/>
      <c r="D9" s="1663"/>
      <c r="E9" s="988" t="s">
        <v>389</v>
      </c>
      <c r="F9" s="1649"/>
      <c r="G9" s="1649"/>
      <c r="H9" s="1651"/>
      <c r="I9" s="1653"/>
      <c r="J9" s="1665"/>
      <c r="K9" s="882">
        <f>CCT!H19</f>
        <v>0.2</v>
      </c>
      <c r="L9" s="882">
        <f>100%+Dados!G94</f>
        <v>1.5</v>
      </c>
      <c r="M9" s="882">
        <f>100%+Dados!G95</f>
        <v>2</v>
      </c>
      <c r="N9" s="987">
        <f>D23</f>
        <v>42</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Técnico Eletrotécnico (12x36 diurno) - (EPI Eletricista)</v>
      </c>
      <c r="C11" s="1661"/>
      <c r="D11" s="238">
        <f>Dados!C15</f>
        <v>220</v>
      </c>
      <c r="E11" s="230">
        <f>Dados!N15</f>
        <v>5345.5349999999999</v>
      </c>
      <c r="F11" s="230">
        <f>ROUND(E11/220*D11,2)</f>
        <v>5345.54</v>
      </c>
      <c r="G11" s="230"/>
      <c r="H11" s="230"/>
      <c r="I11" s="1002"/>
      <c r="J11" s="756" t="s">
        <v>4363</v>
      </c>
      <c r="K11" s="442">
        <f>ROUND($F$11/$D$11*K9,2)</f>
        <v>4.8600000000000003</v>
      </c>
      <c r="L11" s="442">
        <f>ROUND($F$11/$D$11*L9,2)</f>
        <v>36.450000000000003</v>
      </c>
      <c r="M11" s="442">
        <f>ROUND($F$11/$D$11*M9,2)</f>
        <v>48.6</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0.97</v>
      </c>
      <c r="L12" s="442">
        <f>ROUND($M$10/$K$10*L11,2)</f>
        <v>7.29</v>
      </c>
      <c r="M12" s="442">
        <f>ROUND($M$10/$K$10*M11,2)</f>
        <v>9.7200000000000006</v>
      </c>
      <c r="N12" s="1031" t="s">
        <v>88</v>
      </c>
      <c r="O12" s="1032" t="s">
        <v>88</v>
      </c>
    </row>
    <row r="13" spans="1:15" ht="19.5" customHeight="1" x14ac:dyDescent="0.2">
      <c r="A13" s="1660"/>
      <c r="B13" s="1632" t="s">
        <v>4365</v>
      </c>
      <c r="C13" s="1632"/>
      <c r="D13" s="1632"/>
      <c r="E13" s="1632"/>
      <c r="F13" s="232">
        <f>F11+F12</f>
        <v>5345.54</v>
      </c>
      <c r="G13" s="232"/>
      <c r="H13" s="232"/>
      <c r="I13" s="233"/>
      <c r="J13" s="1019" t="s">
        <v>334</v>
      </c>
      <c r="K13" s="443">
        <f>SUM(K11:K12)</f>
        <v>5.83</v>
      </c>
      <c r="L13" s="443">
        <f>SUM(L11:L12)</f>
        <v>43.74</v>
      </c>
      <c r="M13" s="443">
        <f>SUM(M11:M12)</f>
        <v>58.32</v>
      </c>
      <c r="N13" s="443">
        <f>N9</f>
        <v>42</v>
      </c>
      <c r="O13" s="1020">
        <f>O9</f>
        <v>30.1</v>
      </c>
    </row>
    <row r="14" spans="1:15" ht="19.5" customHeight="1" x14ac:dyDescent="0.2">
      <c r="A14" s="1660"/>
      <c r="B14" s="1626" t="s">
        <v>4366</v>
      </c>
      <c r="C14" s="1626"/>
      <c r="D14" s="1626"/>
      <c r="E14" s="240">
        <f>Dados!G34</f>
        <v>0.76400000000000001</v>
      </c>
      <c r="F14" s="230">
        <f>(ROUND((E14*F13),2))</f>
        <v>4083.99</v>
      </c>
      <c r="G14" s="230"/>
      <c r="H14" s="230"/>
      <c r="I14" s="1002"/>
      <c r="J14" s="756" t="s">
        <v>4367</v>
      </c>
      <c r="K14" s="442">
        <f>K13*$E$14</f>
        <v>4.4541200000000005</v>
      </c>
      <c r="L14" s="442">
        <f>L13*$E$14</f>
        <v>33.417360000000002</v>
      </c>
      <c r="M14" s="442">
        <f>M13*$E$14</f>
        <v>44.556480000000001</v>
      </c>
      <c r="N14" s="1031" t="s">
        <v>88</v>
      </c>
      <c r="O14" s="1032" t="s">
        <v>88</v>
      </c>
    </row>
    <row r="15" spans="1:15" ht="24.75" customHeight="1" x14ac:dyDescent="0.2">
      <c r="A15" s="1631" t="s">
        <v>4368</v>
      </c>
      <c r="B15" s="1632"/>
      <c r="C15" s="1632"/>
      <c r="D15" s="1632"/>
      <c r="E15" s="1632"/>
      <c r="F15" s="232">
        <f>ROUND(SUM(F13:F14),2)</f>
        <v>9429.5300000000007</v>
      </c>
      <c r="G15" s="232"/>
      <c r="H15" s="232"/>
      <c r="I15" s="233"/>
      <c r="J15" s="1019" t="s">
        <v>4369</v>
      </c>
      <c r="K15" s="443">
        <f>K13+K14</f>
        <v>10.284120000000001</v>
      </c>
      <c r="L15" s="443">
        <f>L13+L14</f>
        <v>77.157360000000011</v>
      </c>
      <c r="M15" s="443">
        <f>M13+M14</f>
        <v>102.87648</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Dados!O15</f>
        <v>59.25</v>
      </c>
      <c r="E18" s="230"/>
      <c r="F18" s="442">
        <f>ROUND((D18),2)</f>
        <v>59.25</v>
      </c>
      <c r="G18" s="230"/>
      <c r="H18" s="230"/>
      <c r="I18" s="1002"/>
      <c r="J18" s="1021"/>
      <c r="K18" s="445"/>
      <c r="L18" s="445"/>
      <c r="M18" s="445"/>
      <c r="N18" s="445"/>
      <c r="O18" s="1024"/>
    </row>
    <row r="19" spans="1:15" ht="19.5" customHeight="1" x14ac:dyDescent="0.2">
      <c r="A19" s="1386" t="s">
        <v>4374</v>
      </c>
      <c r="B19" s="1626"/>
      <c r="C19" s="235"/>
      <c r="D19" s="230">
        <f>Dados!Q15</f>
        <v>264.75666666666666</v>
      </c>
      <c r="E19" s="230"/>
      <c r="F19" s="442">
        <f>ROUND((D19),2)</f>
        <v>264.76</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Dados!$G$48</f>
        <v>15.5</v>
      </c>
      <c r="D21" s="230">
        <f>Dados!$G$46</f>
        <v>8.8000000000000007</v>
      </c>
      <c r="E21" s="230">
        <f>Dados!$G$44</f>
        <v>6.25</v>
      </c>
      <c r="F21" s="230">
        <f>IF((C21*D21*Dados!G45+C21*E21*Dados!G43)-6%*D8&lt;0,0,(C21*D21*Dados!G45+C21*E21*Dados!G43)-6%*D8)</f>
        <v>219.83300000000003</v>
      </c>
      <c r="G21" s="230"/>
      <c r="H21" s="230"/>
      <c r="I21" s="1002">
        <f>F21</f>
        <v>219.83300000000003</v>
      </c>
      <c r="J21" s="1021"/>
      <c r="K21" s="445"/>
      <c r="L21" s="445"/>
      <c r="M21" s="445"/>
      <c r="N21" s="445"/>
      <c r="O21" s="1024"/>
    </row>
    <row r="22" spans="1:15" ht="25.5" customHeight="1" x14ac:dyDescent="0.2">
      <c r="A22" s="1386" t="s">
        <v>368</v>
      </c>
      <c r="B22" s="1626"/>
      <c r="C22" s="235">
        <v>1</v>
      </c>
      <c r="D22" s="303">
        <f>VLOOKUP(A8,CCT!$A$14:$Z$30,10,FALSE)</f>
        <v>380.02</v>
      </c>
      <c r="E22" s="973">
        <f>VLOOKUP(A8,CCT!$A$14:$Z$30,11,FALSE)</f>
        <v>0.3</v>
      </c>
      <c r="F22" s="442">
        <f>IFERROR(C22*D22*E22,C22*D22)</f>
        <v>114.00599999999999</v>
      </c>
      <c r="G22" s="230"/>
      <c r="H22" s="230"/>
      <c r="I22" s="1002"/>
      <c r="J22" s="756"/>
      <c r="K22" s="442"/>
      <c r="L22" s="442"/>
      <c r="M22" s="442"/>
      <c r="N22" s="442"/>
      <c r="O22" s="1018"/>
    </row>
    <row r="23" spans="1:15" ht="25.5" customHeight="1" x14ac:dyDescent="0.2">
      <c r="A23" s="1386" t="s">
        <v>371</v>
      </c>
      <c r="B23" s="1626"/>
      <c r="C23" s="442">
        <f>VLOOKUP(A8,CCT!$A$14:$Z$30,15,FALSE)</f>
        <v>15.5</v>
      </c>
      <c r="D23" s="757">
        <f>VLOOKUP(A8,CCT!$A$14:$Z$30,13,FALSE)</f>
        <v>42</v>
      </c>
      <c r="E23" s="758">
        <f>VLOOKUP(A8,CCT!$A$14:$Z$30,14,FALSE)</f>
        <v>0.2</v>
      </c>
      <c r="F23" s="442">
        <f>VLOOKUP(A8,CCT!$A$14:$Z$30,16,FALSE)</f>
        <v>520.79999999999995</v>
      </c>
      <c r="G23" s="230">
        <f>F23</f>
        <v>520.79999999999995</v>
      </c>
      <c r="H23" s="230"/>
      <c r="I23" s="1002"/>
      <c r="J23" s="756"/>
      <c r="K23" s="442"/>
      <c r="L23" s="442"/>
      <c r="M23" s="442"/>
      <c r="N23" s="442"/>
      <c r="O23" s="1018"/>
    </row>
    <row r="24" spans="1:15" ht="25.5" customHeight="1" x14ac:dyDescent="0.2">
      <c r="A24" s="1386" t="str">
        <f>CCT!Q8</f>
        <v>Cesta Básica</v>
      </c>
      <c r="B24" s="1626"/>
      <c r="C24" s="442">
        <v>1</v>
      </c>
      <c r="D24" s="757">
        <f>VLOOKUP(A8,CCT!$A$14:$Z$30,17,FALSE)</f>
        <v>0</v>
      </c>
      <c r="E24" s="759">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0</v>
      </c>
      <c r="E26" s="303"/>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1251.1489999999999</v>
      </c>
      <c r="G30" s="232">
        <f>SUM(G18:G29)</f>
        <v>520.79999999999995</v>
      </c>
      <c r="H30" s="232">
        <f>SUM($H$18:$H$29)</f>
        <v>0</v>
      </c>
      <c r="I30" s="233">
        <f>SUM($I$18:$I$29)</f>
        <v>219.83300000000003</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10680.679</v>
      </c>
      <c r="G31" s="232">
        <f>$G$15+$G$30</f>
        <v>520.79999999999995</v>
      </c>
      <c r="H31" s="232">
        <f>$H$15+$H$30</f>
        <v>0</v>
      </c>
      <c r="I31" s="233">
        <f>$I$15+$I$30</f>
        <v>219.83300000000003</v>
      </c>
      <c r="J31" s="1019" t="s">
        <v>4381</v>
      </c>
      <c r="K31" s="443">
        <f>K15+K30</f>
        <v>10.284120000000001</v>
      </c>
      <c r="L31" s="443">
        <f>L15+L30</f>
        <v>77.157360000000011</v>
      </c>
      <c r="M31" s="443">
        <f>M15+M30</f>
        <v>102.87648</v>
      </c>
      <c r="N31" s="443">
        <f>N15+N30</f>
        <v>42</v>
      </c>
      <c r="O31" s="1020">
        <f>O15+O30</f>
        <v>30.1</v>
      </c>
    </row>
    <row r="32" spans="1:15" ht="19.5" customHeight="1" x14ac:dyDescent="0.2">
      <c r="A32" s="1638" t="s">
        <v>4382</v>
      </c>
      <c r="B32" s="1639"/>
      <c r="C32" s="1639"/>
      <c r="D32" s="1639"/>
      <c r="E32" s="1639"/>
      <c r="F32" s="1639"/>
      <c r="G32" s="1639"/>
      <c r="H32" s="1639">
        <f>SUM($H$18:$H$31)</f>
        <v>0</v>
      </c>
      <c r="I32" s="1640">
        <f>SUM($I$18:$I$31)</f>
        <v>659.49900000000002</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534.03</v>
      </c>
      <c r="G34" s="230">
        <f>ROUND(($G$31*$D$34),2)</f>
        <v>26.04</v>
      </c>
      <c r="H34" s="230">
        <f>ROUND((H31*D34),2)</f>
        <v>0</v>
      </c>
      <c r="I34" s="1002">
        <f>ROUND((I31*D34),2)</f>
        <v>10.99</v>
      </c>
      <c r="J34" s="756" t="s">
        <v>4386</v>
      </c>
      <c r="K34" s="442">
        <f>ROUND((K31*$D$34),2)</f>
        <v>0.51</v>
      </c>
      <c r="L34" s="442">
        <f>ROUND((L31*$D$34),2)</f>
        <v>3.86</v>
      </c>
      <c r="M34" s="442">
        <f>ROUND((M31*$D$34),2)</f>
        <v>5.14</v>
      </c>
      <c r="N34" s="442">
        <f>ROUND((N31*$D$34),2)</f>
        <v>2.1</v>
      </c>
      <c r="O34" s="1018">
        <f>ROUND((O31*$D$34),2)</f>
        <v>1.51</v>
      </c>
    </row>
    <row r="35" spans="1:15" ht="19.5" customHeight="1" x14ac:dyDescent="0.2">
      <c r="A35" s="1636" t="s">
        <v>4387</v>
      </c>
      <c r="B35" s="1637"/>
      <c r="C35" s="1637"/>
      <c r="D35" s="236"/>
      <c r="E35" s="230"/>
      <c r="F35" s="230">
        <f>F31+F34</f>
        <v>11214.709000000001</v>
      </c>
      <c r="G35" s="230">
        <f>$G$34+$G$31</f>
        <v>546.83999999999992</v>
      </c>
      <c r="H35" s="230">
        <f>H31+H34</f>
        <v>0</v>
      </c>
      <c r="I35" s="1002">
        <f>I31+I34</f>
        <v>230.82300000000004</v>
      </c>
      <c r="J35" s="756" t="s">
        <v>4388</v>
      </c>
      <c r="K35" s="442">
        <f>K31+K34</f>
        <v>10.794120000000001</v>
      </c>
      <c r="L35" s="442">
        <f>L31+L34</f>
        <v>81.017360000000011</v>
      </c>
      <c r="M35" s="442">
        <f>M31+M34</f>
        <v>108.01648</v>
      </c>
      <c r="N35" s="442">
        <f>N31+N34</f>
        <v>44.1</v>
      </c>
      <c r="O35" s="1018">
        <f>O31+O34</f>
        <v>31.610000000000003</v>
      </c>
    </row>
    <row r="36" spans="1:15" ht="19.5" customHeight="1" x14ac:dyDescent="0.2">
      <c r="A36" s="411" t="s">
        <v>447</v>
      </c>
      <c r="B36" s="235"/>
      <c r="C36" s="235"/>
      <c r="D36" s="236">
        <f>Dados!$G$54</f>
        <v>6.7900000000000002E-2</v>
      </c>
      <c r="E36" s="230">
        <f>F31+F34</f>
        <v>11214.709000000001</v>
      </c>
      <c r="F36" s="230">
        <f>ROUND((E36*D36),2)</f>
        <v>761.48</v>
      </c>
      <c r="G36" s="230">
        <f>ROUND(($G$35*$D$36),2)</f>
        <v>37.130000000000003</v>
      </c>
      <c r="H36" s="230">
        <f>ROUND((H35*D36),2)</f>
        <v>0</v>
      </c>
      <c r="I36" s="1002">
        <f>ROUND((I35*D36),2)</f>
        <v>15.67</v>
      </c>
      <c r="J36" s="756" t="s">
        <v>447</v>
      </c>
      <c r="K36" s="442">
        <f>ROUND((K35*$D$36),2)</f>
        <v>0.73</v>
      </c>
      <c r="L36" s="442">
        <f>ROUND((L35*$D$36),2)</f>
        <v>5.5</v>
      </c>
      <c r="M36" s="442">
        <f>ROUND((M35*$D$36),2)</f>
        <v>7.33</v>
      </c>
      <c r="N36" s="442">
        <f>ROUND((N35*$D$36),2)</f>
        <v>2.99</v>
      </c>
      <c r="O36" s="1018">
        <f>ROUND((O35*$D$36),2)</f>
        <v>2.15</v>
      </c>
    </row>
    <row r="37" spans="1:15" ht="24.75" customHeight="1" x14ac:dyDescent="0.2">
      <c r="A37" s="421" t="s">
        <v>4389</v>
      </c>
      <c r="B37" s="422"/>
      <c r="C37" s="422"/>
      <c r="D37" s="237">
        <f>SUM(D34:D36)</f>
        <v>0.1179</v>
      </c>
      <c r="E37" s="232"/>
      <c r="F37" s="232">
        <f>F34+F36</f>
        <v>1295.51</v>
      </c>
      <c r="G37" s="232">
        <f>$G$34+$G$36</f>
        <v>63.17</v>
      </c>
      <c r="H37" s="232">
        <f>H34+H36</f>
        <v>0</v>
      </c>
      <c r="I37" s="233">
        <f>I34+I36</f>
        <v>26.66</v>
      </c>
      <c r="J37" s="1019" t="s">
        <v>4390</v>
      </c>
      <c r="K37" s="443">
        <f>K34+K36</f>
        <v>1.24</v>
      </c>
      <c r="L37" s="443">
        <f>L34+L36</f>
        <v>9.36</v>
      </c>
      <c r="M37" s="443">
        <f>M34+M36</f>
        <v>12.469999999999999</v>
      </c>
      <c r="N37" s="443">
        <f>N34+N36</f>
        <v>5.09</v>
      </c>
      <c r="O37" s="1020">
        <f>O34+O36</f>
        <v>3.66</v>
      </c>
    </row>
    <row r="38" spans="1:15" ht="24.75" customHeight="1" x14ac:dyDescent="0.2">
      <c r="A38" s="1631" t="s">
        <v>4391</v>
      </c>
      <c r="B38" s="1632"/>
      <c r="C38" s="1632"/>
      <c r="D38" s="1632"/>
      <c r="E38" s="1632"/>
      <c r="F38" s="232">
        <f>F15+F30+F37</f>
        <v>11976.189</v>
      </c>
      <c r="G38" s="232">
        <f>$G$15+$G$30+$G$37</f>
        <v>583.96999999999991</v>
      </c>
      <c r="H38" s="232">
        <f>H15+H30+H37</f>
        <v>0</v>
      </c>
      <c r="I38" s="233">
        <f>I15+I30+I37</f>
        <v>246.49300000000002</v>
      </c>
      <c r="J38" s="1019" t="s">
        <v>4392</v>
      </c>
      <c r="K38" s="443">
        <f>K15+K30+K37</f>
        <v>11.524120000000002</v>
      </c>
      <c r="L38" s="443">
        <f>L15+L30+L37</f>
        <v>86.517360000000011</v>
      </c>
      <c r="M38" s="443">
        <f>M15+M30+M37</f>
        <v>115.34648</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382.83</v>
      </c>
      <c r="G40" s="230">
        <f>ROUND(($G$45*$D$40),2)</f>
        <v>18.670000000000002</v>
      </c>
      <c r="H40" s="230">
        <f>ROUND((H45*D40),2)</f>
        <v>0</v>
      </c>
      <c r="I40" s="1002">
        <f>ROUND((I45*D40),2)</f>
        <v>7.88</v>
      </c>
      <c r="J40" s="1026" t="s">
        <v>452</v>
      </c>
      <c r="K40" s="442">
        <f>ROUND((K45*$D$40),2)</f>
        <v>0.37</v>
      </c>
      <c r="L40" s="442">
        <f>ROUND((L45*$D$40),2)</f>
        <v>2.77</v>
      </c>
      <c r="M40" s="442">
        <f>ROUND((M45*$D$40),2)</f>
        <v>3.69</v>
      </c>
      <c r="N40" s="442">
        <f>ROUND((N45*$D$40),2)</f>
        <v>1.51</v>
      </c>
      <c r="O40" s="1018">
        <f>ROUND((O45*$D$40),2)</f>
        <v>1.08</v>
      </c>
    </row>
    <row r="41" spans="1:15" ht="19.5" customHeight="1" x14ac:dyDescent="0.2">
      <c r="A41" s="411" t="s">
        <v>454</v>
      </c>
      <c r="B41" s="235"/>
      <c r="C41" s="235"/>
      <c r="D41" s="236">
        <f>Dados!$G$62</f>
        <v>6.4999999999999997E-3</v>
      </c>
      <c r="E41" s="230"/>
      <c r="F41" s="230">
        <f>ROUND((F45*D41),2)</f>
        <v>82.95</v>
      </c>
      <c r="G41" s="230">
        <f>ROUND(($G$45*$D$41),2)</f>
        <v>4.04</v>
      </c>
      <c r="H41" s="230">
        <f>ROUND((H45*D41),2)</f>
        <v>0</v>
      </c>
      <c r="I41" s="1002">
        <f>ROUND((I45*D41),2)</f>
        <v>1.71</v>
      </c>
      <c r="J41" s="1026" t="s">
        <v>454</v>
      </c>
      <c r="K41" s="442">
        <f>ROUND((K45*$D$42),2)</f>
        <v>0.31</v>
      </c>
      <c r="L41" s="442">
        <f>ROUND((L45*$D$41),2)</f>
        <v>0.6</v>
      </c>
      <c r="M41" s="442">
        <f>ROUND((M45*$D$41),2)</f>
        <v>0.8</v>
      </c>
      <c r="N41" s="442">
        <f>ROUND((N45*$D$41),2)</f>
        <v>0.33</v>
      </c>
      <c r="O41" s="1018">
        <f>ROUND((O45*$D$41),2)</f>
        <v>0.23</v>
      </c>
    </row>
    <row r="42" spans="1:15" ht="19.5" customHeight="1" x14ac:dyDescent="0.2">
      <c r="A42" s="411" t="s">
        <v>456</v>
      </c>
      <c r="B42" s="235"/>
      <c r="C42" s="235"/>
      <c r="D42" s="236">
        <f>Dados!$G$63</f>
        <v>2.5000000000000001E-2</v>
      </c>
      <c r="E42" s="230"/>
      <c r="F42" s="230">
        <f>ROUND((F45*D42),2)</f>
        <v>319.02</v>
      </c>
      <c r="G42" s="230">
        <f>ROUND(($G$45*$D$42),2)</f>
        <v>15.56</v>
      </c>
      <c r="H42" s="230">
        <f>ROUND((H45*D42),2)</f>
        <v>0</v>
      </c>
      <c r="I42" s="1002">
        <f>ROUND((I45*D42),2)</f>
        <v>6.57</v>
      </c>
      <c r="J42" s="1026" t="s">
        <v>456</v>
      </c>
      <c r="K42" s="442">
        <f>ROUND((K45*$D$42),2)</f>
        <v>0.31</v>
      </c>
      <c r="L42" s="442">
        <f>ROUND((L45*$D$42),2)</f>
        <v>2.2999999999999998</v>
      </c>
      <c r="M42" s="442">
        <f>ROUND((M45*$D$42),2)</f>
        <v>3.07</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784.8</v>
      </c>
      <c r="G44" s="232">
        <f>SUM(G40:G43)</f>
        <v>38.270000000000003</v>
      </c>
      <c r="H44" s="232">
        <f>SUM(H40:H43)</f>
        <v>0</v>
      </c>
      <c r="I44" s="233">
        <f>SUM(I40:I43)</f>
        <v>16.16</v>
      </c>
      <c r="J44" s="1019" t="s">
        <v>4396</v>
      </c>
      <c r="K44" s="443">
        <f>SUM(K40:K43)</f>
        <v>0.99</v>
      </c>
      <c r="L44" s="443">
        <f>SUM(L40:L43)</f>
        <v>5.67</v>
      </c>
      <c r="M44" s="443">
        <f>SUM(M40:M43)</f>
        <v>7.5600000000000005</v>
      </c>
      <c r="N44" s="443">
        <f>SUM(N40:N43)</f>
        <v>3.09</v>
      </c>
      <c r="O44" s="1020">
        <f>SUM(O40:O43)</f>
        <v>2.21</v>
      </c>
    </row>
    <row r="45" spans="1:15" ht="34.5" hidden="1" customHeight="1" thickBot="1" x14ac:dyDescent="0.25">
      <c r="A45" s="1641" t="str">
        <f>A8</f>
        <v>Técnico Eletrotécnico (12x36 diurno) - (EPI Eletricista)</v>
      </c>
      <c r="B45" s="1642"/>
      <c r="C45" s="1642"/>
      <c r="D45" s="1642"/>
      <c r="E45" s="1642"/>
      <c r="F45" s="232">
        <f>ROUND(F38/(1-D44),2)</f>
        <v>12760.99</v>
      </c>
      <c r="G45" s="232">
        <f>ROUND($G$38/(1-$D$44),2)</f>
        <v>622.24</v>
      </c>
      <c r="H45" s="232">
        <f>ROUND(H38/(1-D44),2)</f>
        <v>0</v>
      </c>
      <c r="I45" s="233">
        <f>ROUND(I38/(1-D44),2)</f>
        <v>262.64999999999998</v>
      </c>
      <c r="J45" s="1019" t="s">
        <v>585</v>
      </c>
      <c r="K45" s="443">
        <f>ROUND(K38/(1-$D$44),2)</f>
        <v>12.28</v>
      </c>
      <c r="L45" s="443">
        <f>ROUND(L38/(1-$D$44),2)</f>
        <v>92.19</v>
      </c>
      <c r="M45" s="443">
        <f>ROUND(M38/(1-$D$44),2)</f>
        <v>122.91</v>
      </c>
      <c r="N45" s="443">
        <f>ROUND(N38/(1-$D$44),2)</f>
        <v>50.18</v>
      </c>
      <c r="O45" s="1020">
        <f>ROUND(O38/(1-$D$44),2)</f>
        <v>35.97</v>
      </c>
    </row>
    <row r="46" spans="1:15" ht="30" customHeight="1" x14ac:dyDescent="0.2">
      <c r="A46" s="1643" t="str">
        <f>A8</f>
        <v>Técnico Eletrotécnico (12x36 diurno) - (EPI Eletricista)</v>
      </c>
      <c r="B46" s="1644"/>
      <c r="C46" s="1644"/>
      <c r="D46" s="1644"/>
      <c r="E46" s="1644"/>
      <c r="F46" s="984">
        <f>F45</f>
        <v>12760.99</v>
      </c>
      <c r="G46" s="984">
        <f>$G$45</f>
        <v>622.24</v>
      </c>
      <c r="H46" s="984">
        <f>H45</f>
        <v>0</v>
      </c>
      <c r="I46" s="1005">
        <f>I45</f>
        <v>262.64999999999998</v>
      </c>
      <c r="J46" s="1019" t="s">
        <v>585</v>
      </c>
      <c r="K46" s="446">
        <f>K45</f>
        <v>12.28</v>
      </c>
      <c r="L46" s="446">
        <f>L45</f>
        <v>92.19</v>
      </c>
      <c r="M46" s="446">
        <f>M45</f>
        <v>122.91</v>
      </c>
      <c r="N46" s="446">
        <f>N45</f>
        <v>50.18</v>
      </c>
      <c r="O46" s="1027">
        <f>O45</f>
        <v>35.97</v>
      </c>
    </row>
    <row r="47" spans="1:15" ht="29.25" customHeight="1" thickBot="1" x14ac:dyDescent="0.25">
      <c r="A47" s="1634" t="s">
        <v>4397</v>
      </c>
      <c r="B47" s="1635"/>
      <c r="C47" s="1635"/>
      <c r="D47" s="1635"/>
      <c r="E47" s="1635"/>
      <c r="F47" s="1006">
        <f>($F$46/$F$13)/100</f>
        <v>2.3872218709428794E-2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3D125-4CE1-48A7-A5A5-82F016751286}">
  <sheetPr>
    <pageSetUpPr fitToPage="1"/>
  </sheetPr>
  <dimension ref="A1:O47"/>
  <sheetViews>
    <sheetView view="pageBreakPreview" zoomScaleNormal="100" zoomScaleSheetLayoutView="100" workbookViewId="0">
      <selection activeCell="R7" sqref="R7"/>
    </sheetView>
  </sheetViews>
  <sheetFormatPr defaultColWidth="9" defaultRowHeight="12.75" customHeight="1" x14ac:dyDescent="0.2"/>
  <cols>
    <col min="1" max="1" width="11.33203125" customWidth="1"/>
    <col min="2" max="2" width="28.83203125" customWidth="1"/>
    <col min="3" max="3" width="10.5" customWidth="1"/>
    <col min="4" max="5" width="17.5" customWidth="1"/>
    <col min="6" max="8" width="17.83203125" style="228" customWidth="1"/>
    <col min="9" max="9" width="17.83203125" customWidth="1"/>
    <col min="10" max="10" width="18.5" bestFit="1" customWidth="1"/>
  </cols>
  <sheetData>
    <row r="1" spans="1:15" ht="17.25" x14ac:dyDescent="0.3">
      <c r="A1" s="873"/>
      <c r="B1" s="1092"/>
      <c r="C1" s="874" t="s">
        <v>120</v>
      </c>
      <c r="D1" s="875"/>
      <c r="E1" s="875"/>
      <c r="F1" s="876"/>
      <c r="G1" s="876"/>
      <c r="H1" s="876"/>
      <c r="I1" s="877"/>
    </row>
    <row r="2" spans="1:15" x14ac:dyDescent="0.2">
      <c r="A2" s="878"/>
      <c r="B2" s="784"/>
      <c r="C2" s="784" t="s">
        <v>1</v>
      </c>
      <c r="D2" s="879"/>
      <c r="E2" s="879"/>
      <c r="F2" s="880"/>
      <c r="G2" s="880"/>
      <c r="H2" s="880"/>
      <c r="I2" s="881"/>
    </row>
    <row r="3" spans="1:15" x14ac:dyDescent="0.2">
      <c r="A3" s="878"/>
      <c r="B3" s="784"/>
      <c r="C3" s="784" t="s">
        <v>2</v>
      </c>
      <c r="D3" s="879"/>
      <c r="E3" s="879"/>
      <c r="F3" s="880"/>
      <c r="G3" s="880"/>
      <c r="H3" s="880"/>
      <c r="I3" s="881"/>
    </row>
    <row r="4" spans="1:15" ht="13.5" thickBot="1" x14ac:dyDescent="0.25">
      <c r="A4" s="1086"/>
      <c r="B4" s="1087"/>
      <c r="C4" s="1087" t="s">
        <v>493</v>
      </c>
      <c r="D4" s="1088"/>
      <c r="E4" s="1088"/>
      <c r="F4" s="1089"/>
      <c r="G4" s="1089"/>
      <c r="H4" s="1089"/>
      <c r="I4" s="1090"/>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row>
    <row r="6" spans="1:15" ht="32.25" customHeight="1" thickBot="1" x14ac:dyDescent="0.25">
      <c r="A6" s="1646" t="str">
        <f>A8</f>
        <v>Técnico Eletrotécnico (12x36 noturno) - (EPI Eletricista)</v>
      </c>
      <c r="B6" s="1646"/>
      <c r="C6" s="1646"/>
      <c r="D6" s="1646"/>
      <c r="E6" s="1646"/>
      <c r="F6" s="1646"/>
      <c r="G6" s="1646"/>
      <c r="H6" s="1646"/>
      <c r="I6" s="1646"/>
    </row>
    <row r="7" spans="1:15" ht="34.5"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Dados!B16</f>
        <v>Técnico Eletrotécnico (12x36 noturno) - (EPI Eletricista)</v>
      </c>
      <c r="B8" s="1657"/>
      <c r="C8" s="995" t="s">
        <v>4347</v>
      </c>
      <c r="D8" s="996">
        <f>Dados!F16</f>
        <v>4111.95</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Técnico Eletrotécnico (12x36 noturno) - (EPI Eletricista)</v>
      </c>
      <c r="B9" s="1663"/>
      <c r="C9" s="1663"/>
      <c r="D9" s="1663"/>
      <c r="E9" s="988" t="s">
        <v>389</v>
      </c>
      <c r="F9" s="1649"/>
      <c r="G9" s="1649"/>
      <c r="H9" s="1651"/>
      <c r="I9" s="1653"/>
      <c r="J9" s="1665"/>
      <c r="K9" s="882">
        <f>CCT!H20</f>
        <v>0.2</v>
      </c>
      <c r="L9" s="882">
        <f>100%+Dados!G94</f>
        <v>1.5</v>
      </c>
      <c r="M9" s="882">
        <f>100%+Dados!G95</f>
        <v>2</v>
      </c>
      <c r="N9" s="987">
        <f>D23</f>
        <v>42</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7" customHeight="1" x14ac:dyDescent="0.2">
      <c r="A11" s="1660">
        <v>1</v>
      </c>
      <c r="B11" s="1661" t="str">
        <f>A8</f>
        <v>Técnico Eletrotécnico (12x36 noturno) - (EPI Eletricista)</v>
      </c>
      <c r="C11" s="1661"/>
      <c r="D11" s="229">
        <f>Dados!C16</f>
        <v>220</v>
      </c>
      <c r="E11" s="230">
        <f>Dados!$N16</f>
        <v>6011.9949999999999</v>
      </c>
      <c r="F11" s="230">
        <f>ROUND(E11/220*D11,2)</f>
        <v>6012</v>
      </c>
      <c r="G11" s="230"/>
      <c r="H11" s="230"/>
      <c r="I11" s="1002"/>
      <c r="J11" s="756" t="s">
        <v>4363</v>
      </c>
      <c r="K11" s="442">
        <f>ROUND($F$11/$D$11*K9,2)</f>
        <v>5.47</v>
      </c>
      <c r="L11" s="442">
        <f>ROUND($F$11/$D$11*L9,2)</f>
        <v>40.99</v>
      </c>
      <c r="M11" s="442">
        <f>ROUND($F$11/$D$11*M9,2)</f>
        <v>54.65</v>
      </c>
      <c r="N11" s="1031" t="s">
        <v>88</v>
      </c>
      <c r="O11" s="1032" t="s">
        <v>88</v>
      </c>
    </row>
    <row r="12" spans="1:15" ht="24" customHeight="1" x14ac:dyDescent="0.2">
      <c r="A12" s="1660"/>
      <c r="B12" s="1633"/>
      <c r="C12" s="1633"/>
      <c r="D12" s="231"/>
      <c r="E12" s="990"/>
      <c r="F12" s="230">
        <f>ROUND(((E12/220*D11)*C12)*D12,2)</f>
        <v>0</v>
      </c>
      <c r="G12" s="230"/>
      <c r="H12" s="230"/>
      <c r="I12" s="1002"/>
      <c r="J12" s="756" t="s">
        <v>4364</v>
      </c>
      <c r="K12" s="442">
        <f>ROUND($M$10/$K$10*K11,2)</f>
        <v>1.0900000000000001</v>
      </c>
      <c r="L12" s="442">
        <f>ROUND($M$10/$K$10*L11,2)</f>
        <v>8.1999999999999993</v>
      </c>
      <c r="M12" s="442">
        <f>ROUND($M$10/$K$10*M11,2)</f>
        <v>10.93</v>
      </c>
      <c r="N12" s="1031" t="s">
        <v>88</v>
      </c>
      <c r="O12" s="1032" t="s">
        <v>88</v>
      </c>
    </row>
    <row r="13" spans="1:15" ht="19.5" customHeight="1" x14ac:dyDescent="0.2">
      <c r="A13" s="1660"/>
      <c r="B13" s="1632" t="s">
        <v>4365</v>
      </c>
      <c r="C13" s="1632"/>
      <c r="D13" s="1632"/>
      <c r="E13" s="1632"/>
      <c r="F13" s="232">
        <f>F11+F12</f>
        <v>6012</v>
      </c>
      <c r="G13" s="232"/>
      <c r="H13" s="232"/>
      <c r="I13" s="233"/>
      <c r="J13" s="1019" t="s">
        <v>334</v>
      </c>
      <c r="K13" s="443">
        <f>SUM(K11:K12)</f>
        <v>6.56</v>
      </c>
      <c r="L13" s="443">
        <f>SUM(L11:L12)</f>
        <v>49.19</v>
      </c>
      <c r="M13" s="443">
        <f>SUM(M11:M12)</f>
        <v>65.58</v>
      </c>
      <c r="N13" s="443">
        <f>N9</f>
        <v>42</v>
      </c>
      <c r="O13" s="1020">
        <f>O9</f>
        <v>30.1</v>
      </c>
    </row>
    <row r="14" spans="1:15" ht="19.5" customHeight="1" x14ac:dyDescent="0.2">
      <c r="A14" s="1660"/>
      <c r="B14" s="1626" t="s">
        <v>4366</v>
      </c>
      <c r="C14" s="1626"/>
      <c r="D14" s="1626"/>
      <c r="E14" s="240">
        <f>Dados!G34</f>
        <v>0.76400000000000001</v>
      </c>
      <c r="F14" s="230">
        <f>(ROUND((E14*F13),2))</f>
        <v>4593.17</v>
      </c>
      <c r="G14" s="230"/>
      <c r="H14" s="230"/>
      <c r="I14" s="1002"/>
      <c r="J14" s="756" t="s">
        <v>4367</v>
      </c>
      <c r="K14" s="442">
        <f>K13*$E$14</f>
        <v>5.0118399999999994</v>
      </c>
      <c r="L14" s="442">
        <f>L13*$E$14</f>
        <v>37.581159999999997</v>
      </c>
      <c r="M14" s="442">
        <f>M13*$E$14</f>
        <v>50.103119999999997</v>
      </c>
      <c r="N14" s="1031" t="s">
        <v>88</v>
      </c>
      <c r="O14" s="1032" t="s">
        <v>88</v>
      </c>
    </row>
    <row r="15" spans="1:15" ht="24.75" customHeight="1" x14ac:dyDescent="0.2">
      <c r="A15" s="1631" t="s">
        <v>4368</v>
      </c>
      <c r="B15" s="1632"/>
      <c r="C15" s="1632"/>
      <c r="D15" s="1632"/>
      <c r="E15" s="1632"/>
      <c r="F15" s="232">
        <f>ROUND(SUM(F13:F14),2)</f>
        <v>10605.17</v>
      </c>
      <c r="G15" s="232"/>
      <c r="H15" s="232"/>
      <c r="I15" s="233"/>
      <c r="J15" s="1019" t="s">
        <v>4369</v>
      </c>
      <c r="K15" s="443">
        <f>K13+K14</f>
        <v>11.571839999999998</v>
      </c>
      <c r="L15" s="443">
        <f>L13+L14</f>
        <v>86.771159999999995</v>
      </c>
      <c r="M15" s="443">
        <f>M13+M14</f>
        <v>115.68312</v>
      </c>
      <c r="N15" s="443">
        <f>N13</f>
        <v>42</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4372</v>
      </c>
      <c r="E17" s="1628"/>
      <c r="F17" s="1628"/>
      <c r="G17" s="1628"/>
      <c r="H17" s="1628"/>
      <c r="I17" s="1659"/>
      <c r="J17" s="1023"/>
      <c r="K17" s="980"/>
      <c r="L17" s="980"/>
      <c r="M17" s="980"/>
      <c r="N17" s="980"/>
      <c r="O17" s="1022"/>
    </row>
    <row r="18" spans="1:15" ht="19.5" customHeight="1" x14ac:dyDescent="0.2">
      <c r="A18" s="1386" t="s">
        <v>4373</v>
      </c>
      <c r="B18" s="1626"/>
      <c r="C18" s="235"/>
      <c r="D18" s="230">
        <f>Dados!O16</f>
        <v>59.25</v>
      </c>
      <c r="E18" s="230"/>
      <c r="F18" s="442">
        <f>ROUND((D18),2)</f>
        <v>59.25</v>
      </c>
      <c r="G18" s="230"/>
      <c r="H18" s="230"/>
      <c r="I18" s="1002"/>
      <c r="J18" s="1021"/>
      <c r="K18" s="445"/>
      <c r="L18" s="445"/>
      <c r="M18" s="445"/>
      <c r="N18" s="445"/>
      <c r="O18" s="1024"/>
    </row>
    <row r="19" spans="1:15" ht="19.5" customHeight="1" x14ac:dyDescent="0.2">
      <c r="A19" s="1386" t="s">
        <v>4374</v>
      </c>
      <c r="B19" s="1626"/>
      <c r="C19" s="235"/>
      <c r="D19" s="230">
        <f>Dados!Q16</f>
        <v>264.75666666666666</v>
      </c>
      <c r="E19" s="230"/>
      <c r="F19" s="442">
        <f>ROUND((D19),2)</f>
        <v>264.76</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4376</v>
      </c>
      <c r="B21" s="1626"/>
      <c r="C21" s="230">
        <f>Dados!$G$48</f>
        <v>15.5</v>
      </c>
      <c r="D21" s="230">
        <f>Dados!$G$46</f>
        <v>8.8000000000000007</v>
      </c>
      <c r="E21" s="230">
        <f>Dados!$G$44</f>
        <v>6.25</v>
      </c>
      <c r="F21" s="230">
        <f>IF((C21*D21*Dados!G45+C21*E21*Dados!G43)-6%*D8&lt;0,0,(C21*D21*Dados!G45+C21*E21*Dados!G43)-6%*D8)</f>
        <v>219.83300000000003</v>
      </c>
      <c r="G21" s="230"/>
      <c r="H21" s="230"/>
      <c r="I21" s="1002">
        <f>F21</f>
        <v>219.83300000000003</v>
      </c>
      <c r="J21" s="1021"/>
      <c r="K21" s="445"/>
      <c r="L21" s="445"/>
      <c r="M21" s="445"/>
      <c r="N21" s="445"/>
      <c r="O21" s="1024"/>
    </row>
    <row r="22" spans="1:15" ht="25.5" customHeight="1" x14ac:dyDescent="0.2">
      <c r="A22" s="1386" t="s">
        <v>368</v>
      </c>
      <c r="B22" s="1626"/>
      <c r="C22" s="235">
        <v>1</v>
      </c>
      <c r="D22" s="303">
        <f>VLOOKUP(A8,CCT!$A$14:$Z$30,10,FALSE)</f>
        <v>380.02</v>
      </c>
      <c r="E22" s="973">
        <f>VLOOKUP(A8,CCT!$A$14:$Z$30,11,FALSE)</f>
        <v>0.3</v>
      </c>
      <c r="F22" s="442">
        <f>IFERROR(C22*D22*E22,C22*D22)</f>
        <v>114.00599999999999</v>
      </c>
      <c r="G22" s="230"/>
      <c r="H22" s="230"/>
      <c r="I22" s="1002"/>
      <c r="J22" s="756"/>
      <c r="K22" s="442"/>
      <c r="L22" s="442"/>
      <c r="M22" s="442"/>
      <c r="N22" s="442"/>
      <c r="O22" s="1018"/>
    </row>
    <row r="23" spans="1:15" ht="25.5" customHeight="1" x14ac:dyDescent="0.2">
      <c r="A23" s="1386" t="s">
        <v>4377</v>
      </c>
      <c r="B23" s="1626"/>
      <c r="C23" s="442">
        <f>VLOOKUP(A8,CCT!$A$14:$Z$30,15,FALSE)</f>
        <v>15.5</v>
      </c>
      <c r="D23" s="757">
        <f>VLOOKUP(A8,CCT!$A$14:$Z$30,13,FALSE)</f>
        <v>42</v>
      </c>
      <c r="E23" s="758">
        <f>VLOOKUP(A8,CCT!$A$14:$Z$30,14,FALSE)</f>
        <v>0.2</v>
      </c>
      <c r="F23" s="442">
        <f>VLOOKUP(A8,CCT!$A$14:$Z$30,16,FALSE)</f>
        <v>520.79999999999995</v>
      </c>
      <c r="G23" s="230">
        <f>F23</f>
        <v>520.79999999999995</v>
      </c>
      <c r="H23" s="230"/>
      <c r="I23" s="1002"/>
      <c r="J23" s="756"/>
      <c r="K23" s="442"/>
      <c r="L23" s="442"/>
      <c r="M23" s="442"/>
      <c r="N23" s="442"/>
      <c r="O23" s="1018"/>
    </row>
    <row r="24" spans="1:15" ht="25.5" customHeight="1" x14ac:dyDescent="0.2">
      <c r="A24" s="1386" t="str">
        <f>CCT!Q8</f>
        <v>Cesta Básica</v>
      </c>
      <c r="B24" s="1626"/>
      <c r="C24" s="442">
        <v>1</v>
      </c>
      <c r="D24" s="757">
        <f>VLOOKUP(A8,CCT!$A$14:$Z$30,17,FALSE)</f>
        <v>0</v>
      </c>
      <c r="E24" s="759">
        <f>VLOOKUP(A8,CCT!$A$14:$Z$30,18,FALSE)</f>
        <v>0</v>
      </c>
      <c r="F24" s="442">
        <f>IFERROR(C24*D24*(100%-E24),C24*D24)</f>
        <v>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0</v>
      </c>
      <c r="E26" s="303"/>
      <c r="F26" s="230">
        <f>ROUND((C26*D26),2)</f>
        <v>0</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1251.1489999999999</v>
      </c>
      <c r="G30" s="232">
        <f>SUM(G18:G29)</f>
        <v>520.79999999999995</v>
      </c>
      <c r="H30" s="232">
        <f>SUM($H$18:$H$29)</f>
        <v>0</v>
      </c>
      <c r="I30" s="233">
        <f>SUM($I$18:$I$29)</f>
        <v>219.83300000000003</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11856.319</v>
      </c>
      <c r="G31" s="232">
        <f>$G$15+$G$30</f>
        <v>520.79999999999995</v>
      </c>
      <c r="H31" s="232">
        <f>$H$15+$H$30</f>
        <v>0</v>
      </c>
      <c r="I31" s="233">
        <f>$I$15+$I$30</f>
        <v>219.83300000000003</v>
      </c>
      <c r="J31" s="1019" t="s">
        <v>4381</v>
      </c>
      <c r="K31" s="443">
        <f>K15+K30</f>
        <v>11.571839999999998</v>
      </c>
      <c r="L31" s="443">
        <f>L15+L30</f>
        <v>86.771159999999995</v>
      </c>
      <c r="M31" s="443">
        <f>M15+M30</f>
        <v>115.68312</v>
      </c>
      <c r="N31" s="443">
        <f>N15+N30</f>
        <v>42</v>
      </c>
      <c r="O31" s="1020">
        <f>O15+O30</f>
        <v>30.1</v>
      </c>
    </row>
    <row r="32" spans="1:15" ht="19.5" customHeight="1" x14ac:dyDescent="0.2">
      <c r="A32" s="1638" t="s">
        <v>4382</v>
      </c>
      <c r="B32" s="1639"/>
      <c r="C32" s="1639"/>
      <c r="D32" s="1639"/>
      <c r="E32" s="1639"/>
      <c r="F32" s="1639"/>
      <c r="G32" s="1639"/>
      <c r="H32" s="1639">
        <f>SUM($H$18:$H$31)</f>
        <v>0</v>
      </c>
      <c r="I32" s="1640">
        <f>SUM($I$18:$I$31)</f>
        <v>659.49900000000002</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592.82000000000005</v>
      </c>
      <c r="G34" s="230">
        <f>ROUND(($G$31*$D$34),2)</f>
        <v>26.04</v>
      </c>
      <c r="H34" s="230">
        <f>ROUND((H31*D34),2)</f>
        <v>0</v>
      </c>
      <c r="I34" s="1002">
        <f>ROUND((I31*D34),2)</f>
        <v>10.99</v>
      </c>
      <c r="J34" s="756" t="s">
        <v>4386</v>
      </c>
      <c r="K34" s="442">
        <f>ROUND((K31*$D$34),2)</f>
        <v>0.57999999999999996</v>
      </c>
      <c r="L34" s="442">
        <f>ROUND((L31*$D$34),2)</f>
        <v>4.34</v>
      </c>
      <c r="M34" s="442">
        <f>ROUND((M31*$D$34),2)</f>
        <v>5.78</v>
      </c>
      <c r="N34" s="442">
        <f>ROUND((N31*$D$34),2)</f>
        <v>2.1</v>
      </c>
      <c r="O34" s="1018">
        <f>ROUND((O31*$D$34),2)</f>
        <v>1.51</v>
      </c>
    </row>
    <row r="35" spans="1:15" ht="19.5" customHeight="1" x14ac:dyDescent="0.2">
      <c r="A35" s="1636" t="s">
        <v>4387</v>
      </c>
      <c r="B35" s="1637"/>
      <c r="C35" s="1637"/>
      <c r="D35" s="236"/>
      <c r="E35" s="230"/>
      <c r="F35" s="230">
        <f>F31+F34</f>
        <v>12449.138999999999</v>
      </c>
      <c r="G35" s="230">
        <f>$G$34+$G$31</f>
        <v>546.83999999999992</v>
      </c>
      <c r="H35" s="230">
        <f>H31+H34</f>
        <v>0</v>
      </c>
      <c r="I35" s="1002">
        <f>I31+I34</f>
        <v>230.82300000000004</v>
      </c>
      <c r="J35" s="756" t="s">
        <v>4388</v>
      </c>
      <c r="K35" s="442">
        <f>K31+K34</f>
        <v>12.151839999999998</v>
      </c>
      <c r="L35" s="442">
        <f>L31+L34</f>
        <v>91.111159999999998</v>
      </c>
      <c r="M35" s="442">
        <f>M31+M34</f>
        <v>121.46312</v>
      </c>
      <c r="N35" s="442">
        <f>N31+N34</f>
        <v>44.1</v>
      </c>
      <c r="O35" s="1018">
        <f>O31+O34</f>
        <v>31.610000000000003</v>
      </c>
    </row>
    <row r="36" spans="1:15" ht="19.5" customHeight="1" x14ac:dyDescent="0.2">
      <c r="A36" s="411" t="s">
        <v>447</v>
      </c>
      <c r="B36" s="235"/>
      <c r="C36" s="235"/>
      <c r="D36" s="236">
        <f>Dados!$G$54</f>
        <v>6.7900000000000002E-2</v>
      </c>
      <c r="E36" s="230">
        <f>F31+F34</f>
        <v>12449.138999999999</v>
      </c>
      <c r="F36" s="230">
        <f>ROUND((E36*D36),2)</f>
        <v>845.3</v>
      </c>
      <c r="G36" s="230">
        <f>ROUND(($G$35*$D$36),2)</f>
        <v>37.130000000000003</v>
      </c>
      <c r="H36" s="230">
        <f>ROUND((H35*D36),2)</f>
        <v>0</v>
      </c>
      <c r="I36" s="1002">
        <f>ROUND((I35*D36),2)</f>
        <v>15.67</v>
      </c>
      <c r="J36" s="756" t="s">
        <v>447</v>
      </c>
      <c r="K36" s="442">
        <f>ROUND((K35*$D$36),2)</f>
        <v>0.83</v>
      </c>
      <c r="L36" s="442">
        <f>ROUND((L35*$D$36),2)</f>
        <v>6.19</v>
      </c>
      <c r="M36" s="442">
        <f>ROUND((M35*$D$36),2)</f>
        <v>8.25</v>
      </c>
      <c r="N36" s="442">
        <f>ROUND((N35*$D$36),2)</f>
        <v>2.99</v>
      </c>
      <c r="O36" s="1018">
        <f>ROUND((O35*$D$36),2)</f>
        <v>2.15</v>
      </c>
    </row>
    <row r="37" spans="1:15" ht="24.75" customHeight="1" x14ac:dyDescent="0.2">
      <c r="A37" s="421" t="s">
        <v>4389</v>
      </c>
      <c r="B37" s="422"/>
      <c r="C37" s="422"/>
      <c r="D37" s="237">
        <f>SUM(D34:D36)</f>
        <v>0.1179</v>
      </c>
      <c r="E37" s="232"/>
      <c r="F37" s="232">
        <f>F34+F36</f>
        <v>1438.12</v>
      </c>
      <c r="G37" s="232">
        <f>$G$34+$G$36</f>
        <v>63.17</v>
      </c>
      <c r="H37" s="232">
        <f>H34+H36</f>
        <v>0</v>
      </c>
      <c r="I37" s="233">
        <f>I34+I36</f>
        <v>26.66</v>
      </c>
      <c r="J37" s="1019" t="s">
        <v>4390</v>
      </c>
      <c r="K37" s="443">
        <f>K34+K36</f>
        <v>1.41</v>
      </c>
      <c r="L37" s="443">
        <f>L34+L36</f>
        <v>10.530000000000001</v>
      </c>
      <c r="M37" s="443">
        <f>M34+M36</f>
        <v>14.030000000000001</v>
      </c>
      <c r="N37" s="443">
        <f>N34+N36</f>
        <v>5.09</v>
      </c>
      <c r="O37" s="1020">
        <f>O34+O36</f>
        <v>3.66</v>
      </c>
    </row>
    <row r="38" spans="1:15" ht="24.75" customHeight="1" x14ac:dyDescent="0.2">
      <c r="A38" s="1631" t="s">
        <v>4391</v>
      </c>
      <c r="B38" s="1632"/>
      <c r="C38" s="1632"/>
      <c r="D38" s="1632"/>
      <c r="E38" s="1632"/>
      <c r="F38" s="232">
        <f>F15+F30+F37</f>
        <v>13294.438999999998</v>
      </c>
      <c r="G38" s="232">
        <f>$G$15+$G$30+$G$37</f>
        <v>583.96999999999991</v>
      </c>
      <c r="H38" s="232">
        <f>H15+H30+H37</f>
        <v>0</v>
      </c>
      <c r="I38" s="233">
        <f>I15+I30+I37</f>
        <v>246.49300000000002</v>
      </c>
      <c r="J38" s="1019" t="s">
        <v>4392</v>
      </c>
      <c r="K38" s="443">
        <f>K15+K30+K37</f>
        <v>12.981839999999998</v>
      </c>
      <c r="L38" s="443">
        <f>L15+L30+L37</f>
        <v>97.301159999999996</v>
      </c>
      <c r="M38" s="443">
        <f>M15+M30+M37</f>
        <v>129.71312</v>
      </c>
      <c r="N38" s="443">
        <f>N15+N30+N37</f>
        <v>47.09</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424.97</v>
      </c>
      <c r="G40" s="230">
        <f>ROUND(($G$45*$D$40),2)</f>
        <v>18.670000000000002</v>
      </c>
      <c r="H40" s="230">
        <f>ROUND((H45*D40),2)</f>
        <v>0</v>
      </c>
      <c r="I40" s="1002">
        <f>ROUND((I45*D40),2)</f>
        <v>7.88</v>
      </c>
      <c r="J40" s="1026" t="s">
        <v>452</v>
      </c>
      <c r="K40" s="442">
        <f>ROUND((K45*$D$40),2)</f>
        <v>0.41</v>
      </c>
      <c r="L40" s="442">
        <f>ROUND((L45*$D$40),2)</f>
        <v>3.11</v>
      </c>
      <c r="M40" s="442">
        <f>ROUND((M45*$D$40),2)</f>
        <v>4.1500000000000004</v>
      </c>
      <c r="N40" s="442">
        <f>ROUND((N45*$D$40),2)</f>
        <v>1.51</v>
      </c>
      <c r="O40" s="1018">
        <f>ROUND((O45*$D$40),2)</f>
        <v>1.08</v>
      </c>
    </row>
    <row r="41" spans="1:15" ht="19.5" customHeight="1" x14ac:dyDescent="0.2">
      <c r="A41" s="411" t="s">
        <v>454</v>
      </c>
      <c r="B41" s="235"/>
      <c r="C41" s="235"/>
      <c r="D41" s="236">
        <f>Dados!$G$62</f>
        <v>6.4999999999999997E-3</v>
      </c>
      <c r="E41" s="230"/>
      <c r="F41" s="230">
        <f>ROUND((F45*D41),2)</f>
        <v>92.08</v>
      </c>
      <c r="G41" s="230">
        <f>ROUND(($G$45*$D$41),2)</f>
        <v>4.04</v>
      </c>
      <c r="H41" s="230">
        <f>ROUND((H45*D41),2)</f>
        <v>0</v>
      </c>
      <c r="I41" s="1002">
        <f>ROUND((I45*D41),2)</f>
        <v>1.71</v>
      </c>
      <c r="J41" s="1026" t="s">
        <v>454</v>
      </c>
      <c r="K41" s="442">
        <f>ROUND((K45*$D$42),2)</f>
        <v>0.35</v>
      </c>
      <c r="L41" s="442">
        <f>ROUND((L45*$D$41),2)</f>
        <v>0.67</v>
      </c>
      <c r="M41" s="442">
        <f>ROUND((M45*$D$41),2)</f>
        <v>0.9</v>
      </c>
      <c r="N41" s="442">
        <f>ROUND((N45*$D$41),2)</f>
        <v>0.33</v>
      </c>
      <c r="O41" s="1018">
        <f>ROUND((O45*$D$41),2)</f>
        <v>0.23</v>
      </c>
    </row>
    <row r="42" spans="1:15" ht="19.5" customHeight="1" x14ac:dyDescent="0.2">
      <c r="A42" s="411" t="s">
        <v>456</v>
      </c>
      <c r="B42" s="235"/>
      <c r="C42" s="235"/>
      <c r="D42" s="236">
        <f>Dados!$G$63</f>
        <v>2.5000000000000001E-2</v>
      </c>
      <c r="E42" s="230"/>
      <c r="F42" s="230">
        <f>ROUND((F45*D42),2)</f>
        <v>354.14</v>
      </c>
      <c r="G42" s="230">
        <f>ROUND(($G$45*$D$42),2)</f>
        <v>15.56</v>
      </c>
      <c r="H42" s="230">
        <f>ROUND((H45*D42),2)</f>
        <v>0</v>
      </c>
      <c r="I42" s="1002">
        <f>ROUND((I45*D42),2)</f>
        <v>6.57</v>
      </c>
      <c r="J42" s="1026" t="s">
        <v>456</v>
      </c>
      <c r="K42" s="442">
        <f>ROUND((K45*$D$42),2)</f>
        <v>0.35</v>
      </c>
      <c r="L42" s="442">
        <f>ROUND((L45*$D$42),2)</f>
        <v>2.59</v>
      </c>
      <c r="M42" s="442">
        <f>ROUND((M45*$D$42),2)</f>
        <v>3.46</v>
      </c>
      <c r="N42" s="442">
        <f>ROUND((N45*$D$42),2)</f>
        <v>1.25</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871.19</v>
      </c>
      <c r="G44" s="232">
        <f>SUM(G40:G43)</f>
        <v>38.270000000000003</v>
      </c>
      <c r="H44" s="232">
        <f>SUM(H40:H43)</f>
        <v>0</v>
      </c>
      <c r="I44" s="233">
        <f>SUM(I40:I43)</f>
        <v>16.16</v>
      </c>
      <c r="J44" s="1019" t="s">
        <v>4396</v>
      </c>
      <c r="K44" s="443">
        <f>SUM(K40:K43)</f>
        <v>1.1099999999999999</v>
      </c>
      <c r="L44" s="443">
        <f>SUM(L40:L43)</f>
        <v>6.3699999999999992</v>
      </c>
      <c r="M44" s="443">
        <f>SUM(M40:M43)</f>
        <v>8.5100000000000016</v>
      </c>
      <c r="N44" s="443">
        <f>SUM(N40:N43)</f>
        <v>3.09</v>
      </c>
      <c r="O44" s="1020">
        <f>SUM(O40:O43)</f>
        <v>2.21</v>
      </c>
    </row>
    <row r="45" spans="1:15" ht="34.5" hidden="1" customHeight="1" thickBot="1" x14ac:dyDescent="0.25">
      <c r="A45" s="1641" t="str">
        <f>A8</f>
        <v>Técnico Eletrotécnico (12x36 noturno) - (EPI Eletricista)</v>
      </c>
      <c r="B45" s="1642"/>
      <c r="C45" s="1642"/>
      <c r="D45" s="1642"/>
      <c r="E45" s="1642"/>
      <c r="F45" s="232">
        <f>ROUND(F38/(1-D44),2)</f>
        <v>14165.62</v>
      </c>
      <c r="G45" s="232">
        <f>ROUND($G$38/(1-$D$44),2)</f>
        <v>622.24</v>
      </c>
      <c r="H45" s="232">
        <f>ROUND(H38/(1-D44),2)</f>
        <v>0</v>
      </c>
      <c r="I45" s="233">
        <f>ROUND(I38/(1-D44),2)</f>
        <v>262.64999999999998</v>
      </c>
      <c r="J45" s="1019" t="s">
        <v>585</v>
      </c>
      <c r="K45" s="443">
        <f>ROUND(K38/(1-$D$44),2)</f>
        <v>13.83</v>
      </c>
      <c r="L45" s="443">
        <f>ROUND(L38/(1-$D$44),2)</f>
        <v>103.68</v>
      </c>
      <c r="M45" s="443">
        <f>ROUND(M38/(1-$D$44),2)</f>
        <v>138.21</v>
      </c>
      <c r="N45" s="443">
        <f>ROUND(N38/(1-$D$44),2)</f>
        <v>50.18</v>
      </c>
      <c r="O45" s="1020">
        <f>ROUND(O38/(1-$D$44),2)</f>
        <v>35.97</v>
      </c>
    </row>
    <row r="46" spans="1:15" ht="30" customHeight="1" x14ac:dyDescent="0.2">
      <c r="A46" s="1643" t="str">
        <f>A8</f>
        <v>Técnico Eletrotécnico (12x36 noturno) - (EPI Eletricista)</v>
      </c>
      <c r="B46" s="1644"/>
      <c r="C46" s="1644"/>
      <c r="D46" s="1644"/>
      <c r="E46" s="1644"/>
      <c r="F46" s="984">
        <f>F45</f>
        <v>14165.62</v>
      </c>
      <c r="G46" s="984">
        <f>$G$45</f>
        <v>622.24</v>
      </c>
      <c r="H46" s="984">
        <f>H45</f>
        <v>0</v>
      </c>
      <c r="I46" s="1005">
        <f>I45</f>
        <v>262.64999999999998</v>
      </c>
      <c r="J46" s="1019" t="s">
        <v>585</v>
      </c>
      <c r="K46" s="446">
        <f>K45</f>
        <v>13.83</v>
      </c>
      <c r="L46" s="446">
        <f>L45</f>
        <v>103.68</v>
      </c>
      <c r="M46" s="446">
        <f>M45</f>
        <v>138.21</v>
      </c>
      <c r="N46" s="446">
        <f>N45</f>
        <v>50.18</v>
      </c>
      <c r="O46" s="1027">
        <f>O45</f>
        <v>35.97</v>
      </c>
    </row>
    <row r="47" spans="1:15" ht="29.25" customHeight="1" thickBot="1" x14ac:dyDescent="0.25">
      <c r="A47" s="1634" t="s">
        <v>4397</v>
      </c>
      <c r="B47" s="1635"/>
      <c r="C47" s="1635"/>
      <c r="D47" s="1635"/>
      <c r="E47" s="1635"/>
      <c r="F47" s="1006">
        <f>($F$46/$F$13)/100</f>
        <v>2.3562242182302063E-2</v>
      </c>
      <c r="G47" s="1006"/>
      <c r="H47" s="1006"/>
      <c r="I47" s="1007"/>
      <c r="J47" s="1028"/>
      <c r="K47" s="1029"/>
      <c r="L47" s="1029"/>
      <c r="M47" s="1029"/>
      <c r="N47" s="1029"/>
      <c r="O47" s="1030"/>
    </row>
  </sheetData>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59E1-F831-4311-91F5-53E607DC6D73}">
  <sheetPr>
    <pageSetUpPr fitToPage="1"/>
  </sheetPr>
  <dimension ref="A1:O47"/>
  <sheetViews>
    <sheetView view="pageBreakPreview" zoomScaleNormal="100" zoomScaleSheetLayoutView="100" workbookViewId="0">
      <selection activeCell="S11" sqref="S11"/>
    </sheetView>
  </sheetViews>
  <sheetFormatPr defaultColWidth="9" defaultRowHeight="12.75" customHeight="1" x14ac:dyDescent="0.2"/>
  <cols>
    <col min="1" max="1" width="11.33203125" customWidth="1"/>
    <col min="2" max="2" width="28.83203125" customWidth="1"/>
    <col min="3" max="3" width="10.6640625"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Oficial Eletricista - (EPI Eletricista)</v>
      </c>
      <c r="B6" s="1646"/>
      <c r="C6" s="1646"/>
      <c r="D6" s="1646"/>
      <c r="E6" s="1646"/>
      <c r="F6" s="1646"/>
      <c r="G6" s="1646"/>
      <c r="H6" s="1646"/>
      <c r="I6" s="1646"/>
      <c r="J6" s="886"/>
      <c r="K6" s="886"/>
      <c r="L6" s="886"/>
      <c r="M6" s="886"/>
      <c r="N6" s="886"/>
      <c r="O6" s="886"/>
    </row>
    <row r="7" spans="1:15" ht="36"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Dados!B17</f>
        <v>Oficial Eletricista - (EPI Eletricista)</v>
      </c>
      <c r="B8" s="1657"/>
      <c r="C8" s="995" t="s">
        <v>4347</v>
      </c>
      <c r="D8" s="996">
        <f>Dados!F17</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Oficial Eletricista - (EPI Eletricista)</v>
      </c>
      <c r="B9" s="1663"/>
      <c r="C9" s="1663"/>
      <c r="D9" s="1663"/>
      <c r="E9" s="988" t="s">
        <v>389</v>
      </c>
      <c r="F9" s="1649"/>
      <c r="G9" s="1649"/>
      <c r="H9" s="1651"/>
      <c r="I9" s="1653"/>
      <c r="J9" s="1665"/>
      <c r="K9" s="882">
        <f>CCT!H21</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7.75" customHeight="1" x14ac:dyDescent="0.2">
      <c r="A11" s="1660">
        <v>1</v>
      </c>
      <c r="B11" s="1661" t="str">
        <f>A8</f>
        <v>Oficial Eletricista - (EPI Eletricista)</v>
      </c>
      <c r="C11" s="1661"/>
      <c r="D11" s="238">
        <f>Dados!$C$17</f>
        <v>220</v>
      </c>
      <c r="E11" s="230">
        <f>Dados!$N$17</f>
        <v>3420.5599999999995</v>
      </c>
      <c r="F11" s="230">
        <f>ROUND(E11/220*D11,2)</f>
        <v>3420.56</v>
      </c>
      <c r="G11" s="230"/>
      <c r="H11" s="230"/>
      <c r="I11" s="1002"/>
      <c r="J11" s="756" t="s">
        <v>4363</v>
      </c>
      <c r="K11" s="442">
        <f>ROUND($F$11/$D$11*K9,2)</f>
        <v>6.06</v>
      </c>
      <c r="L11" s="442">
        <f>ROUND($F$11/$D$11*L9,2)</f>
        <v>23.32</v>
      </c>
      <c r="M11" s="442">
        <f>ROUND($F$11/$D$11*M9,2)</f>
        <v>31.1</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1.21</v>
      </c>
      <c r="L12" s="442">
        <f>ROUND($M$10/$K$10*L11,2)</f>
        <v>4.66</v>
      </c>
      <c r="M12" s="442">
        <f>ROUND($M$10/$K$10*M11,2)</f>
        <v>6.22</v>
      </c>
      <c r="N12" s="1031" t="s">
        <v>88</v>
      </c>
      <c r="O12" s="1032" t="s">
        <v>88</v>
      </c>
    </row>
    <row r="13" spans="1:15" ht="19.5" customHeight="1" x14ac:dyDescent="0.2">
      <c r="A13" s="1660"/>
      <c r="B13" s="1632" t="s">
        <v>4365</v>
      </c>
      <c r="C13" s="1632"/>
      <c r="D13" s="1632"/>
      <c r="E13" s="1632"/>
      <c r="F13" s="232">
        <f>F11+F12</f>
        <v>3420.56</v>
      </c>
      <c r="G13" s="232"/>
      <c r="H13" s="232"/>
      <c r="I13" s="233"/>
      <c r="J13" s="1019" t="s">
        <v>334</v>
      </c>
      <c r="K13" s="443">
        <f>SUM(K11:K12)</f>
        <v>7.27</v>
      </c>
      <c r="L13" s="443">
        <f>SUM(L11:L12)</f>
        <v>27.98</v>
      </c>
      <c r="M13" s="443">
        <f>SUM(M11:M12)</f>
        <v>37.32</v>
      </c>
      <c r="N13" s="443">
        <f>N9</f>
        <v>31.34</v>
      </c>
      <c r="O13" s="1020">
        <f>O9</f>
        <v>30.1</v>
      </c>
    </row>
    <row r="14" spans="1:15" ht="19.5" customHeight="1" x14ac:dyDescent="0.2">
      <c r="A14" s="1660"/>
      <c r="B14" s="1626" t="s">
        <v>4366</v>
      </c>
      <c r="C14" s="1626"/>
      <c r="D14" s="1626"/>
      <c r="E14" s="240">
        <f>Dados!G34</f>
        <v>0.76400000000000001</v>
      </c>
      <c r="F14" s="230">
        <f>(ROUND((E14*F13),2))</f>
        <v>2613.31</v>
      </c>
      <c r="G14" s="230"/>
      <c r="H14" s="230"/>
      <c r="I14" s="1002"/>
      <c r="J14" s="756" t="s">
        <v>4367</v>
      </c>
      <c r="K14" s="442">
        <f>K13*$E$14</f>
        <v>5.5542799999999994</v>
      </c>
      <c r="L14" s="442">
        <f>L13*$E$14</f>
        <v>21.376720000000002</v>
      </c>
      <c r="M14" s="442">
        <f>M13*$E$14</f>
        <v>28.51248</v>
      </c>
      <c r="N14" s="1031" t="s">
        <v>88</v>
      </c>
      <c r="O14" s="1032" t="s">
        <v>88</v>
      </c>
    </row>
    <row r="15" spans="1:15" ht="24.75" customHeight="1" x14ac:dyDescent="0.2">
      <c r="A15" s="1631" t="s">
        <v>4368</v>
      </c>
      <c r="B15" s="1632"/>
      <c r="C15" s="1632"/>
      <c r="D15" s="1632"/>
      <c r="E15" s="1632"/>
      <c r="F15" s="232">
        <f>ROUND(SUM(F13:F14),2)</f>
        <v>6033.87</v>
      </c>
      <c r="G15" s="232"/>
      <c r="H15" s="232"/>
      <c r="I15" s="233"/>
      <c r="J15" s="1019" t="s">
        <v>4369</v>
      </c>
      <c r="K15" s="443">
        <f>K13+K14</f>
        <v>12.824279999999998</v>
      </c>
      <c r="L15" s="443">
        <f>L13+L14</f>
        <v>49.356720000000003</v>
      </c>
      <c r="M15" s="443">
        <f>M13+M14</f>
        <v>65.832480000000004</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4372</v>
      </c>
      <c r="E17" s="1628"/>
      <c r="F17" s="1628"/>
      <c r="G17" s="1628"/>
      <c r="H17" s="1628"/>
      <c r="I17" s="1659"/>
      <c r="J17" s="1023"/>
      <c r="K17" s="980"/>
      <c r="L17" s="980"/>
      <c r="M17" s="980"/>
      <c r="N17" s="980"/>
      <c r="O17" s="1022"/>
    </row>
    <row r="18" spans="1:15" ht="19.5" customHeight="1" x14ac:dyDescent="0.2">
      <c r="A18" s="1386" t="s">
        <v>4373</v>
      </c>
      <c r="B18" s="1626"/>
      <c r="C18" s="235"/>
      <c r="D18" s="230">
        <f>Dados!O17</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Dados!Q17</f>
        <v>175.45250000000001</v>
      </c>
      <c r="E19" s="230"/>
      <c r="F19" s="442">
        <f>ROUND((D19),2)</f>
        <v>175.45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1671.748</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7705.6180000000004</v>
      </c>
      <c r="G31" s="232">
        <f>$G$15+$G$30</f>
        <v>551.58000000000004</v>
      </c>
      <c r="H31" s="232">
        <f>$H$15+$H$30</f>
        <v>0</v>
      </c>
      <c r="I31" s="233">
        <f>$I$15+$I$30</f>
        <v>504.32800000000009</v>
      </c>
      <c r="J31" s="1019" t="s">
        <v>4381</v>
      </c>
      <c r="K31" s="443">
        <f>K15+K30</f>
        <v>12.824279999999998</v>
      </c>
      <c r="L31" s="443">
        <f>L15+L30</f>
        <v>49.356720000000003</v>
      </c>
      <c r="M31" s="443">
        <f>M15+M30</f>
        <v>65.832480000000004</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385.28</v>
      </c>
      <c r="G34" s="230">
        <f>ROUND(($G$31*$D$34),2)</f>
        <v>27.58</v>
      </c>
      <c r="H34" s="230">
        <f>ROUND((H31*D34),2)</f>
        <v>0</v>
      </c>
      <c r="I34" s="1002">
        <f>ROUND(($I$31*$D$34),2)</f>
        <v>25.22</v>
      </c>
      <c r="J34" s="756" t="s">
        <v>4386</v>
      </c>
      <c r="K34" s="442">
        <f>ROUND((K31*$D$34),2)</f>
        <v>0.64</v>
      </c>
      <c r="L34" s="442">
        <f>ROUND((L31*$D$34),2)</f>
        <v>2.4700000000000002</v>
      </c>
      <c r="M34" s="442">
        <f>ROUND((M31*$D$34),2)</f>
        <v>3.29</v>
      </c>
      <c r="N34" s="442">
        <f>ROUND((N31*$D$34),2)</f>
        <v>1.57</v>
      </c>
      <c r="O34" s="1018">
        <f>ROUND((O31*$D$34),2)</f>
        <v>1.51</v>
      </c>
    </row>
    <row r="35" spans="1:15" ht="19.5" customHeight="1" x14ac:dyDescent="0.2">
      <c r="A35" s="1636" t="s">
        <v>4387</v>
      </c>
      <c r="B35" s="1637"/>
      <c r="C35" s="1637"/>
      <c r="D35" s="236"/>
      <c r="E35" s="230"/>
      <c r="F35" s="230">
        <f>$F$31+$F$34</f>
        <v>8090.8980000000001</v>
      </c>
      <c r="G35" s="230">
        <f>$G$34+$G$31</f>
        <v>579.16000000000008</v>
      </c>
      <c r="H35" s="230">
        <f>H31+H34</f>
        <v>0</v>
      </c>
      <c r="I35" s="1002">
        <f>$I$31+$I$34</f>
        <v>529.54800000000012</v>
      </c>
      <c r="J35" s="756" t="s">
        <v>4388</v>
      </c>
      <c r="K35" s="442">
        <f>K31+K34</f>
        <v>13.464279999999999</v>
      </c>
      <c r="L35" s="442">
        <f>L31+L34</f>
        <v>51.826720000000002</v>
      </c>
      <c r="M35" s="442">
        <f>M31+M34</f>
        <v>69.12248000000001</v>
      </c>
      <c r="N35" s="442">
        <f>N31+N34</f>
        <v>32.909999999999997</v>
      </c>
      <c r="O35" s="1018">
        <f>O31+O34</f>
        <v>31.610000000000003</v>
      </c>
    </row>
    <row r="36" spans="1:15" ht="19.5" customHeight="1" x14ac:dyDescent="0.2">
      <c r="A36" s="411" t="s">
        <v>447</v>
      </c>
      <c r="B36" s="235"/>
      <c r="C36" s="235"/>
      <c r="D36" s="236">
        <f>Dados!$G$54</f>
        <v>6.7900000000000002E-2</v>
      </c>
      <c r="E36" s="230">
        <f>$F$31+$F$34</f>
        <v>8090.8980000000001</v>
      </c>
      <c r="F36" s="230">
        <f>ROUND(($E$36*$D$36),2)</f>
        <v>549.37</v>
      </c>
      <c r="G36" s="230">
        <f>ROUND(($G$35*$D$36),2)</f>
        <v>39.32</v>
      </c>
      <c r="H36" s="230">
        <f>ROUND((H35*D36),2)</f>
        <v>0</v>
      </c>
      <c r="I36" s="1002">
        <f>ROUND(($I$35*$D$36),2)</f>
        <v>35.96</v>
      </c>
      <c r="J36" s="756" t="s">
        <v>447</v>
      </c>
      <c r="K36" s="442">
        <f>ROUND((K35*$D$36),2)</f>
        <v>0.91</v>
      </c>
      <c r="L36" s="442">
        <f>ROUND((L35*$D$36),2)</f>
        <v>3.52</v>
      </c>
      <c r="M36" s="442">
        <f>ROUND((M35*$D$36),2)</f>
        <v>4.6900000000000004</v>
      </c>
      <c r="N36" s="442">
        <f>ROUND((N35*$D$36),2)</f>
        <v>2.23</v>
      </c>
      <c r="O36" s="1018">
        <f>ROUND((O35*$D$36),2)</f>
        <v>2.15</v>
      </c>
    </row>
    <row r="37" spans="1:15" ht="24.75" customHeight="1" x14ac:dyDescent="0.2">
      <c r="A37" s="421" t="s">
        <v>4389</v>
      </c>
      <c r="B37" s="422"/>
      <c r="C37" s="422"/>
      <c r="D37" s="237">
        <f>SUM($D$34:$D$36)</f>
        <v>0.1179</v>
      </c>
      <c r="E37" s="232"/>
      <c r="F37" s="232">
        <f>$F$34+$F$36</f>
        <v>934.65</v>
      </c>
      <c r="G37" s="232">
        <f>$G$34+$G$36</f>
        <v>66.900000000000006</v>
      </c>
      <c r="H37" s="232">
        <f>H34+H36</f>
        <v>0</v>
      </c>
      <c r="I37" s="233">
        <f>$I$34+$I$36</f>
        <v>61.18</v>
      </c>
      <c r="J37" s="1019" t="s">
        <v>4390</v>
      </c>
      <c r="K37" s="443">
        <f>K34+K36</f>
        <v>1.55</v>
      </c>
      <c r="L37" s="443">
        <f>L34+L36</f>
        <v>5.99</v>
      </c>
      <c r="M37" s="443">
        <f>M34+M36</f>
        <v>7.98</v>
      </c>
      <c r="N37" s="443">
        <f>N34+N36</f>
        <v>3.8</v>
      </c>
      <c r="O37" s="1020">
        <f>O34+O36</f>
        <v>3.66</v>
      </c>
    </row>
    <row r="38" spans="1:15" ht="24.75" customHeight="1" x14ac:dyDescent="0.2">
      <c r="A38" s="1631" t="s">
        <v>4391</v>
      </c>
      <c r="B38" s="1632"/>
      <c r="C38" s="1632"/>
      <c r="D38" s="1632"/>
      <c r="E38" s="1632"/>
      <c r="F38" s="232">
        <f>$F$15+$F$30+$F$37</f>
        <v>8640.268</v>
      </c>
      <c r="G38" s="232">
        <f>$G$15+$G$30+$G$37</f>
        <v>618.48</v>
      </c>
      <c r="H38" s="232">
        <f>H15+H30+H37</f>
        <v>0</v>
      </c>
      <c r="I38" s="233">
        <f>$I$15+$I$30+$I$37</f>
        <v>565.50800000000004</v>
      </c>
      <c r="J38" s="1019" t="s">
        <v>4392</v>
      </c>
      <c r="K38" s="443">
        <f>K15+K30+K37</f>
        <v>14.374279999999999</v>
      </c>
      <c r="L38" s="443">
        <f>L15+L30+L37</f>
        <v>55.346720000000005</v>
      </c>
      <c r="M38" s="443">
        <f>M15+M30+M37</f>
        <v>73.812480000000008</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276.19</v>
      </c>
      <c r="G40" s="230">
        <f>ROUND(($G$45*$D$40),2)</f>
        <v>19.77</v>
      </c>
      <c r="H40" s="230">
        <f>ROUND(($H$45*$D$40),2)</f>
        <v>0</v>
      </c>
      <c r="I40" s="1002">
        <f>ROUND(($I$45*$D$40),2)</f>
        <v>18.079999999999998</v>
      </c>
      <c r="J40" s="1026" t="s">
        <v>452</v>
      </c>
      <c r="K40" s="442">
        <f>ROUND((K45*$D$40),2)</f>
        <v>0.46</v>
      </c>
      <c r="L40" s="442">
        <f>ROUND((L45*$D$40),2)</f>
        <v>1.77</v>
      </c>
      <c r="M40" s="442">
        <f>ROUND((M45*$D$40),2)</f>
        <v>2.36</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59.84</v>
      </c>
      <c r="G41" s="230">
        <f>ROUND(($G$45*$D$41),2)</f>
        <v>4.28</v>
      </c>
      <c r="H41" s="230">
        <f>ROUND(($H$45*$D$41),2)</f>
        <v>0</v>
      </c>
      <c r="I41" s="1002">
        <f>ROUND(($I$45*$D$41),2)</f>
        <v>3.92</v>
      </c>
      <c r="J41" s="1026" t="s">
        <v>454</v>
      </c>
      <c r="K41" s="442">
        <f>ROUND((K45*$D$42),2)</f>
        <v>0.38</v>
      </c>
      <c r="L41" s="442">
        <f>ROUND((L45*$D$41),2)</f>
        <v>0.38</v>
      </c>
      <c r="M41" s="442">
        <f>ROUND((M45*$D$41),2)</f>
        <v>0.51</v>
      </c>
      <c r="N41" s="442">
        <f>ROUND((N45*$D$41),2)</f>
        <v>0.24</v>
      </c>
      <c r="O41" s="1018">
        <f>ROUND((O45*$D$41),2)</f>
        <v>0.23</v>
      </c>
    </row>
    <row r="42" spans="1:15" ht="19.5" customHeight="1" x14ac:dyDescent="0.2">
      <c r="A42" s="411" t="s">
        <v>456</v>
      </c>
      <c r="B42" s="235"/>
      <c r="C42" s="235"/>
      <c r="D42" s="236">
        <f>Dados!$G$63</f>
        <v>2.5000000000000001E-2</v>
      </c>
      <c r="E42" s="230"/>
      <c r="F42" s="230">
        <f>ROUND(($F$45*$D$42),2)</f>
        <v>230.16</v>
      </c>
      <c r="G42" s="230">
        <f>ROUND(($G$45*$D$42),2)</f>
        <v>16.48</v>
      </c>
      <c r="H42" s="230">
        <f>ROUND(($H$45*$D$42),2)</f>
        <v>0</v>
      </c>
      <c r="I42" s="1002">
        <f>ROUND(($I$45*$D$42),2)</f>
        <v>15.06</v>
      </c>
      <c r="J42" s="1026" t="s">
        <v>456</v>
      </c>
      <c r="K42" s="442">
        <f>ROUND((K45*$D$42),2)</f>
        <v>0.38</v>
      </c>
      <c r="L42" s="442">
        <f>ROUND((L45*$D$42),2)</f>
        <v>1.47</v>
      </c>
      <c r="M42" s="442">
        <f>ROUND((M45*$D$42),2)</f>
        <v>1.97</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566.18999999999994</v>
      </c>
      <c r="G44" s="232">
        <f>SUM(G40:G43)</f>
        <v>40.53</v>
      </c>
      <c r="H44" s="232">
        <f>SUM(H40:H43)</f>
        <v>0</v>
      </c>
      <c r="I44" s="233">
        <f>SUM(I40:I43)</f>
        <v>37.06</v>
      </c>
      <c r="J44" s="1019" t="s">
        <v>4396</v>
      </c>
      <c r="K44" s="443">
        <f>SUM(K40:K43)</f>
        <v>1.2200000000000002</v>
      </c>
      <c r="L44" s="443">
        <f>SUM(L40:L43)</f>
        <v>3.62</v>
      </c>
      <c r="M44" s="443">
        <f>SUM(M40:M43)</f>
        <v>4.84</v>
      </c>
      <c r="N44" s="443">
        <f>SUM(N40:N43)</f>
        <v>2.2999999999999998</v>
      </c>
      <c r="O44" s="1020">
        <f>SUM(O40:O43)</f>
        <v>2.21</v>
      </c>
    </row>
    <row r="45" spans="1:15" ht="34.5" hidden="1" customHeight="1" thickBot="1" x14ac:dyDescent="0.25">
      <c r="A45" s="1641" t="str">
        <f>A8</f>
        <v>Oficial Eletricista - (EPI Eletricista)</v>
      </c>
      <c r="B45" s="1642"/>
      <c r="C45" s="1642"/>
      <c r="D45" s="1642"/>
      <c r="E45" s="1642"/>
      <c r="F45" s="232">
        <f>ROUND($F$38/(1-$D$44),2)</f>
        <v>9206.4699999999993</v>
      </c>
      <c r="G45" s="232">
        <f>ROUND($G$38/(1-$D$44),2)</f>
        <v>659.01</v>
      </c>
      <c r="H45" s="232">
        <f>ROUND($H$38/(1-$D$44),2)</f>
        <v>0</v>
      </c>
      <c r="I45" s="233">
        <f>ROUND($I$38/(1-$D$44),2)</f>
        <v>602.57000000000005</v>
      </c>
      <c r="J45" s="1019" t="s">
        <v>585</v>
      </c>
      <c r="K45" s="443">
        <f>ROUND(K38/(1-$D$44),2)</f>
        <v>15.32</v>
      </c>
      <c r="L45" s="443">
        <f>ROUND(L38/(1-$D$44),2)</f>
        <v>58.97</v>
      </c>
      <c r="M45" s="443">
        <f>ROUND(M38/(1-$D$44),2)</f>
        <v>78.650000000000006</v>
      </c>
      <c r="N45" s="443">
        <f>ROUND(N38/(1-$D$44),2)</f>
        <v>37.44</v>
      </c>
      <c r="O45" s="1020">
        <f>ROUND(O38/(1-$D$44),2)</f>
        <v>35.97</v>
      </c>
    </row>
    <row r="46" spans="1:15" ht="30" customHeight="1" x14ac:dyDescent="0.2">
      <c r="A46" s="1643" t="str">
        <f>A8</f>
        <v>Oficial Eletricista - (EPI Eletricista)</v>
      </c>
      <c r="B46" s="1644"/>
      <c r="C46" s="1644"/>
      <c r="D46" s="1644"/>
      <c r="E46" s="1644"/>
      <c r="F46" s="984">
        <f>$F$45</f>
        <v>9206.4699999999993</v>
      </c>
      <c r="G46" s="984">
        <f>$G$45</f>
        <v>659.01</v>
      </c>
      <c r="H46" s="984">
        <f>$H$45</f>
        <v>0</v>
      </c>
      <c r="I46" s="1005">
        <f>$I$45</f>
        <v>602.57000000000005</v>
      </c>
      <c r="J46" s="1019" t="s">
        <v>585</v>
      </c>
      <c r="K46" s="446">
        <f>K45</f>
        <v>15.32</v>
      </c>
      <c r="L46" s="446">
        <f>L45</f>
        <v>58.97</v>
      </c>
      <c r="M46" s="446">
        <f>M45</f>
        <v>78.650000000000006</v>
      </c>
      <c r="N46" s="446">
        <f>N45</f>
        <v>37.44</v>
      </c>
      <c r="O46" s="1027">
        <f>O45</f>
        <v>35.97</v>
      </c>
    </row>
    <row r="47" spans="1:15" ht="29.25" customHeight="1" thickBot="1" x14ac:dyDescent="0.25">
      <c r="A47" s="1634" t="s">
        <v>4397</v>
      </c>
      <c r="B47" s="1635"/>
      <c r="C47" s="1635"/>
      <c r="D47" s="1635"/>
      <c r="E47" s="1635"/>
      <c r="F47" s="1006">
        <f>($F$46/$F$13)/100</f>
        <v>2.6915095773791427E-2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626B-1406-4045-8BE3-3F9186A89D9A}">
  <sheetPr>
    <pageSetUpPr fitToPage="1"/>
  </sheetPr>
  <dimension ref="A1:O47"/>
  <sheetViews>
    <sheetView view="pageBreakPreview" zoomScaleNormal="100" zoomScaleSheetLayoutView="100" workbookViewId="0">
      <selection activeCell="F8" sqref="F8:F9"/>
    </sheetView>
  </sheetViews>
  <sheetFormatPr defaultColWidth="9" defaultRowHeight="12.75" customHeight="1" x14ac:dyDescent="0.2"/>
  <cols>
    <col min="1" max="1" width="11.33203125" customWidth="1"/>
    <col min="2" max="2" width="28.83203125" customWidth="1"/>
    <col min="3" max="3" width="10.33203125"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row>
    <row r="2" spans="1:15" x14ac:dyDescent="0.2">
      <c r="A2" s="878"/>
      <c r="B2" s="884"/>
      <c r="C2" s="784" t="s">
        <v>1</v>
      </c>
      <c r="D2" s="879"/>
      <c r="E2" s="879"/>
      <c r="F2" s="880"/>
      <c r="G2" s="880"/>
      <c r="H2" s="880"/>
      <c r="I2" s="881"/>
      <c r="J2" s="886"/>
      <c r="K2" s="886"/>
      <c r="L2" s="886"/>
      <c r="M2" s="886"/>
    </row>
    <row r="3" spans="1:15" x14ac:dyDescent="0.2">
      <c r="A3" s="878"/>
      <c r="B3" s="884"/>
      <c r="C3" s="784" t="s">
        <v>2</v>
      </c>
      <c r="D3" s="879"/>
      <c r="E3" s="879"/>
      <c r="F3" s="880"/>
      <c r="G3" s="880"/>
      <c r="H3" s="880"/>
      <c r="I3" s="881"/>
      <c r="J3" s="886"/>
      <c r="K3" s="886"/>
      <c r="L3" s="886"/>
      <c r="M3" s="886"/>
    </row>
    <row r="4" spans="1:15" ht="13.5" thickBot="1" x14ac:dyDescent="0.25">
      <c r="A4" s="1086"/>
      <c r="B4" s="1093"/>
      <c r="C4" s="1087" t="s">
        <v>493</v>
      </c>
      <c r="D4" s="1088"/>
      <c r="E4" s="1088"/>
      <c r="F4" s="1089"/>
      <c r="G4" s="1089"/>
      <c r="H4" s="1089"/>
      <c r="I4" s="1090"/>
      <c r="J4" s="886"/>
      <c r="K4" s="886"/>
      <c r="L4" s="886"/>
      <c r="M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row>
    <row r="6" spans="1:15" ht="32.25" customHeight="1" thickBot="1" x14ac:dyDescent="0.25">
      <c r="A6" s="1646" t="str">
        <f>A8</f>
        <v>Ajudante de Eletricista - (EPI Eletricista)</v>
      </c>
      <c r="B6" s="1646"/>
      <c r="C6" s="1646"/>
      <c r="D6" s="1646"/>
      <c r="E6" s="1646"/>
      <c r="F6" s="1646"/>
      <c r="G6" s="1646"/>
      <c r="H6" s="1646"/>
      <c r="I6" s="1646"/>
      <c r="J6" s="886"/>
      <c r="K6" s="886"/>
      <c r="L6" s="886"/>
      <c r="M6" s="886"/>
    </row>
    <row r="7" spans="1:15" ht="38.25" customHeight="1" thickBot="1" x14ac:dyDescent="0.25">
      <c r="A7" s="1647"/>
      <c r="B7" s="1647"/>
      <c r="C7" s="1647"/>
      <c r="D7" s="1647"/>
      <c r="E7" s="1647"/>
      <c r="F7" s="1647"/>
      <c r="G7" s="1647"/>
      <c r="H7" s="1647"/>
      <c r="I7" s="1647"/>
      <c r="J7" s="1664" t="s">
        <v>4399</v>
      </c>
      <c r="K7" s="1625" t="s">
        <v>4345</v>
      </c>
      <c r="L7" s="1625"/>
      <c r="M7" s="1625"/>
      <c r="N7" s="1621" t="s">
        <v>4346</v>
      </c>
      <c r="O7" s="1622"/>
    </row>
    <row r="8" spans="1:15" ht="30" customHeight="1" x14ac:dyDescent="0.2">
      <c r="A8" s="1656" t="str">
        <f>Dados!B18</f>
        <v>Ajudante de Eletricista - (EPI Eletricista)</v>
      </c>
      <c r="B8" s="1657"/>
      <c r="C8" s="995" t="s">
        <v>4347</v>
      </c>
      <c r="D8" s="996">
        <f>Dados!F18</f>
        <v>2206.27</v>
      </c>
      <c r="E8" s="995"/>
      <c r="F8" s="1648" t="s">
        <v>4348</v>
      </c>
      <c r="G8" s="1648" t="s">
        <v>4349</v>
      </c>
      <c r="H8" s="1650" t="s">
        <v>4350</v>
      </c>
      <c r="I8" s="1652" t="s">
        <v>4351</v>
      </c>
      <c r="J8" s="1665"/>
      <c r="K8" s="853" t="s">
        <v>4352</v>
      </c>
      <c r="L8" s="853" t="s">
        <v>4353</v>
      </c>
      <c r="M8" s="853" t="s">
        <v>4400</v>
      </c>
      <c r="N8" s="853" t="s">
        <v>4355</v>
      </c>
      <c r="O8" s="1015" t="s">
        <v>4356</v>
      </c>
    </row>
    <row r="9" spans="1:15" ht="36" customHeight="1" x14ac:dyDescent="0.2">
      <c r="A9" s="1662" t="str">
        <f>_xlfn.CONCAT("33390.37.01 - ",A8)</f>
        <v>33390.37.01 - Ajudante de Eletricista - (EPI Eletricista)</v>
      </c>
      <c r="B9" s="1663"/>
      <c r="C9" s="1663"/>
      <c r="D9" s="1663"/>
      <c r="E9" s="988" t="s">
        <v>389</v>
      </c>
      <c r="F9" s="1649"/>
      <c r="G9" s="1649"/>
      <c r="H9" s="1651"/>
      <c r="I9" s="1653"/>
      <c r="J9" s="1665"/>
      <c r="K9" s="882">
        <f>CCT!H22</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Ajudante de Eletricista - (EPI Eletricista)</v>
      </c>
      <c r="C11" s="1661"/>
      <c r="D11" s="238">
        <f>Dados!C18</f>
        <v>220</v>
      </c>
      <c r="E11" s="230">
        <f>Dados!$N18</f>
        <v>2868.1509999999998</v>
      </c>
      <c r="F11" s="230">
        <f>ROUND(E11/220*D11,2)</f>
        <v>2868.15</v>
      </c>
      <c r="G11" s="230"/>
      <c r="H11" s="230"/>
      <c r="I11" s="1002"/>
      <c r="J11" s="756" t="s">
        <v>4363</v>
      </c>
      <c r="K11" s="442">
        <f>ROUND($F$11/$D$11*K9,2)</f>
        <v>5.08</v>
      </c>
      <c r="L11" s="442">
        <f>ROUND($F$11/$D$11*L9,2)</f>
        <v>19.559999999999999</v>
      </c>
      <c r="M11" s="442">
        <f>ROUND($F$11/$D$11*M9,2)</f>
        <v>26.07</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1.02</v>
      </c>
      <c r="L12" s="442">
        <f>ROUND($M$10/$K$10*L11,2)</f>
        <v>3.91</v>
      </c>
      <c r="M12" s="442">
        <f>ROUND($M$10/$K$10*M11,2)</f>
        <v>5.21</v>
      </c>
      <c r="N12" s="1031" t="s">
        <v>88</v>
      </c>
      <c r="O12" s="1032" t="s">
        <v>88</v>
      </c>
    </row>
    <row r="13" spans="1:15" ht="19.5" customHeight="1" x14ac:dyDescent="0.2">
      <c r="A13" s="1660"/>
      <c r="B13" s="1632" t="s">
        <v>4365</v>
      </c>
      <c r="C13" s="1632"/>
      <c r="D13" s="1632"/>
      <c r="E13" s="1632"/>
      <c r="F13" s="232">
        <f>F11+F12</f>
        <v>2868.15</v>
      </c>
      <c r="G13" s="232"/>
      <c r="H13" s="232"/>
      <c r="I13" s="233"/>
      <c r="J13" s="1019" t="s">
        <v>334</v>
      </c>
      <c r="K13" s="443">
        <f>SUM(K11:K12)</f>
        <v>6.1</v>
      </c>
      <c r="L13" s="443">
        <f>SUM(L11:L12)</f>
        <v>23.47</v>
      </c>
      <c r="M13" s="443">
        <f>SUM(M11:M12)</f>
        <v>31.28</v>
      </c>
      <c r="N13" s="443">
        <f>N9</f>
        <v>31.34</v>
      </c>
      <c r="O13" s="1020">
        <f>O9</f>
        <v>30.1</v>
      </c>
    </row>
    <row r="14" spans="1:15" ht="19.5" customHeight="1" x14ac:dyDescent="0.2">
      <c r="A14" s="1660"/>
      <c r="B14" s="1626" t="s">
        <v>4401</v>
      </c>
      <c r="C14" s="1626"/>
      <c r="D14" s="1626"/>
      <c r="E14" s="240">
        <f>Dados!G34</f>
        <v>0.76400000000000001</v>
      </c>
      <c r="F14" s="230">
        <f>(ROUND((E14*F13),2))</f>
        <v>2191.27</v>
      </c>
      <c r="G14" s="230"/>
      <c r="H14" s="230"/>
      <c r="I14" s="1002"/>
      <c r="J14" s="756" t="s">
        <v>4367</v>
      </c>
      <c r="K14" s="442">
        <f>K13*$E$14</f>
        <v>4.6604000000000001</v>
      </c>
      <c r="L14" s="442">
        <f>L13*$E$14</f>
        <v>17.931079999999998</v>
      </c>
      <c r="M14" s="442">
        <f>M13*$E$14</f>
        <v>23.897920000000003</v>
      </c>
      <c r="N14" s="1031" t="s">
        <v>88</v>
      </c>
      <c r="O14" s="1032" t="s">
        <v>88</v>
      </c>
    </row>
    <row r="15" spans="1:15" ht="24.75" customHeight="1" x14ac:dyDescent="0.2">
      <c r="A15" s="1631" t="s">
        <v>4368</v>
      </c>
      <c r="B15" s="1632"/>
      <c r="C15" s="1632"/>
      <c r="D15" s="1632"/>
      <c r="E15" s="1632"/>
      <c r="F15" s="232">
        <f>ROUND(SUM(F13:F14),2)</f>
        <v>5059.42</v>
      </c>
      <c r="G15" s="232"/>
      <c r="H15" s="232"/>
      <c r="I15" s="233"/>
      <c r="J15" s="1019" t="s">
        <v>4369</v>
      </c>
      <c r="K15" s="443">
        <f>K13+K14</f>
        <v>10.760400000000001</v>
      </c>
      <c r="L15" s="443">
        <f>L13+L14</f>
        <v>41.401079999999993</v>
      </c>
      <c r="M15" s="443">
        <f>M13+M14</f>
        <v>55.17792</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Dados!O18</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Dados!Q18</f>
        <v>109.69416666666666</v>
      </c>
      <c r="E19" s="230"/>
      <c r="F19" s="442">
        <f>ROUND((D19),2)</f>
        <v>109.69</v>
      </c>
      <c r="G19" s="230"/>
      <c r="H19" s="230"/>
      <c r="I19" s="1002"/>
      <c r="J19" s="1021"/>
      <c r="K19" s="445"/>
      <c r="L19" s="445"/>
      <c r="M19" s="445"/>
      <c r="N19" s="445"/>
      <c r="O19" s="1024"/>
    </row>
    <row r="20" spans="1:15" ht="19.5" customHeight="1" x14ac:dyDescent="0.2">
      <c r="A20" s="975" t="s">
        <v>4402</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529.82380000000012</v>
      </c>
      <c r="G21" s="230"/>
      <c r="H21" s="230"/>
      <c r="I21" s="1002">
        <f>F21</f>
        <v>529.82380000000012</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1631.4838000000002</v>
      </c>
      <c r="G30" s="232">
        <f>SUM(G18:G29)</f>
        <v>551.58000000000004</v>
      </c>
      <c r="H30" s="232">
        <f>SUM($H$18:$H$29)</f>
        <v>0</v>
      </c>
      <c r="I30" s="233">
        <f>SUM($I$18:$I$29)</f>
        <v>529.82380000000012</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6690.9038</v>
      </c>
      <c r="G31" s="232">
        <f>$G$15+$G$30</f>
        <v>551.58000000000004</v>
      </c>
      <c r="H31" s="232">
        <f>$H$15+$H$30</f>
        <v>0</v>
      </c>
      <c r="I31" s="233">
        <f>$I$15+$I$30</f>
        <v>529.82380000000012</v>
      </c>
      <c r="J31" s="1019" t="s">
        <v>4381</v>
      </c>
      <c r="K31" s="443">
        <f>K15+K30</f>
        <v>10.760400000000001</v>
      </c>
      <c r="L31" s="443">
        <f>L15+L30</f>
        <v>41.401079999999993</v>
      </c>
      <c r="M31" s="443">
        <f>M15+M30</f>
        <v>55.17792</v>
      </c>
      <c r="N31" s="443">
        <f>N15+N30</f>
        <v>31.34</v>
      </c>
      <c r="O31" s="1020">
        <f>O15+O30</f>
        <v>30.1</v>
      </c>
    </row>
    <row r="32" spans="1:15" ht="19.5" customHeight="1" x14ac:dyDescent="0.2">
      <c r="A32" s="1638" t="s">
        <v>4382</v>
      </c>
      <c r="B32" s="1639"/>
      <c r="C32" s="1639"/>
      <c r="D32" s="1639"/>
      <c r="E32" s="1639"/>
      <c r="F32" s="1639"/>
      <c r="G32" s="1639"/>
      <c r="H32" s="1639">
        <f>SUM($H$18:$H$31)</f>
        <v>0</v>
      </c>
      <c r="I32" s="1640">
        <f>SUM($I$18:$I$31)</f>
        <v>1589.4714000000004</v>
      </c>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334.55</v>
      </c>
      <c r="G34" s="230">
        <f>ROUND(($G$31*$D$34),2)</f>
        <v>27.58</v>
      </c>
      <c r="H34" s="230">
        <f>ROUND((H31*D34),2)</f>
        <v>0</v>
      </c>
      <c r="I34" s="1002">
        <f>ROUND((I31*D34),2)</f>
        <v>26.49</v>
      </c>
      <c r="J34" s="756" t="s">
        <v>4386</v>
      </c>
      <c r="K34" s="442">
        <f>ROUND((K31*$D$34),2)</f>
        <v>0.54</v>
      </c>
      <c r="L34" s="442">
        <f>ROUND((L31*$D$34),2)</f>
        <v>2.0699999999999998</v>
      </c>
      <c r="M34" s="442">
        <f>ROUND((M31*$D$34),2)</f>
        <v>2.76</v>
      </c>
      <c r="N34" s="442">
        <f>ROUND((N31*$D$34),2)</f>
        <v>1.57</v>
      </c>
      <c r="O34" s="1018">
        <f>ROUND((O31*$D$34),2)</f>
        <v>1.51</v>
      </c>
    </row>
    <row r="35" spans="1:15" ht="19.5" customHeight="1" x14ac:dyDescent="0.2">
      <c r="A35" s="1636" t="s">
        <v>4387</v>
      </c>
      <c r="B35" s="1637"/>
      <c r="C35" s="1637"/>
      <c r="D35" s="236"/>
      <c r="E35" s="230"/>
      <c r="F35" s="230">
        <f>F31+F34</f>
        <v>7025.4538000000002</v>
      </c>
      <c r="G35" s="230">
        <f>$G$34+$G$31</f>
        <v>579.16000000000008</v>
      </c>
      <c r="H35" s="230">
        <f>H31+H34</f>
        <v>0</v>
      </c>
      <c r="I35" s="1002">
        <f>I31+I34</f>
        <v>556.31380000000013</v>
      </c>
      <c r="J35" s="756" t="s">
        <v>4388</v>
      </c>
      <c r="K35" s="442">
        <f>K31+K34</f>
        <v>11.3004</v>
      </c>
      <c r="L35" s="442">
        <f>L31+L34</f>
        <v>43.471079999999994</v>
      </c>
      <c r="M35" s="442">
        <f>M31+M34</f>
        <v>57.937919999999998</v>
      </c>
      <c r="N35" s="442">
        <f>N31+N34</f>
        <v>32.909999999999997</v>
      </c>
      <c r="O35" s="1018">
        <f>O31+O34</f>
        <v>31.610000000000003</v>
      </c>
    </row>
    <row r="36" spans="1:15" ht="19.5" customHeight="1" x14ac:dyDescent="0.2">
      <c r="A36" s="411" t="s">
        <v>447</v>
      </c>
      <c r="B36" s="235"/>
      <c r="C36" s="235"/>
      <c r="D36" s="236">
        <f>Dados!$G$54</f>
        <v>6.7900000000000002E-2</v>
      </c>
      <c r="E36" s="230">
        <f>F31+F34</f>
        <v>7025.4538000000002</v>
      </c>
      <c r="F36" s="230">
        <f>ROUND((E36*D36),2)</f>
        <v>477.03</v>
      </c>
      <c r="G36" s="230">
        <f>ROUND(($G$35*$D$36),2)</f>
        <v>39.32</v>
      </c>
      <c r="H36" s="230">
        <f>ROUND((H35*D36),2)</f>
        <v>0</v>
      </c>
      <c r="I36" s="1002">
        <f>ROUND((I35*D36),2)</f>
        <v>37.770000000000003</v>
      </c>
      <c r="J36" s="756" t="s">
        <v>447</v>
      </c>
      <c r="K36" s="442">
        <f>ROUND((K35*$D$36),2)</f>
        <v>0.77</v>
      </c>
      <c r="L36" s="442">
        <f>ROUND((L35*$D$36),2)</f>
        <v>2.95</v>
      </c>
      <c r="M36" s="442">
        <f>ROUND((M35*$D$36),2)</f>
        <v>3.93</v>
      </c>
      <c r="N36" s="442">
        <f>ROUND((N35*$D$36),2)</f>
        <v>2.23</v>
      </c>
      <c r="O36" s="1018">
        <f>ROUND((O35*$D$36),2)</f>
        <v>2.15</v>
      </c>
    </row>
    <row r="37" spans="1:15" ht="24.75" customHeight="1" x14ac:dyDescent="0.2">
      <c r="A37" s="421" t="s">
        <v>4389</v>
      </c>
      <c r="B37" s="422"/>
      <c r="C37" s="422"/>
      <c r="D37" s="237">
        <f>SUM(D34:D36)</f>
        <v>0.1179</v>
      </c>
      <c r="E37" s="232"/>
      <c r="F37" s="232">
        <f>F34+F36</f>
        <v>811.57999999999993</v>
      </c>
      <c r="G37" s="232">
        <f>$G$34+$G$36</f>
        <v>66.900000000000006</v>
      </c>
      <c r="H37" s="232">
        <f>H34+H36</f>
        <v>0</v>
      </c>
      <c r="I37" s="233">
        <f>I34+I36</f>
        <v>64.260000000000005</v>
      </c>
      <c r="J37" s="1019" t="s">
        <v>4390</v>
      </c>
      <c r="K37" s="443">
        <f>K34+K36</f>
        <v>1.31</v>
      </c>
      <c r="L37" s="443">
        <f>L34+L36</f>
        <v>5.0199999999999996</v>
      </c>
      <c r="M37" s="443">
        <f>M34+M36</f>
        <v>6.6899999999999995</v>
      </c>
      <c r="N37" s="443">
        <f>N34+N36</f>
        <v>3.8</v>
      </c>
      <c r="O37" s="1020">
        <f>O34+O36</f>
        <v>3.66</v>
      </c>
    </row>
    <row r="38" spans="1:15" ht="24.75" customHeight="1" x14ac:dyDescent="0.2">
      <c r="A38" s="1631" t="s">
        <v>4391</v>
      </c>
      <c r="B38" s="1632"/>
      <c r="C38" s="1632"/>
      <c r="D38" s="1632"/>
      <c r="E38" s="1632"/>
      <c r="F38" s="232">
        <f>F15+F30+F37</f>
        <v>7502.4838</v>
      </c>
      <c r="G38" s="232">
        <f>$G$15+$G$30+$G$37</f>
        <v>618.48</v>
      </c>
      <c r="H38" s="232">
        <f>H15+H30+H37</f>
        <v>0</v>
      </c>
      <c r="I38" s="233">
        <f>I15+I30+I37</f>
        <v>594.08380000000011</v>
      </c>
      <c r="J38" s="1019" t="s">
        <v>4392</v>
      </c>
      <c r="K38" s="443">
        <f>K15+K30+K37</f>
        <v>12.070400000000001</v>
      </c>
      <c r="L38" s="443">
        <f>L15+L30+L37</f>
        <v>46.421079999999989</v>
      </c>
      <c r="M38" s="443">
        <f>M15+M30+M37</f>
        <v>61.867919999999998</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239.82</v>
      </c>
      <c r="G40" s="230">
        <f>ROUND(($G$45*$D$40),2)</f>
        <v>19.77</v>
      </c>
      <c r="H40" s="230">
        <f>ROUND((H45*D40),2)</f>
        <v>0</v>
      </c>
      <c r="I40" s="1002">
        <f>ROUND((I45*D40),2)</f>
        <v>18.989999999999998</v>
      </c>
      <c r="J40" s="1026" t="s">
        <v>452</v>
      </c>
      <c r="K40" s="442">
        <f>ROUND((K45*$D$40),2)</f>
        <v>0.39</v>
      </c>
      <c r="L40" s="442">
        <f>ROUND((L45*$D$40),2)</f>
        <v>1.48</v>
      </c>
      <c r="M40" s="442">
        <f>ROUND((M45*$D$40),2)</f>
        <v>1.98</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51.96</v>
      </c>
      <c r="G41" s="230">
        <f>ROUND(($G$45*$D$41),2)</f>
        <v>4.28</v>
      </c>
      <c r="H41" s="230">
        <f>ROUND((H45*D41),2)</f>
        <v>0</v>
      </c>
      <c r="I41" s="1002">
        <f>ROUND((I45*D41),2)</f>
        <v>4.1100000000000003</v>
      </c>
      <c r="J41" s="1026" t="s">
        <v>454</v>
      </c>
      <c r="K41" s="442">
        <f>ROUND((K45*$D$42),2)</f>
        <v>0.32</v>
      </c>
      <c r="L41" s="442">
        <f>ROUND((L45*$D$41),2)</f>
        <v>0.32</v>
      </c>
      <c r="M41" s="442">
        <f>ROUND((M45*$D$41),2)</f>
        <v>0.43</v>
      </c>
      <c r="N41" s="442">
        <f>ROUND((N45*$D$41),2)</f>
        <v>0.24</v>
      </c>
      <c r="O41" s="1018">
        <f>ROUND((O45*$D$41),2)</f>
        <v>0.23</v>
      </c>
    </row>
    <row r="42" spans="1:15" ht="19.5" customHeight="1" x14ac:dyDescent="0.2">
      <c r="A42" s="411" t="s">
        <v>456</v>
      </c>
      <c r="B42" s="235"/>
      <c r="C42" s="235"/>
      <c r="D42" s="236">
        <f>Dados!$G$63</f>
        <v>2.5000000000000001E-2</v>
      </c>
      <c r="E42" s="230"/>
      <c r="F42" s="230">
        <f>ROUND((F45*D42),2)</f>
        <v>199.85</v>
      </c>
      <c r="G42" s="230">
        <f>ROUND(($G$45*$D$42),2)</f>
        <v>16.48</v>
      </c>
      <c r="H42" s="230">
        <f>ROUND((H45*D42),2)</f>
        <v>0</v>
      </c>
      <c r="I42" s="1002">
        <f>ROUND((I45*D42),2)</f>
        <v>15.83</v>
      </c>
      <c r="J42" s="1026" t="s">
        <v>456</v>
      </c>
      <c r="K42" s="442">
        <f>ROUND((K45*$D$42),2)</f>
        <v>0.32</v>
      </c>
      <c r="L42" s="442">
        <f>ROUND((L45*$D$42),2)</f>
        <v>1.24</v>
      </c>
      <c r="M42" s="442">
        <f>ROUND((M45*$D$42),2)</f>
        <v>1.65</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491.63</v>
      </c>
      <c r="G44" s="232">
        <f>SUM(G40:G43)</f>
        <v>40.53</v>
      </c>
      <c r="H44" s="232">
        <f>SUM(H40:H43)</f>
        <v>0</v>
      </c>
      <c r="I44" s="233">
        <f>SUM(I40:I43)</f>
        <v>38.93</v>
      </c>
      <c r="J44" s="1019" t="s">
        <v>4396</v>
      </c>
      <c r="K44" s="443">
        <f>SUM(K40:K43)</f>
        <v>1.03</v>
      </c>
      <c r="L44" s="443">
        <f>SUM(L40:L43)</f>
        <v>3.04</v>
      </c>
      <c r="M44" s="443">
        <f>SUM(M40:M43)</f>
        <v>4.0600000000000005</v>
      </c>
      <c r="N44" s="443">
        <f>SUM(N40:N43)</f>
        <v>2.2999999999999998</v>
      </c>
      <c r="O44" s="1020">
        <f>SUM(O40:O43)</f>
        <v>2.21</v>
      </c>
    </row>
    <row r="45" spans="1:15" ht="34.5" hidden="1" customHeight="1" thickBot="1" x14ac:dyDescent="0.25">
      <c r="A45" s="1641" t="str">
        <f>A8</f>
        <v>Ajudante de Eletricista - (EPI Eletricista)</v>
      </c>
      <c r="B45" s="1642"/>
      <c r="C45" s="1642"/>
      <c r="D45" s="1642"/>
      <c r="E45" s="1642"/>
      <c r="F45" s="232">
        <f>ROUND(F38/(1-D44),2)</f>
        <v>7994.12</v>
      </c>
      <c r="G45" s="232">
        <f>ROUND($G$38/(1-$D$44),2)</f>
        <v>659.01</v>
      </c>
      <c r="H45" s="232">
        <f>ROUND(H38/(1-D44),2)</f>
        <v>0</v>
      </c>
      <c r="I45" s="233">
        <f>ROUND(I38/(1-D44),2)</f>
        <v>633.01</v>
      </c>
      <c r="J45" s="1019" t="s">
        <v>585</v>
      </c>
      <c r="K45" s="443">
        <f>ROUND(K38/(1-$D$44),2)</f>
        <v>12.86</v>
      </c>
      <c r="L45" s="443">
        <f>ROUND(L38/(1-$D$44),2)</f>
        <v>49.46</v>
      </c>
      <c r="M45" s="443">
        <f>ROUND(M38/(1-$D$44),2)</f>
        <v>65.92</v>
      </c>
      <c r="N45" s="443">
        <f>ROUND(N38/(1-$D$44),2)</f>
        <v>37.44</v>
      </c>
      <c r="O45" s="1020">
        <f>ROUND(O38/(1-$D$44),2)</f>
        <v>35.97</v>
      </c>
    </row>
    <row r="46" spans="1:15" ht="30" customHeight="1" x14ac:dyDescent="0.2">
      <c r="A46" s="1643" t="str">
        <f>A8</f>
        <v>Ajudante de Eletricista - (EPI Eletricista)</v>
      </c>
      <c r="B46" s="1644"/>
      <c r="C46" s="1644"/>
      <c r="D46" s="1644"/>
      <c r="E46" s="1644"/>
      <c r="F46" s="984">
        <f>F45</f>
        <v>7994.12</v>
      </c>
      <c r="G46" s="984">
        <f>$G$45</f>
        <v>659.01</v>
      </c>
      <c r="H46" s="984">
        <f>H45</f>
        <v>0</v>
      </c>
      <c r="I46" s="1005">
        <f>I45</f>
        <v>633.01</v>
      </c>
      <c r="J46" s="1019" t="s">
        <v>585</v>
      </c>
      <c r="K46" s="446">
        <f>K45</f>
        <v>12.86</v>
      </c>
      <c r="L46" s="446">
        <f>L45</f>
        <v>49.46</v>
      </c>
      <c r="M46" s="446">
        <f>M45</f>
        <v>65.92</v>
      </c>
      <c r="N46" s="446">
        <f>N45</f>
        <v>37.44</v>
      </c>
      <c r="O46" s="1027">
        <f>O45</f>
        <v>35.97</v>
      </c>
    </row>
    <row r="47" spans="1:15" ht="29.25" customHeight="1" thickBot="1" x14ac:dyDescent="0.25">
      <c r="A47" s="1634" t="s">
        <v>4397</v>
      </c>
      <c r="B47" s="1635"/>
      <c r="C47" s="1635"/>
      <c r="D47" s="1635"/>
      <c r="E47" s="1635"/>
      <c r="F47" s="1006">
        <f>($F$46/$F$13)/100</f>
        <v>2.7872042954517718E-2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A821-DD5C-4520-9758-647EABC1714D}">
  <sheetPr>
    <tabColor rgb="FF00B0F0"/>
    <pageSetUpPr fitToPage="1"/>
  </sheetPr>
  <dimension ref="A2:M33"/>
  <sheetViews>
    <sheetView tabSelected="1" view="pageBreakPreview" zoomScaleNormal="100" zoomScaleSheetLayoutView="100" workbookViewId="0">
      <selection activeCell="P9" sqref="P9"/>
    </sheetView>
  </sheetViews>
  <sheetFormatPr defaultColWidth="12.1640625" defaultRowHeight="12.75" customHeight="1" x14ac:dyDescent="0.2"/>
  <cols>
    <col min="1" max="1" width="1.83203125" style="316" customWidth="1"/>
    <col min="2" max="2" width="9.5" style="307" customWidth="1"/>
    <col min="3" max="3" width="31.5" style="307" customWidth="1"/>
    <col min="4" max="4" width="10.33203125" style="307" customWidth="1"/>
    <col min="5" max="5" width="16.6640625" style="307" customWidth="1"/>
    <col min="6" max="6" width="9.83203125" style="307" customWidth="1"/>
    <col min="7" max="7" width="14" style="307" customWidth="1"/>
    <col min="8" max="10" width="20.5" style="307" customWidth="1"/>
    <col min="11" max="11" width="18.1640625" style="307" customWidth="1"/>
    <col min="12" max="12" width="2.5" style="307" customWidth="1"/>
    <col min="13" max="16384" width="12.1640625" style="307"/>
  </cols>
  <sheetData>
    <row r="2" spans="2:13" ht="12.75" customHeight="1" x14ac:dyDescent="0.2">
      <c r="B2" s="767"/>
      <c r="C2" s="768"/>
      <c r="D2" s="768"/>
      <c r="E2" s="768"/>
      <c r="F2" s="768"/>
      <c r="G2" s="768"/>
      <c r="H2" s="768"/>
      <c r="I2" s="768"/>
      <c r="J2" s="768"/>
      <c r="K2" s="769"/>
    </row>
    <row r="3" spans="2:13" x14ac:dyDescent="0.2">
      <c r="B3" s="770"/>
      <c r="C3" s="771"/>
      <c r="D3" s="771"/>
      <c r="E3" s="771"/>
      <c r="F3" s="772" t="s">
        <v>120</v>
      </c>
      <c r="G3" s="771"/>
      <c r="H3" s="771"/>
      <c r="I3" s="771"/>
      <c r="J3" s="771"/>
      <c r="K3" s="773"/>
    </row>
    <row r="4" spans="2:13" x14ac:dyDescent="0.2">
      <c r="B4" s="770"/>
      <c r="C4" s="771"/>
      <c r="D4" s="771"/>
      <c r="E4" s="771"/>
      <c r="F4" s="774" t="s">
        <v>121</v>
      </c>
      <c r="G4" s="771"/>
      <c r="H4" s="771"/>
      <c r="I4" s="771"/>
      <c r="J4" s="771"/>
      <c r="K4" s="773"/>
    </row>
    <row r="5" spans="2:13" x14ac:dyDescent="0.2">
      <c r="B5" s="770"/>
      <c r="C5" s="771"/>
      <c r="D5" s="771"/>
      <c r="E5" s="771"/>
      <c r="F5" s="774" t="s">
        <v>122</v>
      </c>
      <c r="G5" s="771"/>
      <c r="H5" s="771"/>
      <c r="I5" s="771"/>
      <c r="J5" s="771"/>
      <c r="K5" s="773"/>
    </row>
    <row r="6" spans="2:13" x14ac:dyDescent="0.2">
      <c r="B6" s="770"/>
      <c r="C6" s="771"/>
      <c r="D6" s="771"/>
      <c r="E6" s="771"/>
      <c r="F6" s="774" t="s">
        <v>123</v>
      </c>
      <c r="G6" s="771"/>
      <c r="H6" s="771"/>
      <c r="I6" s="771"/>
      <c r="J6" s="771"/>
      <c r="K6" s="773"/>
    </row>
    <row r="7" spans="2:13" x14ac:dyDescent="0.2">
      <c r="B7" s="775"/>
      <c r="C7" s="771"/>
      <c r="D7" s="771"/>
      <c r="E7" s="771"/>
      <c r="F7" s="771"/>
      <c r="G7" s="771"/>
      <c r="H7" s="771"/>
      <c r="I7" s="771"/>
      <c r="J7" s="771"/>
      <c r="K7" s="773"/>
    </row>
    <row r="8" spans="2:13" x14ac:dyDescent="0.2">
      <c r="B8" s="775"/>
      <c r="C8" s="771"/>
      <c r="D8" s="771"/>
      <c r="E8" s="771"/>
      <c r="F8" s="771"/>
      <c r="G8" s="771"/>
      <c r="H8" s="771"/>
      <c r="I8" s="771"/>
      <c r="J8" s="771"/>
      <c r="K8" s="776"/>
    </row>
    <row r="9" spans="2:13" ht="15.75" x14ac:dyDescent="0.2">
      <c r="B9" s="1254" t="s">
        <v>124</v>
      </c>
      <c r="C9" s="1254"/>
      <c r="D9" s="1254"/>
      <c r="E9" s="1254"/>
      <c r="F9" s="1254"/>
      <c r="G9" s="1254"/>
      <c r="H9" s="1254"/>
      <c r="I9" s="1254"/>
      <c r="J9" s="1254"/>
      <c r="K9" s="1254"/>
    </row>
    <row r="10" spans="2:13" s="309" customFormat="1" ht="67.150000000000006" customHeight="1" x14ac:dyDescent="0.2">
      <c r="B10" s="777" t="s">
        <v>125</v>
      </c>
      <c r="C10" s="1255" t="s">
        <v>126</v>
      </c>
      <c r="D10" s="1255"/>
      <c r="E10" s="1255"/>
      <c r="F10" s="1255"/>
      <c r="G10" s="1255"/>
      <c r="H10" s="1255"/>
      <c r="I10" s="1255"/>
      <c r="J10" s="1255"/>
      <c r="K10" s="1255"/>
    </row>
    <row r="11" spans="2:13" s="309" customFormat="1" x14ac:dyDescent="0.2">
      <c r="B11" s="1256"/>
      <c r="C11" s="1256"/>
      <c r="D11" s="1256"/>
      <c r="E11" s="1256"/>
      <c r="F11" s="1256"/>
      <c r="G11" s="1256"/>
      <c r="H11" s="1256"/>
      <c r="I11" s="1256"/>
      <c r="J11" s="1256"/>
      <c r="K11" s="1256"/>
    </row>
    <row r="12" spans="2:13" ht="46.15" customHeight="1" x14ac:dyDescent="0.2">
      <c r="B12" s="310" t="s">
        <v>127</v>
      </c>
      <c r="C12" s="1257" t="s">
        <v>128</v>
      </c>
      <c r="D12" s="1257"/>
      <c r="E12" s="1257"/>
      <c r="F12" s="1257"/>
      <c r="G12" s="1257"/>
      <c r="H12" s="311" t="s">
        <v>129</v>
      </c>
      <c r="I12" s="311" t="s">
        <v>130</v>
      </c>
      <c r="J12" s="311" t="s">
        <v>131</v>
      </c>
      <c r="K12" s="773"/>
    </row>
    <row r="13" spans="2:13" ht="12.75" customHeight="1" x14ac:dyDescent="0.2">
      <c r="B13" s="312" t="s">
        <v>83</v>
      </c>
      <c r="C13" s="1258" t="s">
        <v>132</v>
      </c>
      <c r="D13" s="1258"/>
      <c r="E13" s="1258"/>
      <c r="F13" s="1258"/>
      <c r="G13" s="1258"/>
      <c r="H13" s="1077">
        <f>'Resumo_1.1'!AI29</f>
        <v>311963.64</v>
      </c>
      <c r="I13" s="314">
        <f>'Resumo_1.1'!AI30</f>
        <v>3743563.68</v>
      </c>
      <c r="J13" s="314">
        <f>I13*2</f>
        <v>7487127.3600000003</v>
      </c>
      <c r="K13" s="773"/>
      <c r="M13" s="1083"/>
    </row>
    <row r="14" spans="2:13" ht="12.75" customHeight="1" x14ac:dyDescent="0.2">
      <c r="B14" s="312" t="s">
        <v>93</v>
      </c>
      <c r="C14" s="1261" t="s">
        <v>133</v>
      </c>
      <c r="D14" s="1261"/>
      <c r="E14" s="1261"/>
      <c r="F14" s="1261"/>
      <c r="G14" s="1261"/>
      <c r="H14" s="1077">
        <f>ROUND('Resumo_1.2'!J37/12,2)</f>
        <v>12374.95</v>
      </c>
      <c r="I14" s="314">
        <f>'Resumo_1.2'!J37</f>
        <v>148499.43</v>
      </c>
      <c r="J14" s="314">
        <f>I14*2</f>
        <v>296998.86</v>
      </c>
      <c r="K14" s="773"/>
      <c r="M14" s="1083"/>
    </row>
    <row r="15" spans="2:13" ht="12.75" customHeight="1" x14ac:dyDescent="0.2">
      <c r="B15" s="312" t="s">
        <v>97</v>
      </c>
      <c r="C15" s="1258" t="s">
        <v>134</v>
      </c>
      <c r="D15" s="1258"/>
      <c r="E15" s="1258"/>
      <c r="F15" s="1258"/>
      <c r="G15" s="1258"/>
      <c r="H15" s="1078">
        <f>I15/12</f>
        <v>74166.666666666628</v>
      </c>
      <c r="I15" s="968">
        <f>'1.3-Insumos'!J13</f>
        <v>889999.99999999953</v>
      </c>
      <c r="J15" s="968">
        <f>I15*2</f>
        <v>1779999.9999999991</v>
      </c>
      <c r="K15" s="773"/>
      <c r="M15" s="1083"/>
    </row>
    <row r="16" spans="2:13" ht="12.75" customHeight="1" x14ac:dyDescent="0.2">
      <c r="B16" s="312" t="s">
        <v>103</v>
      </c>
      <c r="C16" s="1258" t="s">
        <v>135</v>
      </c>
      <c r="D16" s="1258"/>
      <c r="E16" s="1258"/>
      <c r="F16" s="1258"/>
      <c r="G16" s="1258"/>
      <c r="H16" s="1078">
        <f>I16/12</f>
        <v>111666.66666666651</v>
      </c>
      <c r="I16" s="968">
        <f>'1.4-Serviços Eventuais'!I69</f>
        <v>1339999.9999999981</v>
      </c>
      <c r="J16" s="968">
        <f>I16*2</f>
        <v>2679999.9999999963</v>
      </c>
      <c r="K16" s="773"/>
      <c r="M16" s="1083"/>
    </row>
    <row r="17" spans="2:11" ht="15" x14ac:dyDescent="0.2">
      <c r="B17" s="770"/>
      <c r="C17" s="1252" t="s">
        <v>136</v>
      </c>
      <c r="D17" s="1253"/>
      <c r="E17" s="1253"/>
      <c r="F17" s="1253"/>
      <c r="G17" s="1253"/>
      <c r="H17" s="1082">
        <f>SUM(H13:H16)</f>
        <v>510171.92333333316</v>
      </c>
      <c r="I17" s="315">
        <f>SUM(I13:I16)</f>
        <v>6122063.1099999975</v>
      </c>
      <c r="J17" s="818">
        <f>SUM(J13:J16)</f>
        <v>12244126.219999995</v>
      </c>
      <c r="K17" s="773"/>
    </row>
    <row r="18" spans="2:11" x14ac:dyDescent="0.2">
      <c r="B18" s="770"/>
      <c r="C18" s="771"/>
      <c r="D18" s="771"/>
      <c r="F18" s="771"/>
      <c r="G18" s="771"/>
      <c r="H18" s="771"/>
      <c r="I18" s="771"/>
      <c r="J18" s="768"/>
      <c r="K18" s="773"/>
    </row>
    <row r="19" spans="2:11" x14ac:dyDescent="0.2">
      <c r="B19" s="770"/>
      <c r="C19" s="771"/>
      <c r="D19" s="771"/>
      <c r="E19" s="771"/>
      <c r="F19" s="771"/>
      <c r="G19" s="771"/>
      <c r="H19" s="771"/>
      <c r="I19" s="771"/>
      <c r="J19" s="771"/>
      <c r="K19" s="773"/>
    </row>
    <row r="20" spans="2:11" x14ac:dyDescent="0.2">
      <c r="B20" s="770"/>
      <c r="C20" s="1262" t="s">
        <v>137</v>
      </c>
      <c r="D20" s="1262"/>
      <c r="E20" s="1262"/>
      <c r="F20" s="1262"/>
      <c r="G20" s="1262"/>
      <c r="H20" s="1262"/>
      <c r="I20" s="1262"/>
      <c r="J20" s="1262"/>
      <c r="K20" s="308"/>
    </row>
    <row r="21" spans="2:11" x14ac:dyDescent="0.2">
      <c r="B21" s="770"/>
      <c r="C21" s="1251" t="s">
        <v>138</v>
      </c>
      <c r="D21" s="1251"/>
      <c r="E21" s="1251"/>
      <c r="F21" s="1251"/>
      <c r="G21" s="1251"/>
      <c r="H21" s="1251"/>
      <c r="I21" s="1251"/>
      <c r="J21" s="313"/>
      <c r="K21" s="773"/>
    </row>
    <row r="22" spans="2:11" x14ac:dyDescent="0.2">
      <c r="B22" s="770"/>
      <c r="C22" s="1259" t="s">
        <v>139</v>
      </c>
      <c r="D22" s="1260"/>
      <c r="E22" s="1260"/>
      <c r="F22" s="1260"/>
      <c r="G22" s="1260"/>
      <c r="H22" s="1260"/>
      <c r="I22" s="1260"/>
      <c r="J22" s="1260"/>
      <c r="K22" s="773"/>
    </row>
    <row r="23" spans="2:11" x14ac:dyDescent="0.2">
      <c r="B23" s="770"/>
      <c r="C23" s="1259" t="s">
        <v>140</v>
      </c>
      <c r="D23" s="1260"/>
      <c r="E23" s="1260"/>
      <c r="F23" s="1260"/>
      <c r="G23" s="1260"/>
      <c r="H23" s="1260"/>
      <c r="I23" s="1260"/>
      <c r="J23" s="1260"/>
      <c r="K23" s="773"/>
    </row>
    <row r="24" spans="2:11" x14ac:dyDescent="0.2">
      <c r="B24" s="770"/>
      <c r="C24" s="1260" t="s">
        <v>141</v>
      </c>
      <c r="D24" s="1260"/>
      <c r="E24" s="1260"/>
      <c r="F24" s="1260"/>
      <c r="G24" s="1260"/>
      <c r="H24" s="1260"/>
      <c r="I24" s="1260"/>
      <c r="J24" s="1260"/>
      <c r="K24" s="773"/>
    </row>
    <row r="25" spans="2:11" ht="15.75" x14ac:dyDescent="0.2">
      <c r="B25" s="770"/>
      <c r="C25" s="1260" t="s">
        <v>4477</v>
      </c>
      <c r="D25" s="1260"/>
      <c r="E25" s="1260"/>
      <c r="F25" s="1260"/>
      <c r="G25" s="1260"/>
      <c r="H25" s="1260"/>
      <c r="I25" s="1260"/>
      <c r="J25" s="1260"/>
      <c r="K25" s="773"/>
    </row>
    <row r="26" spans="2:11" ht="15.75" x14ac:dyDescent="0.2">
      <c r="B26" s="770"/>
      <c r="C26" s="1260" t="s">
        <v>142</v>
      </c>
      <c r="D26" s="1260"/>
      <c r="E26" s="1260"/>
      <c r="F26" s="1260"/>
      <c r="G26" s="1260"/>
      <c r="H26" s="1260"/>
      <c r="I26" s="1260"/>
      <c r="J26" s="1260"/>
      <c r="K26" s="773"/>
    </row>
    <row r="27" spans="2:11" x14ac:dyDescent="0.2">
      <c r="B27" s="770"/>
      <c r="C27" s="1260" t="s">
        <v>143</v>
      </c>
      <c r="D27" s="1260"/>
      <c r="E27" s="1260"/>
      <c r="F27" s="1260"/>
      <c r="G27" s="1260"/>
      <c r="H27" s="1260"/>
      <c r="I27" s="1260"/>
      <c r="J27" s="1260"/>
      <c r="K27" s="773"/>
    </row>
    <row r="28" spans="2:11" x14ac:dyDescent="0.2">
      <c r="B28" s="770"/>
      <c r="C28" s="964" t="str">
        <f>_xlfn.CONCAT("            D = desconto apresentado refente aos itens 1.3 e 1.4 - adotado pela Licitante na planilha Dados: ",ADDRESS(ROW(Dados!G91),COLUMN(Dados!G91),4))</f>
        <v xml:space="preserve">            D = desconto apresentado refente aos itens 1.3 e 1.4 - adotado pela Licitante na planilha Dados: G91</v>
      </c>
      <c r="D28" s="771"/>
      <c r="E28" s="771"/>
      <c r="F28" s="771"/>
      <c r="G28" s="771"/>
      <c r="H28" s="771"/>
      <c r="I28" s="771"/>
      <c r="J28" s="773"/>
      <c r="K28" s="773"/>
    </row>
    <row r="29" spans="2:11" x14ac:dyDescent="0.2">
      <c r="B29" s="770"/>
      <c r="C29" s="1263" t="s">
        <v>144</v>
      </c>
      <c r="D29" s="1264"/>
      <c r="E29" s="1264"/>
      <c r="F29" s="1264"/>
      <c r="G29" s="1264"/>
      <c r="H29" s="1264"/>
      <c r="I29" s="1264"/>
      <c r="J29" s="1265"/>
      <c r="K29" s="773"/>
    </row>
    <row r="30" spans="2:11" x14ac:dyDescent="0.2">
      <c r="B30" s="770"/>
      <c r="C30" s="1260" t="s">
        <v>4478</v>
      </c>
      <c r="D30" s="1260"/>
      <c r="E30" s="1260"/>
      <c r="F30" s="1260"/>
      <c r="G30" s="1260"/>
      <c r="H30" s="1260"/>
      <c r="I30" s="1260"/>
      <c r="J30" s="1260"/>
      <c r="K30" s="773"/>
    </row>
    <row r="31" spans="2:11" ht="24" customHeight="1" x14ac:dyDescent="0.2">
      <c r="B31" s="770"/>
      <c r="C31" s="1267" t="s">
        <v>4479</v>
      </c>
      <c r="D31" s="1267"/>
      <c r="E31" s="1267"/>
      <c r="F31" s="1267"/>
      <c r="G31" s="1267"/>
      <c r="H31" s="1267"/>
      <c r="I31" s="1267"/>
      <c r="J31" s="1267"/>
      <c r="K31" s="773"/>
    </row>
    <row r="32" spans="2:11" ht="26.25" customHeight="1" x14ac:dyDescent="0.2">
      <c r="B32" s="770"/>
      <c r="C32" s="1266" t="s">
        <v>145</v>
      </c>
      <c r="D32" s="1266"/>
      <c r="E32" s="1266"/>
      <c r="F32" s="1266"/>
      <c r="G32" s="1266"/>
      <c r="H32" s="1266"/>
      <c r="I32" s="1266"/>
      <c r="J32" s="1266"/>
      <c r="K32" s="773"/>
    </row>
    <row r="33" spans="2:11" ht="12.75" customHeight="1" x14ac:dyDescent="0.2">
      <c r="B33" s="939"/>
      <c r="C33" s="941"/>
      <c r="D33" s="941"/>
      <c r="E33" s="941"/>
      <c r="F33" s="941"/>
      <c r="G33" s="941"/>
      <c r="H33" s="941"/>
      <c r="I33" s="941"/>
      <c r="J33" s="941"/>
      <c r="K33" s="940"/>
    </row>
  </sheetData>
  <sheetCalcPr fullCalcOnLoad="1"/>
  <sheetProtection sheet="1" objects="1" scenarios="1"/>
  <mergeCells count="21">
    <mergeCell ref="C29:J29"/>
    <mergeCell ref="C32:J32"/>
    <mergeCell ref="C23:J23"/>
    <mergeCell ref="C24:J24"/>
    <mergeCell ref="C25:J25"/>
    <mergeCell ref="C27:J27"/>
    <mergeCell ref="C30:J30"/>
    <mergeCell ref="C31:J31"/>
    <mergeCell ref="C22:J22"/>
    <mergeCell ref="C14:G14"/>
    <mergeCell ref="C15:G15"/>
    <mergeCell ref="C16:G16"/>
    <mergeCell ref="C20:J20"/>
    <mergeCell ref="C26:J26"/>
    <mergeCell ref="C21:I21"/>
    <mergeCell ref="C17:G17"/>
    <mergeCell ref="B9:K9"/>
    <mergeCell ref="C10:K10"/>
    <mergeCell ref="B11:K11"/>
    <mergeCell ref="C12:G12"/>
    <mergeCell ref="C13:G13"/>
  </mergeCells>
  <pageMargins left="0.70866141732283472" right="0.70866141732283472" top="0.86614173228346458" bottom="0.86614173228346458" header="0.70866141732283472" footer="0.70866141732283472"/>
  <pageSetup paperSize="9" scale="85" fitToHeight="0" pageOrder="overThenDown" orientation="landscape" useFirstPageNumber="1" horizontalDpi="300" verticalDpi="300" r:id="rId1"/>
  <headerFooter>
    <oddHeader>&amp;L&amp;12&amp;KFFFFFF&amp;F&amp;C&amp;12&amp;KFFFFFF&amp;A&amp;A</oddHeader>
    <oddFooter>&amp;R&amp;"Times New Roman,Normal"&amp;12&amp;Kffffff&amp;P de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0DC7B-185F-4847-AB4C-D61565534E93}">
  <sheetPr>
    <pageSetUpPr fitToPage="1"/>
  </sheetPr>
  <dimension ref="A1:O47"/>
  <sheetViews>
    <sheetView view="pageBreakPreview" zoomScaleNormal="100" zoomScaleSheetLayoutView="100" workbookViewId="0">
      <selection activeCell="D19" sqref="D19"/>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Oficial de Manutenção - (EPI Eletricista)</v>
      </c>
      <c r="B6" s="1646"/>
      <c r="C6" s="1646"/>
      <c r="D6" s="1646"/>
      <c r="E6" s="1646"/>
      <c r="F6" s="1646"/>
      <c r="G6" s="1646"/>
      <c r="H6" s="1646"/>
      <c r="I6" s="1646"/>
      <c r="J6" s="886"/>
      <c r="K6" s="886"/>
      <c r="L6" s="886"/>
      <c r="M6" s="886"/>
      <c r="N6" s="886"/>
      <c r="O6" s="886"/>
    </row>
    <row r="7" spans="1:15" ht="36"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Dados!B19</f>
        <v>Oficial de Manutenção - (EPI Eletricista)</v>
      </c>
      <c r="B8" s="1657"/>
      <c r="C8" s="995" t="s">
        <v>4347</v>
      </c>
      <c r="D8" s="996">
        <f>Dados!F19</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Oficial de Manutenção - (EPI Eletricista)</v>
      </c>
      <c r="B9" s="1663"/>
      <c r="C9" s="1663"/>
      <c r="D9" s="1663"/>
      <c r="E9" s="988" t="s">
        <v>389</v>
      </c>
      <c r="F9" s="1649"/>
      <c r="G9" s="1649"/>
      <c r="H9" s="1651"/>
      <c r="I9" s="1653"/>
      <c r="J9" s="1665"/>
      <c r="K9" s="882">
        <f>CCT!H23</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Oficial de Manutenção - (EPI Eletricista)</v>
      </c>
      <c r="C11" s="1661"/>
      <c r="D11" s="238">
        <f>Dados!$C$24</f>
        <v>220</v>
      </c>
      <c r="E11" s="230">
        <f>Dados!$N$19</f>
        <v>3683.6799999999994</v>
      </c>
      <c r="F11" s="230">
        <f>ROUND(E11/220*D11,2)</f>
        <v>3683.68</v>
      </c>
      <c r="G11" s="230"/>
      <c r="H11" s="230"/>
      <c r="I11" s="1002"/>
      <c r="J11" s="756" t="s">
        <v>4363</v>
      </c>
      <c r="K11" s="442">
        <f>ROUND($F$11/$D$11*K9,2)</f>
        <v>6.53</v>
      </c>
      <c r="L11" s="442">
        <f>ROUND($F$11/$D$11*L9,2)</f>
        <v>25.12</v>
      </c>
      <c r="M11" s="442">
        <f>ROUND($F$11/$D$11*M9,2)</f>
        <v>33.49</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1.31</v>
      </c>
      <c r="L12" s="442">
        <f>ROUND($M$10/$K$10*L11,2)</f>
        <v>5.0199999999999996</v>
      </c>
      <c r="M12" s="442">
        <f>ROUND($M$10/$K$10*M11,2)</f>
        <v>6.7</v>
      </c>
      <c r="N12" s="1031" t="s">
        <v>88</v>
      </c>
      <c r="O12" s="1032" t="s">
        <v>88</v>
      </c>
    </row>
    <row r="13" spans="1:15" ht="19.5" customHeight="1" x14ac:dyDescent="0.2">
      <c r="A13" s="1660"/>
      <c r="B13" s="1632" t="s">
        <v>4365</v>
      </c>
      <c r="C13" s="1632"/>
      <c r="D13" s="1632"/>
      <c r="E13" s="1632"/>
      <c r="F13" s="232">
        <f>F11+F12</f>
        <v>3683.68</v>
      </c>
      <c r="G13" s="232"/>
      <c r="H13" s="232"/>
      <c r="I13" s="233"/>
      <c r="J13" s="1019" t="s">
        <v>334</v>
      </c>
      <c r="K13" s="443">
        <f>SUM(K11:K12)</f>
        <v>7.84</v>
      </c>
      <c r="L13" s="443">
        <f>SUM(L11:L12)</f>
        <v>30.14</v>
      </c>
      <c r="M13" s="443">
        <f>SUM(M11:M12)</f>
        <v>40.190000000000005</v>
      </c>
      <c r="N13" s="443">
        <f>N9</f>
        <v>31.34</v>
      </c>
      <c r="O13" s="1020">
        <f>O9</f>
        <v>30.1</v>
      </c>
    </row>
    <row r="14" spans="1:15" ht="19.5" customHeight="1" x14ac:dyDescent="0.2">
      <c r="A14" s="1660"/>
      <c r="B14" s="1626" t="s">
        <v>4366</v>
      </c>
      <c r="C14" s="1626"/>
      <c r="D14" s="1626"/>
      <c r="E14" s="240">
        <f>Dados!G34</f>
        <v>0.76400000000000001</v>
      </c>
      <c r="F14" s="230">
        <f>(ROUND((E14*F13),2))</f>
        <v>2814.33</v>
      </c>
      <c r="G14" s="230"/>
      <c r="H14" s="230"/>
      <c r="I14" s="1002"/>
      <c r="J14" s="756" t="s">
        <v>4367</v>
      </c>
      <c r="K14" s="442">
        <f>K13*$E$14</f>
        <v>5.9897600000000004</v>
      </c>
      <c r="L14" s="442">
        <f>L13*$E$14</f>
        <v>23.026960000000003</v>
      </c>
      <c r="M14" s="442">
        <f>M13*$E$14</f>
        <v>30.705160000000003</v>
      </c>
      <c r="N14" s="1031" t="s">
        <v>88</v>
      </c>
      <c r="O14" s="1032" t="s">
        <v>88</v>
      </c>
    </row>
    <row r="15" spans="1:15" ht="24.75" customHeight="1" x14ac:dyDescent="0.2">
      <c r="A15" s="1631" t="s">
        <v>4368</v>
      </c>
      <c r="B15" s="1632"/>
      <c r="C15" s="1632"/>
      <c r="D15" s="1632"/>
      <c r="E15" s="1632"/>
      <c r="F15" s="232">
        <f>ROUND(SUM(F13:F14),2)</f>
        <v>6498.01</v>
      </c>
      <c r="G15" s="232"/>
      <c r="H15" s="232"/>
      <c r="I15" s="233"/>
      <c r="J15" s="1019" t="s">
        <v>4369</v>
      </c>
      <c r="K15" s="443">
        <f>K13+K14</f>
        <v>13.82976</v>
      </c>
      <c r="L15" s="443">
        <f>L13+L14</f>
        <v>53.166960000000003</v>
      </c>
      <c r="M15" s="443">
        <f>M13+M14</f>
        <v>70.895160000000004</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Dados!O19</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Dados!Q19</f>
        <v>109.69416666666666</v>
      </c>
      <c r="E19" s="230"/>
      <c r="F19" s="442">
        <f>ROUND((D19),2)</f>
        <v>109.69</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1605.9880000000001</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8103.9980000000005</v>
      </c>
      <c r="G31" s="232">
        <f>$G$15+$G$30</f>
        <v>551.58000000000004</v>
      </c>
      <c r="H31" s="232">
        <f>$H$15+$H$30</f>
        <v>0</v>
      </c>
      <c r="I31" s="233">
        <f>$I$15+$I$30</f>
        <v>504.32800000000009</v>
      </c>
      <c r="J31" s="1019" t="s">
        <v>4381</v>
      </c>
      <c r="K31" s="443">
        <f>K15+K30</f>
        <v>13.82976</v>
      </c>
      <c r="L31" s="443">
        <f>L15+L30</f>
        <v>53.166960000000003</v>
      </c>
      <c r="M31" s="443">
        <f>M15+M30</f>
        <v>70.895160000000004</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405.2</v>
      </c>
      <c r="G34" s="230">
        <f>ROUND(($G$31*$D$34),2)</f>
        <v>27.58</v>
      </c>
      <c r="H34" s="230">
        <f>ROUND((H31*D34),2)</f>
        <v>0</v>
      </c>
      <c r="I34" s="1002">
        <f>ROUND(($I$31*$D$34),2)</f>
        <v>25.22</v>
      </c>
      <c r="J34" s="756" t="s">
        <v>4386</v>
      </c>
      <c r="K34" s="442">
        <f>ROUND((K31*$D$34),2)</f>
        <v>0.69</v>
      </c>
      <c r="L34" s="442">
        <f>ROUND((L31*$D$34),2)</f>
        <v>2.66</v>
      </c>
      <c r="M34" s="442">
        <f>ROUND((M31*$D$34),2)</f>
        <v>3.54</v>
      </c>
      <c r="N34" s="442">
        <f>ROUND((N31*$D$34),2)</f>
        <v>1.57</v>
      </c>
      <c r="O34" s="1018">
        <f>ROUND((O31*$D$34),2)</f>
        <v>1.51</v>
      </c>
    </row>
    <row r="35" spans="1:15" ht="19.5" customHeight="1" x14ac:dyDescent="0.2">
      <c r="A35" s="1636" t="s">
        <v>4387</v>
      </c>
      <c r="B35" s="1637"/>
      <c r="C35" s="1637"/>
      <c r="D35" s="236"/>
      <c r="E35" s="230"/>
      <c r="F35" s="230">
        <f>$F$31+$F$34</f>
        <v>8509.1980000000003</v>
      </c>
      <c r="G35" s="230">
        <f>$G$34+$G$31</f>
        <v>579.16000000000008</v>
      </c>
      <c r="H35" s="230">
        <f>H31+H34</f>
        <v>0</v>
      </c>
      <c r="I35" s="1002">
        <f>$I$31+$I$34</f>
        <v>529.54800000000012</v>
      </c>
      <c r="J35" s="756" t="s">
        <v>4388</v>
      </c>
      <c r="K35" s="442">
        <f>K31+K34</f>
        <v>14.51976</v>
      </c>
      <c r="L35" s="442">
        <f>L31+L34</f>
        <v>55.82696</v>
      </c>
      <c r="M35" s="442">
        <f>M31+M34</f>
        <v>74.43516000000001</v>
      </c>
      <c r="N35" s="442">
        <f>N31+N34</f>
        <v>32.909999999999997</v>
      </c>
      <c r="O35" s="1018">
        <f>O31+O34</f>
        <v>31.610000000000003</v>
      </c>
    </row>
    <row r="36" spans="1:15" ht="19.5" customHeight="1" x14ac:dyDescent="0.2">
      <c r="A36" s="411" t="s">
        <v>447</v>
      </c>
      <c r="B36" s="235"/>
      <c r="C36" s="235"/>
      <c r="D36" s="236">
        <f>Dados!$G$54</f>
        <v>6.7900000000000002E-2</v>
      </c>
      <c r="E36" s="230">
        <f>$F$31+$F$34</f>
        <v>8509.1980000000003</v>
      </c>
      <c r="F36" s="230">
        <f>ROUND(($E$36*$D$36),2)</f>
        <v>577.77</v>
      </c>
      <c r="G36" s="230">
        <f>ROUND(($G$35*$D$36),2)</f>
        <v>39.32</v>
      </c>
      <c r="H36" s="230">
        <f>ROUND((H35*D36),2)</f>
        <v>0</v>
      </c>
      <c r="I36" s="1002">
        <f>ROUND(($I$35*$D$36),2)</f>
        <v>35.96</v>
      </c>
      <c r="J36" s="756" t="s">
        <v>447</v>
      </c>
      <c r="K36" s="442">
        <f>ROUND((K35*$D$36),2)</f>
        <v>0.99</v>
      </c>
      <c r="L36" s="442">
        <f>ROUND((L35*$D$36),2)</f>
        <v>3.79</v>
      </c>
      <c r="M36" s="442">
        <f>ROUND((M35*$D$36),2)</f>
        <v>5.05</v>
      </c>
      <c r="N36" s="442">
        <f>ROUND((N35*$D$36),2)</f>
        <v>2.23</v>
      </c>
      <c r="O36" s="1018">
        <f>ROUND((O35*$D$36),2)</f>
        <v>2.15</v>
      </c>
    </row>
    <row r="37" spans="1:15" ht="24.75" customHeight="1" x14ac:dyDescent="0.2">
      <c r="A37" s="421" t="s">
        <v>4389</v>
      </c>
      <c r="B37" s="422"/>
      <c r="C37" s="422"/>
      <c r="D37" s="237">
        <f>SUM($D$34:$D$36)</f>
        <v>0.1179</v>
      </c>
      <c r="E37" s="232"/>
      <c r="F37" s="232">
        <f>$F$34+$F$36</f>
        <v>982.97</v>
      </c>
      <c r="G37" s="232">
        <f>$G$34+$G$36</f>
        <v>66.900000000000006</v>
      </c>
      <c r="H37" s="232">
        <f>H34+H36</f>
        <v>0</v>
      </c>
      <c r="I37" s="233">
        <f>$I$34+$I$36</f>
        <v>61.18</v>
      </c>
      <c r="J37" s="1019" t="s">
        <v>4390</v>
      </c>
      <c r="K37" s="443">
        <f>K34+K36</f>
        <v>1.68</v>
      </c>
      <c r="L37" s="443">
        <f>L34+L36</f>
        <v>6.45</v>
      </c>
      <c r="M37" s="443">
        <f>M34+M36</f>
        <v>8.59</v>
      </c>
      <c r="N37" s="443">
        <f>N34+N36</f>
        <v>3.8</v>
      </c>
      <c r="O37" s="1020">
        <f>O34+O36</f>
        <v>3.66</v>
      </c>
    </row>
    <row r="38" spans="1:15" ht="24.75" customHeight="1" x14ac:dyDescent="0.2">
      <c r="A38" s="1631" t="s">
        <v>4391</v>
      </c>
      <c r="B38" s="1632"/>
      <c r="C38" s="1632"/>
      <c r="D38" s="1632"/>
      <c r="E38" s="1632"/>
      <c r="F38" s="232">
        <f>$F$15+$F$30+$F$37</f>
        <v>9086.9680000000008</v>
      </c>
      <c r="G38" s="232">
        <f>$G$15+$G$30+$G$37</f>
        <v>618.48</v>
      </c>
      <c r="H38" s="232">
        <f>H15+H30+H37</f>
        <v>0</v>
      </c>
      <c r="I38" s="233">
        <f>$I$15+$I$30+$I$37</f>
        <v>565.50800000000004</v>
      </c>
      <c r="J38" s="1019" t="s">
        <v>4392</v>
      </c>
      <c r="K38" s="443">
        <f>K15+K30+K37</f>
        <v>15.50976</v>
      </c>
      <c r="L38" s="443">
        <f>L15+L30+L37</f>
        <v>59.616960000000006</v>
      </c>
      <c r="M38" s="443">
        <f>M15+M30+M37</f>
        <v>79.485160000000008</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290.47000000000003</v>
      </c>
      <c r="G40" s="230">
        <f>ROUND(($G$45*$D$40),2)</f>
        <v>19.77</v>
      </c>
      <c r="H40" s="230">
        <f>ROUND(($H$45*$D$40),2)</f>
        <v>0</v>
      </c>
      <c r="I40" s="1002">
        <f>ROUND(($I$45*$D$40),2)</f>
        <v>18.079999999999998</v>
      </c>
      <c r="J40" s="1026" t="s">
        <v>452</v>
      </c>
      <c r="K40" s="442">
        <f>ROUND((K45*$D$40),2)</f>
        <v>0.5</v>
      </c>
      <c r="L40" s="442">
        <f>ROUND((L45*$D$40),2)</f>
        <v>1.91</v>
      </c>
      <c r="M40" s="442">
        <f>ROUND((M45*$D$40),2)</f>
        <v>2.54</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62.94</v>
      </c>
      <c r="G41" s="230">
        <f>ROUND(($G$45*$D$41),2)</f>
        <v>4.28</v>
      </c>
      <c r="H41" s="230">
        <f>ROUND(($H$45*$D$41),2)</f>
        <v>0</v>
      </c>
      <c r="I41" s="1002">
        <f>ROUND(($I$45*$D$41),2)</f>
        <v>3.92</v>
      </c>
      <c r="J41" s="1026" t="s">
        <v>454</v>
      </c>
      <c r="K41" s="442">
        <f>ROUND((K45*$D$42),2)</f>
        <v>0.41</v>
      </c>
      <c r="L41" s="442">
        <f>ROUND((L45*$D$41),2)</f>
        <v>0.41</v>
      </c>
      <c r="M41" s="442">
        <f>ROUND((M45*$D$41),2)</f>
        <v>0.55000000000000004</v>
      </c>
      <c r="N41" s="442">
        <f>ROUND((N45*$D$41),2)</f>
        <v>0.24</v>
      </c>
      <c r="O41" s="1018">
        <f>ROUND((O45*$D$41),2)</f>
        <v>0.23</v>
      </c>
    </row>
    <row r="42" spans="1:15" ht="19.5" customHeight="1" x14ac:dyDescent="0.2">
      <c r="A42" s="411" t="s">
        <v>456</v>
      </c>
      <c r="B42" s="235"/>
      <c r="C42" s="235"/>
      <c r="D42" s="236">
        <f>Dados!$G$63</f>
        <v>2.5000000000000001E-2</v>
      </c>
      <c r="E42" s="230"/>
      <c r="F42" s="230">
        <f>ROUND(($F$45*$D$42),2)</f>
        <v>242.06</v>
      </c>
      <c r="G42" s="230">
        <f>ROUND(($G$45*$D$42),2)</f>
        <v>16.48</v>
      </c>
      <c r="H42" s="230">
        <f>ROUND(($H$45*$D$42),2)</f>
        <v>0</v>
      </c>
      <c r="I42" s="1002">
        <f>ROUND(($I$45*$D$42),2)</f>
        <v>15.06</v>
      </c>
      <c r="J42" s="1026" t="s">
        <v>456</v>
      </c>
      <c r="K42" s="442">
        <f>ROUND((K45*$D$42),2)</f>
        <v>0.41</v>
      </c>
      <c r="L42" s="442">
        <f>ROUND((L45*$D$42),2)</f>
        <v>1.59</v>
      </c>
      <c r="M42" s="442">
        <f>ROUND((M45*$D$42),2)</f>
        <v>2.12</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595.47</v>
      </c>
      <c r="G44" s="232">
        <f>SUM(G40:G43)</f>
        <v>40.53</v>
      </c>
      <c r="H44" s="232">
        <f>SUM(H40:H43)</f>
        <v>0</v>
      </c>
      <c r="I44" s="233">
        <f>SUM(I40:I43)</f>
        <v>37.06</v>
      </c>
      <c r="J44" s="1019" t="s">
        <v>4396</v>
      </c>
      <c r="K44" s="443">
        <f>SUM(K40:K43)</f>
        <v>1.3199999999999998</v>
      </c>
      <c r="L44" s="443">
        <f>SUM(L40:L43)</f>
        <v>3.91</v>
      </c>
      <c r="M44" s="443">
        <f>SUM(M40:M43)</f>
        <v>5.21</v>
      </c>
      <c r="N44" s="443">
        <f>SUM(N40:N43)</f>
        <v>2.2999999999999998</v>
      </c>
      <c r="O44" s="1020">
        <f>SUM(O40:O43)</f>
        <v>2.21</v>
      </c>
    </row>
    <row r="45" spans="1:15" ht="34.5" hidden="1" customHeight="1" thickBot="1" x14ac:dyDescent="0.25">
      <c r="A45" s="1641" t="str">
        <f>A8</f>
        <v>Oficial de Manutenção - (EPI Eletricista)</v>
      </c>
      <c r="B45" s="1642"/>
      <c r="C45" s="1642"/>
      <c r="D45" s="1642"/>
      <c r="E45" s="1642"/>
      <c r="F45" s="232">
        <f>ROUND($F$38/(1-$D$44),2)</f>
        <v>9682.44</v>
      </c>
      <c r="G45" s="232">
        <f>ROUND($G$38/(1-$D$44),2)</f>
        <v>659.01</v>
      </c>
      <c r="H45" s="232">
        <f>ROUND($H$38/(1-$D$44),2)</f>
        <v>0</v>
      </c>
      <c r="I45" s="233">
        <f>ROUND($I$38/(1-$D$44),2)</f>
        <v>602.57000000000005</v>
      </c>
      <c r="J45" s="1019" t="s">
        <v>585</v>
      </c>
      <c r="K45" s="443">
        <f>ROUND(K38/(1-$D$44),2)</f>
        <v>16.53</v>
      </c>
      <c r="L45" s="443">
        <f>ROUND(L38/(1-$D$44),2)</f>
        <v>63.52</v>
      </c>
      <c r="M45" s="443">
        <f>ROUND(M38/(1-$D$44),2)</f>
        <v>84.69</v>
      </c>
      <c r="N45" s="443">
        <f>ROUND(N38/(1-$D$44),2)</f>
        <v>37.44</v>
      </c>
      <c r="O45" s="1020">
        <f>ROUND(O38/(1-$D$44),2)</f>
        <v>35.97</v>
      </c>
    </row>
    <row r="46" spans="1:15" ht="30" customHeight="1" x14ac:dyDescent="0.2">
      <c r="A46" s="1643" t="str">
        <f>A8</f>
        <v>Oficial de Manutenção - (EPI Eletricista)</v>
      </c>
      <c r="B46" s="1644"/>
      <c r="C46" s="1644"/>
      <c r="D46" s="1644"/>
      <c r="E46" s="1644"/>
      <c r="F46" s="984">
        <f>$F$45</f>
        <v>9682.44</v>
      </c>
      <c r="G46" s="984">
        <f>$G$45</f>
        <v>659.01</v>
      </c>
      <c r="H46" s="984">
        <f>$H$45</f>
        <v>0</v>
      </c>
      <c r="I46" s="1005">
        <f>$I$45</f>
        <v>602.57000000000005</v>
      </c>
      <c r="J46" s="1019" t="s">
        <v>585</v>
      </c>
      <c r="K46" s="446">
        <f>K45</f>
        <v>16.53</v>
      </c>
      <c r="L46" s="446">
        <f>L45</f>
        <v>63.52</v>
      </c>
      <c r="M46" s="446">
        <f>M45</f>
        <v>84.69</v>
      </c>
      <c r="N46" s="446">
        <f>N45</f>
        <v>37.44</v>
      </c>
      <c r="O46" s="1027">
        <f>O45</f>
        <v>35.97</v>
      </c>
    </row>
    <row r="47" spans="1:15" ht="29.25" customHeight="1" thickBot="1" x14ac:dyDescent="0.25">
      <c r="A47" s="1634" t="s">
        <v>4397</v>
      </c>
      <c r="B47" s="1635"/>
      <c r="C47" s="1635"/>
      <c r="D47" s="1635"/>
      <c r="E47" s="1635"/>
      <c r="F47" s="1006">
        <f>($F$46/$F$13)/100</f>
        <v>2.6284693567302266E-2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00C9-9DB2-476B-99C6-C09B9DF6BD0A}">
  <sheetPr>
    <pageSetUpPr fitToPage="1"/>
  </sheetPr>
  <dimension ref="A1:O47"/>
  <sheetViews>
    <sheetView view="pageBreakPreview" zoomScaleNormal="100" zoomScaleSheetLayoutView="100" workbookViewId="0">
      <selection activeCell="F11" sqref="F11 D11 L9"/>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Ajudante de Manutenção (meio oficial)</v>
      </c>
      <c r="B6" s="1646"/>
      <c r="C6" s="1646"/>
      <c r="D6" s="1646"/>
      <c r="E6" s="1646"/>
      <c r="F6" s="1646"/>
      <c r="G6" s="1646"/>
      <c r="H6" s="1646"/>
      <c r="I6" s="1646"/>
      <c r="J6" s="886"/>
      <c r="K6" s="886"/>
      <c r="L6" s="886"/>
      <c r="M6" s="886"/>
      <c r="N6" s="886"/>
      <c r="O6" s="886"/>
    </row>
    <row r="7" spans="1:15" ht="32.25"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Dados!B20</f>
        <v>Ajudante de Manutenção (meio oficial)</v>
      </c>
      <c r="B8" s="1657"/>
      <c r="C8" s="995" t="s">
        <v>4347</v>
      </c>
      <c r="D8" s="996">
        <f>Dados!F20</f>
        <v>2206.27</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Ajudante de Manutenção (meio oficial)</v>
      </c>
      <c r="B9" s="1663"/>
      <c r="C9" s="1663"/>
      <c r="D9" s="1663"/>
      <c r="E9" s="988" t="s">
        <v>389</v>
      </c>
      <c r="F9" s="1649"/>
      <c r="G9" s="1649"/>
      <c r="H9" s="1651"/>
      <c r="I9" s="1653"/>
      <c r="J9" s="1665"/>
      <c r="K9" s="882">
        <f>CCT!H24</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Ajudante de Manutenção (meio oficial)</v>
      </c>
      <c r="C11" s="1661"/>
      <c r="D11" s="238">
        <f>Dados!$C$24</f>
        <v>220</v>
      </c>
      <c r="E11" s="230">
        <f>Dados!$N$20</f>
        <v>2206.27</v>
      </c>
      <c r="F11" s="230">
        <f>ROUND(E11/220*D11,2)</f>
        <v>2206.27</v>
      </c>
      <c r="G11" s="230"/>
      <c r="H11" s="230"/>
      <c r="I11" s="1002"/>
      <c r="J11" s="756" t="s">
        <v>4363</v>
      </c>
      <c r="K11" s="442">
        <f>ROUND($F$11/$D$11*K9,2)</f>
        <v>3.91</v>
      </c>
      <c r="L11" s="442">
        <f>ROUND($F$11/$D$11*L9,2)</f>
        <v>15.04</v>
      </c>
      <c r="M11" s="442">
        <f>ROUND($F$11/$D$11*M9,2)</f>
        <v>20.059999999999999</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0.78</v>
      </c>
      <c r="L12" s="442">
        <f>ROUND($M$10/$K$10*L11,2)</f>
        <v>3.01</v>
      </c>
      <c r="M12" s="442">
        <f>ROUND($M$10/$K$10*M11,2)</f>
        <v>4.01</v>
      </c>
      <c r="N12" s="1031" t="s">
        <v>88</v>
      </c>
      <c r="O12" s="1032" t="s">
        <v>88</v>
      </c>
    </row>
    <row r="13" spans="1:15" ht="19.5" customHeight="1" x14ac:dyDescent="0.2">
      <c r="A13" s="1660"/>
      <c r="B13" s="1632" t="s">
        <v>4365</v>
      </c>
      <c r="C13" s="1632"/>
      <c r="D13" s="1632"/>
      <c r="E13" s="1632"/>
      <c r="F13" s="232">
        <f>F11+F12</f>
        <v>2206.27</v>
      </c>
      <c r="G13" s="232"/>
      <c r="H13" s="232"/>
      <c r="I13" s="233"/>
      <c r="J13" s="1019" t="s">
        <v>334</v>
      </c>
      <c r="K13" s="443">
        <f>SUM(K11:K12)</f>
        <v>4.6900000000000004</v>
      </c>
      <c r="L13" s="443">
        <f>SUM(L11:L12)</f>
        <v>18.049999999999997</v>
      </c>
      <c r="M13" s="443">
        <f>SUM(M11:M12)</f>
        <v>24.07</v>
      </c>
      <c r="N13" s="443">
        <f>N9</f>
        <v>31.34</v>
      </c>
      <c r="O13" s="1020">
        <f>O9</f>
        <v>30.1</v>
      </c>
    </row>
    <row r="14" spans="1:15" ht="19.5" customHeight="1" x14ac:dyDescent="0.2">
      <c r="A14" s="1660"/>
      <c r="B14" s="1626" t="s">
        <v>4366</v>
      </c>
      <c r="C14" s="1626"/>
      <c r="D14" s="1626"/>
      <c r="E14" s="240">
        <f>Dados!G34</f>
        <v>0.76400000000000001</v>
      </c>
      <c r="F14" s="230">
        <f>(ROUND((E14*F13),2))</f>
        <v>1685.59</v>
      </c>
      <c r="G14" s="230"/>
      <c r="H14" s="230"/>
      <c r="I14" s="1002"/>
      <c r="J14" s="756" t="s">
        <v>4367</v>
      </c>
      <c r="K14" s="442">
        <f>K13*$E$14</f>
        <v>3.5831600000000003</v>
      </c>
      <c r="L14" s="442">
        <f>L13*$E$14</f>
        <v>13.790199999999999</v>
      </c>
      <c r="M14" s="442">
        <f>M13*$E$14</f>
        <v>18.389479999999999</v>
      </c>
      <c r="N14" s="1031" t="s">
        <v>88</v>
      </c>
      <c r="O14" s="1032" t="s">
        <v>88</v>
      </c>
    </row>
    <row r="15" spans="1:15" ht="24.75" customHeight="1" x14ac:dyDescent="0.2">
      <c r="A15" s="1631" t="s">
        <v>4368</v>
      </c>
      <c r="B15" s="1632"/>
      <c r="C15" s="1632"/>
      <c r="D15" s="1632"/>
      <c r="E15" s="1632"/>
      <c r="F15" s="232">
        <f>ROUND(SUM(F13:F14),2)</f>
        <v>3891.86</v>
      </c>
      <c r="G15" s="232"/>
      <c r="H15" s="232"/>
      <c r="I15" s="233"/>
      <c r="J15" s="1019" t="s">
        <v>4369</v>
      </c>
      <c r="K15" s="443">
        <f>K13+K14</f>
        <v>8.2731600000000007</v>
      </c>
      <c r="L15" s="443">
        <f>L13+L14</f>
        <v>31.840199999999996</v>
      </c>
      <c r="M15" s="443">
        <f>M13+M14</f>
        <v>42.459479999999999</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Dados!O20</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Dados!P20</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529.82380000000012</v>
      </c>
      <c r="G21" s="230"/>
      <c r="H21" s="230"/>
      <c r="I21" s="1002">
        <f>F21</f>
        <v>529.82380000000012</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1557.1438000000001</v>
      </c>
      <c r="G30" s="232">
        <f>SUM(G18:G29)</f>
        <v>551.58000000000004</v>
      </c>
      <c r="H30" s="232">
        <f>SUM($H$18:$H$29)</f>
        <v>0</v>
      </c>
      <c r="I30" s="233">
        <f>SUM($I$18:$I$29)</f>
        <v>529.82380000000012</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5449.0038000000004</v>
      </c>
      <c r="G31" s="232">
        <f>$G$15+$G$30</f>
        <v>551.58000000000004</v>
      </c>
      <c r="H31" s="232">
        <f>$H$15+$H$30</f>
        <v>0</v>
      </c>
      <c r="I31" s="233">
        <f>$I$15+$I$30</f>
        <v>529.82380000000012</v>
      </c>
      <c r="J31" s="1019" t="s">
        <v>4381</v>
      </c>
      <c r="K31" s="443">
        <f>K15+K30</f>
        <v>8.2731600000000007</v>
      </c>
      <c r="L31" s="443">
        <f>L15+L30</f>
        <v>31.840199999999996</v>
      </c>
      <c r="M31" s="443">
        <f>M15+M30</f>
        <v>42.459479999999999</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272.45</v>
      </c>
      <c r="G34" s="230">
        <f>ROUND(($G$31*$D$34),2)</f>
        <v>27.58</v>
      </c>
      <c r="H34" s="230">
        <f>ROUND((H31*D34),2)</f>
        <v>0</v>
      </c>
      <c r="I34" s="1002">
        <f>ROUND(($I$31*$D$34),2)</f>
        <v>26.49</v>
      </c>
      <c r="J34" s="756" t="s">
        <v>4386</v>
      </c>
      <c r="K34" s="442">
        <f>ROUND((K31*$D$34),2)</f>
        <v>0.41</v>
      </c>
      <c r="L34" s="442">
        <f>ROUND((L31*$D$34),2)</f>
        <v>1.59</v>
      </c>
      <c r="M34" s="442">
        <f>ROUND((M31*$D$34),2)</f>
        <v>2.12</v>
      </c>
      <c r="N34" s="442">
        <f>ROUND((N31*$D$34),2)</f>
        <v>1.57</v>
      </c>
      <c r="O34" s="1018">
        <f>ROUND((O31*$D$34),2)</f>
        <v>1.51</v>
      </c>
    </row>
    <row r="35" spans="1:15" ht="19.5" customHeight="1" x14ac:dyDescent="0.2">
      <c r="A35" s="1636" t="s">
        <v>4387</v>
      </c>
      <c r="B35" s="1637"/>
      <c r="C35" s="1637"/>
      <c r="D35" s="236"/>
      <c r="E35" s="230"/>
      <c r="F35" s="230">
        <f>$F$31+$F$34</f>
        <v>5721.4538000000002</v>
      </c>
      <c r="G35" s="230">
        <f>$G$34+$G$31</f>
        <v>579.16000000000008</v>
      </c>
      <c r="H35" s="230">
        <f>H31+H34</f>
        <v>0</v>
      </c>
      <c r="I35" s="1002">
        <f>$I$31+$I$34</f>
        <v>556.31380000000013</v>
      </c>
      <c r="J35" s="756" t="s">
        <v>4388</v>
      </c>
      <c r="K35" s="442">
        <f>K31+K34</f>
        <v>8.6831600000000009</v>
      </c>
      <c r="L35" s="442">
        <f>L31+L34</f>
        <v>33.430199999999999</v>
      </c>
      <c r="M35" s="442">
        <f>M31+M34</f>
        <v>44.579479999999997</v>
      </c>
      <c r="N35" s="442">
        <f>N31+N34</f>
        <v>32.909999999999997</v>
      </c>
      <c r="O35" s="1018">
        <f>O31+O34</f>
        <v>31.610000000000003</v>
      </c>
    </row>
    <row r="36" spans="1:15" ht="19.5" customHeight="1" x14ac:dyDescent="0.2">
      <c r="A36" s="411" t="s">
        <v>447</v>
      </c>
      <c r="B36" s="235"/>
      <c r="C36" s="235"/>
      <c r="D36" s="236">
        <f>Dados!$G$54</f>
        <v>6.7900000000000002E-2</v>
      </c>
      <c r="E36" s="230">
        <f>$F$31+$F$34</f>
        <v>5721.4538000000002</v>
      </c>
      <c r="F36" s="230">
        <f>ROUND(($E$36*$D$36),2)</f>
        <v>388.49</v>
      </c>
      <c r="G36" s="230">
        <f>ROUND(($G$35*$D$36),2)</f>
        <v>39.32</v>
      </c>
      <c r="H36" s="230">
        <f>ROUND((H35*D36),2)</f>
        <v>0</v>
      </c>
      <c r="I36" s="1002">
        <f>ROUND(($I$35*$D$36),2)</f>
        <v>37.770000000000003</v>
      </c>
      <c r="J36" s="756" t="s">
        <v>447</v>
      </c>
      <c r="K36" s="442">
        <f>ROUND((K35*$D$36),2)</f>
        <v>0.59</v>
      </c>
      <c r="L36" s="442">
        <f>ROUND((L35*$D$36),2)</f>
        <v>2.27</v>
      </c>
      <c r="M36" s="442">
        <f>ROUND((M35*$D$36),2)</f>
        <v>3.03</v>
      </c>
      <c r="N36" s="442">
        <f>ROUND((N35*$D$36),2)</f>
        <v>2.23</v>
      </c>
      <c r="O36" s="1018">
        <f>ROUND((O35*$D$36),2)</f>
        <v>2.15</v>
      </c>
    </row>
    <row r="37" spans="1:15" ht="24.75" customHeight="1" x14ac:dyDescent="0.2">
      <c r="A37" s="421" t="s">
        <v>4389</v>
      </c>
      <c r="B37" s="422"/>
      <c r="C37" s="422"/>
      <c r="D37" s="237">
        <f>SUM($D$34:$D$36)</f>
        <v>0.1179</v>
      </c>
      <c r="E37" s="232"/>
      <c r="F37" s="232">
        <f>$F$34+$F$36</f>
        <v>660.94</v>
      </c>
      <c r="G37" s="232">
        <f>$G$34+$G$36</f>
        <v>66.900000000000006</v>
      </c>
      <c r="H37" s="232">
        <f>H34+H36</f>
        <v>0</v>
      </c>
      <c r="I37" s="233">
        <f>$I$34+$I$36</f>
        <v>64.260000000000005</v>
      </c>
      <c r="J37" s="1019" t="s">
        <v>4390</v>
      </c>
      <c r="K37" s="443">
        <f>K34+K36</f>
        <v>1</v>
      </c>
      <c r="L37" s="443">
        <f>L34+L36</f>
        <v>3.8600000000000003</v>
      </c>
      <c r="M37" s="443">
        <f>M34+M36</f>
        <v>5.15</v>
      </c>
      <c r="N37" s="443">
        <f>N34+N36</f>
        <v>3.8</v>
      </c>
      <c r="O37" s="1020">
        <f>O34+O36</f>
        <v>3.66</v>
      </c>
    </row>
    <row r="38" spans="1:15" ht="24.75" customHeight="1" x14ac:dyDescent="0.2">
      <c r="A38" s="1631" t="s">
        <v>4391</v>
      </c>
      <c r="B38" s="1632"/>
      <c r="C38" s="1632"/>
      <c r="D38" s="1632"/>
      <c r="E38" s="1632"/>
      <c r="F38" s="232">
        <f>$F$15+$F$30+$F$37</f>
        <v>6109.9438000000009</v>
      </c>
      <c r="G38" s="232">
        <f>$G$15+$G$30+$G$37</f>
        <v>618.48</v>
      </c>
      <c r="H38" s="232">
        <f>H15+H30+H37</f>
        <v>0</v>
      </c>
      <c r="I38" s="233">
        <f>$I$15+$I$30+$I$37</f>
        <v>594.08380000000011</v>
      </c>
      <c r="J38" s="1019" t="s">
        <v>4392</v>
      </c>
      <c r="K38" s="443">
        <f>K15+K30+K37</f>
        <v>9.2731600000000007</v>
      </c>
      <c r="L38" s="443">
        <f>L15+L30+L37</f>
        <v>35.700199999999995</v>
      </c>
      <c r="M38" s="443">
        <f>M15+M30+M37</f>
        <v>47.609479999999998</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195.31</v>
      </c>
      <c r="G40" s="230">
        <f>ROUND(($G$45*$D$40),2)</f>
        <v>19.77</v>
      </c>
      <c r="H40" s="230">
        <f>ROUND(($H$45*$D$40),2)</f>
        <v>0</v>
      </c>
      <c r="I40" s="1002">
        <f>ROUND(($I$45*$D$40),2)</f>
        <v>18.989999999999998</v>
      </c>
      <c r="J40" s="1026" t="s">
        <v>452</v>
      </c>
      <c r="K40" s="442">
        <f>ROUND((K45*$D$40),2)</f>
        <v>0.3</v>
      </c>
      <c r="L40" s="442">
        <f>ROUND((L45*$D$40),2)</f>
        <v>1.1399999999999999</v>
      </c>
      <c r="M40" s="442">
        <f>ROUND((M45*$D$40),2)</f>
        <v>1.52</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42.32</v>
      </c>
      <c r="G41" s="230">
        <f>ROUND(($G$45*$D$41),2)</f>
        <v>4.28</v>
      </c>
      <c r="H41" s="230">
        <f>ROUND(($H$45*$D$41),2)</f>
        <v>0</v>
      </c>
      <c r="I41" s="1002">
        <f>ROUND(($I$45*$D$41),2)</f>
        <v>4.1100000000000003</v>
      </c>
      <c r="J41" s="1026" t="s">
        <v>454</v>
      </c>
      <c r="K41" s="442">
        <f>ROUND((K45*$D$42),2)</f>
        <v>0.25</v>
      </c>
      <c r="L41" s="442">
        <f>ROUND((L45*$D$41),2)</f>
        <v>0.25</v>
      </c>
      <c r="M41" s="442">
        <f>ROUND((M45*$D$41),2)</f>
        <v>0.33</v>
      </c>
      <c r="N41" s="442">
        <f>ROUND((N45*$D$41),2)</f>
        <v>0.24</v>
      </c>
      <c r="O41" s="1018">
        <f>ROUND((O45*$D$41),2)</f>
        <v>0.23</v>
      </c>
    </row>
    <row r="42" spans="1:15" ht="19.5" customHeight="1" x14ac:dyDescent="0.2">
      <c r="A42" s="411" t="s">
        <v>456</v>
      </c>
      <c r="B42" s="235"/>
      <c r="C42" s="235"/>
      <c r="D42" s="236">
        <f>Dados!$G$63</f>
        <v>2.5000000000000001E-2</v>
      </c>
      <c r="E42" s="230"/>
      <c r="F42" s="230">
        <f>ROUND(($F$45*$D$42),2)</f>
        <v>162.76</v>
      </c>
      <c r="G42" s="230">
        <f>ROUND(($G$45*$D$42),2)</f>
        <v>16.48</v>
      </c>
      <c r="H42" s="230">
        <f>ROUND(($H$45*$D$42),2)</f>
        <v>0</v>
      </c>
      <c r="I42" s="1002">
        <f>ROUND(($I$45*$D$42),2)</f>
        <v>15.83</v>
      </c>
      <c r="J42" s="1026" t="s">
        <v>456</v>
      </c>
      <c r="K42" s="442">
        <f>ROUND((K45*$D$42),2)</f>
        <v>0.25</v>
      </c>
      <c r="L42" s="442">
        <f>ROUND((L45*$D$42),2)</f>
        <v>0.95</v>
      </c>
      <c r="M42" s="442">
        <f>ROUND((M45*$D$42),2)</f>
        <v>1.27</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400.39</v>
      </c>
      <c r="G44" s="232">
        <f>SUM(G40:G43)</f>
        <v>40.53</v>
      </c>
      <c r="H44" s="232">
        <f>SUM(H40:H43)</f>
        <v>0</v>
      </c>
      <c r="I44" s="233">
        <f>SUM(I40:I43)</f>
        <v>38.93</v>
      </c>
      <c r="J44" s="1019" t="s">
        <v>4396</v>
      </c>
      <c r="K44" s="443">
        <f>SUM(K40:K43)</f>
        <v>0.8</v>
      </c>
      <c r="L44" s="443">
        <f>SUM(L40:L43)</f>
        <v>2.34</v>
      </c>
      <c r="M44" s="443">
        <f>SUM(M40:M43)</f>
        <v>3.12</v>
      </c>
      <c r="N44" s="443">
        <f>SUM(N40:N43)</f>
        <v>2.2999999999999998</v>
      </c>
      <c r="O44" s="1020">
        <f>SUM(O40:O43)</f>
        <v>2.21</v>
      </c>
    </row>
    <row r="45" spans="1:15" ht="34.5" hidden="1" customHeight="1" thickBot="1" x14ac:dyDescent="0.25">
      <c r="A45" s="1641" t="str">
        <f>A8</f>
        <v>Ajudante de Manutenção (meio oficial)</v>
      </c>
      <c r="B45" s="1642"/>
      <c r="C45" s="1642"/>
      <c r="D45" s="1642"/>
      <c r="E45" s="1642"/>
      <c r="F45" s="232">
        <f>ROUND($F$38/(1-$D$44),2)</f>
        <v>6510.33</v>
      </c>
      <c r="G45" s="232">
        <f>ROUND($G$38/(1-$D$44),2)</f>
        <v>659.01</v>
      </c>
      <c r="H45" s="232">
        <f>ROUND($H$38/(1-$D$44),2)</f>
        <v>0</v>
      </c>
      <c r="I45" s="233">
        <f>ROUND($I$38/(1-$D$44),2)</f>
        <v>633.01</v>
      </c>
      <c r="J45" s="1019" t="s">
        <v>585</v>
      </c>
      <c r="K45" s="443">
        <f>ROUND(K38/(1-$D$44),2)</f>
        <v>9.8800000000000008</v>
      </c>
      <c r="L45" s="443">
        <f>ROUND(L38/(1-$D$44),2)</f>
        <v>38.04</v>
      </c>
      <c r="M45" s="443">
        <f>ROUND(M38/(1-$D$44),2)</f>
        <v>50.73</v>
      </c>
      <c r="N45" s="443">
        <f>ROUND(N38/(1-$D$44),2)</f>
        <v>37.44</v>
      </c>
      <c r="O45" s="1020">
        <f>ROUND(O38/(1-$D$44),2)</f>
        <v>35.97</v>
      </c>
    </row>
    <row r="46" spans="1:15" ht="30" customHeight="1" x14ac:dyDescent="0.2">
      <c r="A46" s="1643" t="str">
        <f>A8</f>
        <v>Ajudante de Manutenção (meio oficial)</v>
      </c>
      <c r="B46" s="1644"/>
      <c r="C46" s="1644"/>
      <c r="D46" s="1644"/>
      <c r="E46" s="1644"/>
      <c r="F46" s="984">
        <f>$F$45</f>
        <v>6510.33</v>
      </c>
      <c r="G46" s="984">
        <f>$G$45</f>
        <v>659.01</v>
      </c>
      <c r="H46" s="984">
        <f>$H$45</f>
        <v>0</v>
      </c>
      <c r="I46" s="1005">
        <f>$I$45</f>
        <v>633.01</v>
      </c>
      <c r="J46" s="1019" t="s">
        <v>585</v>
      </c>
      <c r="K46" s="446">
        <f>K45</f>
        <v>9.8800000000000008</v>
      </c>
      <c r="L46" s="446">
        <f>L45</f>
        <v>38.04</v>
      </c>
      <c r="M46" s="446">
        <f>M45</f>
        <v>50.73</v>
      </c>
      <c r="N46" s="446">
        <f>N45</f>
        <v>37.44</v>
      </c>
      <c r="O46" s="1027">
        <f>O45</f>
        <v>35.97</v>
      </c>
    </row>
    <row r="47" spans="1:15" ht="29.25" customHeight="1" thickBot="1" x14ac:dyDescent="0.25">
      <c r="A47" s="1634" t="s">
        <v>4397</v>
      </c>
      <c r="B47" s="1635"/>
      <c r="C47" s="1635"/>
      <c r="D47" s="1635"/>
      <c r="E47" s="1635"/>
      <c r="F47" s="1006">
        <f>($F$46/$F$13)/100</f>
        <v>2.9508310406251279E-2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EDB5-E1EF-4144-920E-E58E3D7D7C50}">
  <sheetPr>
    <pageSetUpPr fitToPage="1"/>
  </sheetPr>
  <dimension ref="A1:O47"/>
  <sheetViews>
    <sheetView view="pageBreakPreview" zoomScaleNormal="100" zoomScaleSheetLayoutView="100" workbookViewId="0">
      <selection activeCell="F21" sqref="F21"/>
    </sheetView>
  </sheetViews>
  <sheetFormatPr defaultColWidth="9" defaultRowHeight="12.75" customHeight="1" x14ac:dyDescent="0.2"/>
  <cols>
    <col min="1" max="1" width="11.33203125" customWidth="1"/>
    <col min="2" max="2" width="28.83203125" customWidth="1"/>
    <col min="3" max="3" width="11.1640625"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Oficial em Telecom / Eletrônica</v>
      </c>
      <c r="B6" s="1646"/>
      <c r="C6" s="1646"/>
      <c r="D6" s="1646"/>
      <c r="E6" s="1646"/>
      <c r="F6" s="1646"/>
      <c r="G6" s="1646"/>
      <c r="H6" s="1646"/>
      <c r="I6" s="1646"/>
      <c r="J6" s="886"/>
      <c r="K6" s="886"/>
      <c r="L6" s="886"/>
      <c r="M6" s="886"/>
      <c r="N6" s="886"/>
      <c r="O6" s="886"/>
    </row>
    <row r="7" spans="1:15" ht="33.75"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Dados!B21</f>
        <v>Oficial em Telecom / Eletrônica</v>
      </c>
      <c r="B8" s="1657"/>
      <c r="C8" s="995" t="s">
        <v>4347</v>
      </c>
      <c r="D8" s="996">
        <f>Dados!F21</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Oficial em Telecom / Eletrônica</v>
      </c>
      <c r="B9" s="1663"/>
      <c r="C9" s="1663"/>
      <c r="D9" s="1663"/>
      <c r="E9" s="988" t="s">
        <v>389</v>
      </c>
      <c r="F9" s="1649"/>
      <c r="G9" s="1649"/>
      <c r="H9" s="1651"/>
      <c r="I9" s="1653"/>
      <c r="J9" s="1665"/>
      <c r="K9" s="882">
        <f>CCT!H25</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9.25" customHeight="1" x14ac:dyDescent="0.2">
      <c r="A11" s="1660">
        <v>1</v>
      </c>
      <c r="B11" s="1661" t="str">
        <f>A8</f>
        <v>Oficial em Telecom / Eletrônica</v>
      </c>
      <c r="C11" s="1661"/>
      <c r="D11" s="238">
        <f>Dados!$C$21</f>
        <v>220</v>
      </c>
      <c r="E11" s="230">
        <f>Dados!$N$21</f>
        <v>2631.2</v>
      </c>
      <c r="F11" s="230">
        <f>ROUND(E11/220*D11,2)</f>
        <v>2631.2</v>
      </c>
      <c r="G11" s="230"/>
      <c r="H11" s="230"/>
      <c r="I11" s="1002"/>
      <c r="J11" s="756" t="s">
        <v>4363</v>
      </c>
      <c r="K11" s="442">
        <f>ROUND($F$11/$D$11*K9,2)</f>
        <v>4.66</v>
      </c>
      <c r="L11" s="442">
        <f>ROUND($F$11/$D$11*L9,2)</f>
        <v>17.940000000000001</v>
      </c>
      <c r="M11" s="442">
        <f>ROUND($F$11/$D$11*M9,2)</f>
        <v>23.92</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0.93</v>
      </c>
      <c r="L12" s="442">
        <f>ROUND($M$10/$K$10*L11,2)</f>
        <v>3.59</v>
      </c>
      <c r="M12" s="442">
        <f>ROUND($M$10/$K$10*M11,2)</f>
        <v>4.78</v>
      </c>
      <c r="N12" s="1031" t="s">
        <v>88</v>
      </c>
      <c r="O12" s="1032" t="s">
        <v>88</v>
      </c>
    </row>
    <row r="13" spans="1:15" ht="19.5" customHeight="1" x14ac:dyDescent="0.2">
      <c r="A13" s="1660"/>
      <c r="B13" s="1632" t="s">
        <v>4365</v>
      </c>
      <c r="C13" s="1632"/>
      <c r="D13" s="1632"/>
      <c r="E13" s="1632"/>
      <c r="F13" s="232">
        <f>F11+F12</f>
        <v>2631.2</v>
      </c>
      <c r="G13" s="232"/>
      <c r="H13" s="232"/>
      <c r="I13" s="233"/>
      <c r="J13" s="1019" t="s">
        <v>334</v>
      </c>
      <c r="K13" s="443">
        <f>SUM(K11:K12)</f>
        <v>5.59</v>
      </c>
      <c r="L13" s="443">
        <f>SUM(L11:L12)</f>
        <v>21.53</v>
      </c>
      <c r="M13" s="443">
        <f>SUM(M11:M12)</f>
        <v>28.700000000000003</v>
      </c>
      <c r="N13" s="443">
        <f>N9</f>
        <v>31.34</v>
      </c>
      <c r="O13" s="1020">
        <f>O9</f>
        <v>30.1</v>
      </c>
    </row>
    <row r="14" spans="1:15" ht="19.5" customHeight="1" x14ac:dyDescent="0.2">
      <c r="A14" s="1660"/>
      <c r="B14" s="1626" t="s">
        <v>4366</v>
      </c>
      <c r="C14" s="1626"/>
      <c r="D14" s="1626"/>
      <c r="E14" s="240">
        <f>Dados!G34</f>
        <v>0.76400000000000001</v>
      </c>
      <c r="F14" s="230">
        <f>(ROUND((E14*F13),2))</f>
        <v>2010.24</v>
      </c>
      <c r="G14" s="230"/>
      <c r="H14" s="230"/>
      <c r="I14" s="1002"/>
      <c r="J14" s="756" t="s">
        <v>4367</v>
      </c>
      <c r="K14" s="442">
        <f>K13*$E$14</f>
        <v>4.2707600000000001</v>
      </c>
      <c r="L14" s="442">
        <f>L13*$E$14</f>
        <v>16.448920000000001</v>
      </c>
      <c r="M14" s="442">
        <f>M13*$E$14</f>
        <v>21.926800000000004</v>
      </c>
      <c r="N14" s="1031" t="s">
        <v>88</v>
      </c>
      <c r="O14" s="1032" t="s">
        <v>88</v>
      </c>
    </row>
    <row r="15" spans="1:15" ht="24.75" customHeight="1" x14ac:dyDescent="0.2">
      <c r="A15" s="1631" t="s">
        <v>4368</v>
      </c>
      <c r="B15" s="1632"/>
      <c r="C15" s="1632"/>
      <c r="D15" s="1632"/>
      <c r="E15" s="1632"/>
      <c r="F15" s="232">
        <f>ROUND(SUM(F13:F14),2)</f>
        <v>4641.4399999999996</v>
      </c>
      <c r="G15" s="232"/>
      <c r="H15" s="232"/>
      <c r="I15" s="233"/>
      <c r="J15" s="1019" t="s">
        <v>4369</v>
      </c>
      <c r="K15" s="443">
        <f>K13+K14</f>
        <v>9.8607599999999991</v>
      </c>
      <c r="L15" s="443">
        <f>L13+L14</f>
        <v>37.978920000000002</v>
      </c>
      <c r="M15" s="443">
        <f>M13+M14</f>
        <v>50.626800000000003</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4372</v>
      </c>
      <c r="E17" s="1628"/>
      <c r="F17" s="1628"/>
      <c r="G17" s="1628"/>
      <c r="H17" s="1628"/>
      <c r="I17" s="1659"/>
      <c r="J17" s="1023"/>
      <c r="K17" s="980"/>
      <c r="L17" s="980"/>
      <c r="M17" s="980"/>
      <c r="N17" s="980"/>
      <c r="O17" s="1022"/>
    </row>
    <row r="18" spans="1:15" ht="19.5" customHeight="1" x14ac:dyDescent="0.2">
      <c r="A18" s="1386" t="s">
        <v>4373</v>
      </c>
      <c r="B18" s="1626"/>
      <c r="C18" s="235"/>
      <c r="D18" s="230">
        <f>Dados!O21</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Dados!P21</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1531.6479999999999</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6173.0879999999997</v>
      </c>
      <c r="G31" s="232">
        <f>$G$15+$G$30</f>
        <v>551.58000000000004</v>
      </c>
      <c r="H31" s="232">
        <f>$H$15+$H$30</f>
        <v>0</v>
      </c>
      <c r="I31" s="233">
        <f>$I$15+$I$30</f>
        <v>504.32800000000009</v>
      </c>
      <c r="J31" s="1019" t="s">
        <v>4381</v>
      </c>
      <c r="K31" s="443">
        <f>K15+K30</f>
        <v>9.8607599999999991</v>
      </c>
      <c r="L31" s="443">
        <f>L15+L30</f>
        <v>37.978920000000002</v>
      </c>
      <c r="M31" s="443">
        <f>M15+M30</f>
        <v>50.626800000000003</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28" t="s">
        <v>4384</v>
      </c>
      <c r="E33" s="162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308.64999999999998</v>
      </c>
      <c r="G34" s="230">
        <f>ROUND(($G$31*$D$34),2)</f>
        <v>27.58</v>
      </c>
      <c r="H34" s="230">
        <f>ROUND((H31*D34),2)</f>
        <v>0</v>
      </c>
      <c r="I34" s="1002">
        <f>ROUND(($I$31*$D$34),2)</f>
        <v>25.22</v>
      </c>
      <c r="J34" s="756" t="s">
        <v>4386</v>
      </c>
      <c r="K34" s="442">
        <f>ROUND((K31*$D$34),2)</f>
        <v>0.49</v>
      </c>
      <c r="L34" s="442">
        <f>ROUND((L31*$D$34),2)</f>
        <v>1.9</v>
      </c>
      <c r="M34" s="442">
        <f>ROUND((M31*$D$34),2)</f>
        <v>2.5299999999999998</v>
      </c>
      <c r="N34" s="442">
        <f>ROUND((N31*$D$34),2)</f>
        <v>1.57</v>
      </c>
      <c r="O34" s="1018">
        <f>ROUND((O31*$D$34),2)</f>
        <v>1.51</v>
      </c>
    </row>
    <row r="35" spans="1:15" ht="19.5" customHeight="1" x14ac:dyDescent="0.2">
      <c r="A35" s="1636" t="s">
        <v>4387</v>
      </c>
      <c r="B35" s="1637"/>
      <c r="C35" s="1637"/>
      <c r="D35" s="236"/>
      <c r="E35" s="230"/>
      <c r="F35" s="230">
        <f>$F$31+$F$34</f>
        <v>6481.7379999999994</v>
      </c>
      <c r="G35" s="230">
        <f>$G$34+$G$31</f>
        <v>579.16000000000008</v>
      </c>
      <c r="H35" s="230">
        <f>H31+H34</f>
        <v>0</v>
      </c>
      <c r="I35" s="1002">
        <f>$I$31+$I$34</f>
        <v>529.54800000000012</v>
      </c>
      <c r="J35" s="756" t="s">
        <v>4388</v>
      </c>
      <c r="K35" s="442">
        <f>K31+K34</f>
        <v>10.350759999999999</v>
      </c>
      <c r="L35" s="442">
        <f>L31+L34</f>
        <v>39.878920000000001</v>
      </c>
      <c r="M35" s="442">
        <f>M31+M34</f>
        <v>53.156800000000004</v>
      </c>
      <c r="N35" s="442">
        <f>N31+N34</f>
        <v>32.909999999999997</v>
      </c>
      <c r="O35" s="1018">
        <f>O31+O34</f>
        <v>31.610000000000003</v>
      </c>
    </row>
    <row r="36" spans="1:15" ht="19.5" customHeight="1" x14ac:dyDescent="0.2">
      <c r="A36" s="411" t="s">
        <v>447</v>
      </c>
      <c r="B36" s="235"/>
      <c r="C36" s="235"/>
      <c r="D36" s="236">
        <f>Dados!$G$54</f>
        <v>6.7900000000000002E-2</v>
      </c>
      <c r="E36" s="230">
        <f>$F$31+$F$34</f>
        <v>6481.7379999999994</v>
      </c>
      <c r="F36" s="230">
        <f>ROUND(($E$36*$D$36),2)</f>
        <v>440.11</v>
      </c>
      <c r="G36" s="230">
        <f>ROUND(($G$35*$D$36),2)</f>
        <v>39.32</v>
      </c>
      <c r="H36" s="230">
        <f>ROUND((H35*D36),2)</f>
        <v>0</v>
      </c>
      <c r="I36" s="1002">
        <f>ROUND(($I$35*$D$36),2)</f>
        <v>35.96</v>
      </c>
      <c r="J36" s="756" t="s">
        <v>447</v>
      </c>
      <c r="K36" s="442">
        <f>ROUND((K35*$D$36),2)</f>
        <v>0.7</v>
      </c>
      <c r="L36" s="442">
        <f>ROUND((L35*$D$36),2)</f>
        <v>2.71</v>
      </c>
      <c r="M36" s="442">
        <f>ROUND((M35*$D$36),2)</f>
        <v>3.61</v>
      </c>
      <c r="N36" s="442">
        <f>ROUND((N35*$D$36),2)</f>
        <v>2.23</v>
      </c>
      <c r="O36" s="1018">
        <f>ROUND((O35*$D$36),2)</f>
        <v>2.15</v>
      </c>
    </row>
    <row r="37" spans="1:15" ht="24.75" customHeight="1" x14ac:dyDescent="0.2">
      <c r="A37" s="421" t="s">
        <v>4389</v>
      </c>
      <c r="B37" s="422"/>
      <c r="C37" s="422"/>
      <c r="D37" s="237">
        <f>SUM($D$34:$D$36)</f>
        <v>0.1179</v>
      </c>
      <c r="E37" s="232"/>
      <c r="F37" s="232">
        <f>$F$34+$F$36</f>
        <v>748.76</v>
      </c>
      <c r="G37" s="232">
        <f>$G$34+$G$36</f>
        <v>66.900000000000006</v>
      </c>
      <c r="H37" s="232">
        <f>H34+H36</f>
        <v>0</v>
      </c>
      <c r="I37" s="233">
        <f>$I$34+$I$36</f>
        <v>61.18</v>
      </c>
      <c r="J37" s="1019" t="s">
        <v>4390</v>
      </c>
      <c r="K37" s="443">
        <f>K34+K36</f>
        <v>1.19</v>
      </c>
      <c r="L37" s="443">
        <f>L34+L36</f>
        <v>4.6099999999999994</v>
      </c>
      <c r="M37" s="443">
        <f>M34+M36</f>
        <v>6.14</v>
      </c>
      <c r="N37" s="443">
        <f>N34+N36</f>
        <v>3.8</v>
      </c>
      <c r="O37" s="1020">
        <f>O34+O36</f>
        <v>3.66</v>
      </c>
    </row>
    <row r="38" spans="1:15" ht="24.75" customHeight="1" x14ac:dyDescent="0.2">
      <c r="A38" s="1631" t="s">
        <v>4391</v>
      </c>
      <c r="B38" s="1632"/>
      <c r="C38" s="1632"/>
      <c r="D38" s="1632"/>
      <c r="E38" s="1632"/>
      <c r="F38" s="232">
        <f>$F$15+$F$30+$F$37</f>
        <v>6921.848</v>
      </c>
      <c r="G38" s="232">
        <f>$G$15+$G$30+$G$37</f>
        <v>618.48</v>
      </c>
      <c r="H38" s="232">
        <f>H15+H30+H37</f>
        <v>0</v>
      </c>
      <c r="I38" s="233">
        <f>$I$15+$I$30+$I$37</f>
        <v>565.50800000000004</v>
      </c>
      <c r="J38" s="1019" t="s">
        <v>4392</v>
      </c>
      <c r="K38" s="443">
        <f>K15+K30+K37</f>
        <v>11.050759999999999</v>
      </c>
      <c r="L38" s="443">
        <f>L15+L30+L37</f>
        <v>42.588920000000002</v>
      </c>
      <c r="M38" s="443">
        <f>M15+M30+M37</f>
        <v>56.766800000000003</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221.26</v>
      </c>
      <c r="G40" s="230">
        <f>ROUND(($G$45*$D$40),2)</f>
        <v>19.77</v>
      </c>
      <c r="H40" s="230">
        <f>ROUND(($H$45*$D$40),2)</f>
        <v>0</v>
      </c>
      <c r="I40" s="1002">
        <f>ROUND(($I$45*$D$40),2)</f>
        <v>18.079999999999998</v>
      </c>
      <c r="J40" s="1026" t="s">
        <v>452</v>
      </c>
      <c r="K40" s="442">
        <f>ROUND((K45*$D$40),2)</f>
        <v>0.35</v>
      </c>
      <c r="L40" s="442">
        <f>ROUND((L45*$D$40),2)</f>
        <v>1.36</v>
      </c>
      <c r="M40" s="442">
        <f>ROUND((M45*$D$40),2)</f>
        <v>1.81</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47.94</v>
      </c>
      <c r="G41" s="230">
        <f>ROUND(($G$45*$D$41),2)</f>
        <v>4.28</v>
      </c>
      <c r="H41" s="230">
        <f>ROUND(($H$45*$D$41),2)</f>
        <v>0</v>
      </c>
      <c r="I41" s="1002">
        <f>ROUND(($I$45*$D$41),2)</f>
        <v>3.92</v>
      </c>
      <c r="J41" s="1026" t="s">
        <v>454</v>
      </c>
      <c r="K41" s="442">
        <f>ROUND((K45*$D$42),2)</f>
        <v>0.28999999999999998</v>
      </c>
      <c r="L41" s="442">
        <f>ROUND((L45*$D$41),2)</f>
        <v>0.28999999999999998</v>
      </c>
      <c r="M41" s="442">
        <f>ROUND((M45*$D$41),2)</f>
        <v>0.39</v>
      </c>
      <c r="N41" s="442">
        <f>ROUND((N45*$D$41),2)</f>
        <v>0.24</v>
      </c>
      <c r="O41" s="1018">
        <f>ROUND((O45*$D$41),2)</f>
        <v>0.23</v>
      </c>
    </row>
    <row r="42" spans="1:15" ht="19.5" customHeight="1" x14ac:dyDescent="0.2">
      <c r="A42" s="411" t="s">
        <v>456</v>
      </c>
      <c r="B42" s="235"/>
      <c r="C42" s="235"/>
      <c r="D42" s="236">
        <f>Dados!$G$63</f>
        <v>2.5000000000000001E-2</v>
      </c>
      <c r="E42" s="230"/>
      <c r="F42" s="230">
        <f>ROUND(($F$45*$D$42),2)</f>
        <v>184.39</v>
      </c>
      <c r="G42" s="230">
        <f>ROUND(($G$45*$D$42),2)</f>
        <v>16.48</v>
      </c>
      <c r="H42" s="230">
        <f>ROUND(($H$45*$D$42),2)</f>
        <v>0</v>
      </c>
      <c r="I42" s="1002">
        <f>ROUND(($I$45*$D$42),2)</f>
        <v>15.06</v>
      </c>
      <c r="J42" s="1026" t="s">
        <v>456</v>
      </c>
      <c r="K42" s="442">
        <f>ROUND((K45*$D$42),2)</f>
        <v>0.28999999999999998</v>
      </c>
      <c r="L42" s="442">
        <f>ROUND((L45*$D$42),2)</f>
        <v>1.1299999999999999</v>
      </c>
      <c r="M42" s="442">
        <f>ROUND((M45*$D$42),2)</f>
        <v>1.51</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453.59</v>
      </c>
      <c r="G44" s="232">
        <f>SUM(G40:G43)</f>
        <v>40.53</v>
      </c>
      <c r="H44" s="232">
        <f>SUM(H40:H43)</f>
        <v>0</v>
      </c>
      <c r="I44" s="233">
        <f>SUM(I40:I43)</f>
        <v>37.06</v>
      </c>
      <c r="J44" s="1019" t="s">
        <v>4396</v>
      </c>
      <c r="K44" s="443">
        <f>SUM(K40:K43)</f>
        <v>0.92999999999999994</v>
      </c>
      <c r="L44" s="443">
        <f>SUM(L40:L43)</f>
        <v>2.7800000000000002</v>
      </c>
      <c r="M44" s="443">
        <f>SUM(M40:M43)</f>
        <v>3.71</v>
      </c>
      <c r="N44" s="443">
        <f>SUM(N40:N43)</f>
        <v>2.2999999999999998</v>
      </c>
      <c r="O44" s="1020">
        <f>SUM(O40:O43)</f>
        <v>2.21</v>
      </c>
    </row>
    <row r="45" spans="1:15" ht="34.5" hidden="1" customHeight="1" thickBot="1" x14ac:dyDescent="0.25">
      <c r="A45" s="1641" t="str">
        <f>A8</f>
        <v>Oficial em Telecom / Eletrônica</v>
      </c>
      <c r="B45" s="1642"/>
      <c r="C45" s="1642"/>
      <c r="D45" s="1642"/>
      <c r="E45" s="1642"/>
      <c r="F45" s="232">
        <f>ROUND($F$38/(1-$D$44),2)</f>
        <v>7375.44</v>
      </c>
      <c r="G45" s="232">
        <f>ROUND($G$38/(1-$D$44),2)</f>
        <v>659.01</v>
      </c>
      <c r="H45" s="232">
        <f>ROUND($H$38/(1-$D$44),2)</f>
        <v>0</v>
      </c>
      <c r="I45" s="233">
        <f>ROUND($I$38/(1-$D$44),2)</f>
        <v>602.57000000000005</v>
      </c>
      <c r="J45" s="1019" t="s">
        <v>585</v>
      </c>
      <c r="K45" s="443">
        <f>ROUND(K38/(1-$D$44),2)</f>
        <v>11.77</v>
      </c>
      <c r="L45" s="443">
        <f>ROUND(L38/(1-$D$44),2)</f>
        <v>45.38</v>
      </c>
      <c r="M45" s="443">
        <f>ROUND(M38/(1-$D$44),2)</f>
        <v>60.49</v>
      </c>
      <c r="N45" s="443">
        <f>ROUND(N38/(1-$D$44),2)</f>
        <v>37.44</v>
      </c>
      <c r="O45" s="1020">
        <f>ROUND(O38/(1-$D$44),2)</f>
        <v>35.97</v>
      </c>
    </row>
    <row r="46" spans="1:15" ht="30" customHeight="1" x14ac:dyDescent="0.2">
      <c r="A46" s="1643" t="str">
        <f>A8</f>
        <v>Oficial em Telecom / Eletrônica</v>
      </c>
      <c r="B46" s="1644"/>
      <c r="C46" s="1644"/>
      <c r="D46" s="1644"/>
      <c r="E46" s="1644"/>
      <c r="F46" s="984">
        <f>$F$45</f>
        <v>7375.44</v>
      </c>
      <c r="G46" s="984">
        <f>$G$45</f>
        <v>659.01</v>
      </c>
      <c r="H46" s="984">
        <f>$H$45</f>
        <v>0</v>
      </c>
      <c r="I46" s="1005">
        <f>$I$45</f>
        <v>602.57000000000005</v>
      </c>
      <c r="J46" s="1019" t="s">
        <v>585</v>
      </c>
      <c r="K46" s="446">
        <f>K45</f>
        <v>11.77</v>
      </c>
      <c r="L46" s="446">
        <f>L45</f>
        <v>45.38</v>
      </c>
      <c r="M46" s="446">
        <f>M45</f>
        <v>60.49</v>
      </c>
      <c r="N46" s="446">
        <f>N45</f>
        <v>37.44</v>
      </c>
      <c r="O46" s="1027">
        <f>O45</f>
        <v>35.97</v>
      </c>
    </row>
    <row r="47" spans="1:15" ht="29.25" customHeight="1" thickBot="1" x14ac:dyDescent="0.25">
      <c r="A47" s="1634" t="s">
        <v>4397</v>
      </c>
      <c r="B47" s="1635"/>
      <c r="C47" s="1635"/>
      <c r="D47" s="1635"/>
      <c r="E47" s="1635"/>
      <c r="F47" s="1006">
        <f>($F$46/$F$13)/100</f>
        <v>2.803070842201277E-2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B97D-61FA-42E6-AAB5-9574B1AA6DAE}">
  <sheetPr>
    <pageSetUpPr fitToPage="1"/>
  </sheetPr>
  <dimension ref="A1:O47"/>
  <sheetViews>
    <sheetView view="pageBreakPreview" zoomScaleNormal="100" zoomScaleSheetLayoutView="100" workbookViewId="0">
      <selection activeCell="L29" sqref="L29"/>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 min="11" max="11" width="9.33203125" bestFit="1" customWidth="1"/>
    <col min="12" max="13" width="10.664062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41.25" customHeight="1" thickBot="1" x14ac:dyDescent="0.25">
      <c r="A6" s="1646" t="str">
        <f>A8</f>
        <v>Oficial Encanador / Bombeiro</v>
      </c>
      <c r="B6" s="1646"/>
      <c r="C6" s="1646"/>
      <c r="D6" s="1646"/>
      <c r="E6" s="1646"/>
      <c r="F6" s="1646"/>
      <c r="G6" s="1646"/>
      <c r="H6" s="1646"/>
      <c r="I6" s="1646"/>
      <c r="J6" s="886"/>
      <c r="K6" s="886"/>
      <c r="L6" s="886"/>
      <c r="M6" s="886"/>
      <c r="N6" s="886"/>
      <c r="O6" s="886"/>
    </row>
    <row r="7" spans="1:15" ht="38.25" customHeight="1" thickBot="1" x14ac:dyDescent="0.25">
      <c r="A7" s="1647"/>
      <c r="B7" s="1647"/>
      <c r="C7" s="1647"/>
      <c r="D7" s="1647"/>
      <c r="E7" s="1647"/>
      <c r="F7" s="1647"/>
      <c r="G7" s="1647"/>
      <c r="H7" s="1647"/>
      <c r="I7" s="1647"/>
      <c r="J7" s="1666" t="s">
        <v>4344</v>
      </c>
      <c r="K7" s="1625" t="s">
        <v>4345</v>
      </c>
      <c r="L7" s="1625"/>
      <c r="M7" s="1625"/>
      <c r="N7" s="1621" t="s">
        <v>4346</v>
      </c>
      <c r="O7" s="1622"/>
    </row>
    <row r="8" spans="1:15" ht="30.75" customHeight="1" x14ac:dyDescent="0.2">
      <c r="A8" s="1656" t="str">
        <f>Dados!B22</f>
        <v>Oficial Encanador / Bombeiro</v>
      </c>
      <c r="B8" s="1657"/>
      <c r="C8" s="995" t="s">
        <v>4347</v>
      </c>
      <c r="D8" s="996">
        <f>Dados!F22</f>
        <v>2631.2</v>
      </c>
      <c r="E8" s="995"/>
      <c r="F8" s="1648" t="s">
        <v>4348</v>
      </c>
      <c r="G8" s="1648" t="s">
        <v>4349</v>
      </c>
      <c r="H8" s="1650" t="s">
        <v>4350</v>
      </c>
      <c r="I8" s="1652" t="s">
        <v>4351</v>
      </c>
      <c r="J8" s="1667"/>
      <c r="K8" s="853" t="s">
        <v>4352</v>
      </c>
      <c r="L8" s="853" t="s">
        <v>4353</v>
      </c>
      <c r="M8" s="853" t="s">
        <v>4354</v>
      </c>
      <c r="N8" s="853" t="s">
        <v>4355</v>
      </c>
      <c r="O8" s="1015" t="s">
        <v>4356</v>
      </c>
    </row>
    <row r="9" spans="1:15" ht="36" customHeight="1" x14ac:dyDescent="0.2">
      <c r="A9" s="1662" t="str">
        <f>_xlfn.CONCAT("33390.37.01 - ",A8)</f>
        <v>33390.37.01 - Oficial Encanador / Bombeiro</v>
      </c>
      <c r="B9" s="1663"/>
      <c r="C9" s="1663"/>
      <c r="D9" s="1663"/>
      <c r="E9" s="988" t="s">
        <v>389</v>
      </c>
      <c r="F9" s="1649"/>
      <c r="G9" s="1649"/>
      <c r="H9" s="1651"/>
      <c r="I9" s="1653"/>
      <c r="J9" s="1667"/>
      <c r="K9" s="882">
        <f>CCT!H26</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Oficial Encanador / Bombeiro</v>
      </c>
      <c r="C11" s="1661"/>
      <c r="D11" s="238">
        <f>Dados!$C$22</f>
        <v>220</v>
      </c>
      <c r="E11" s="230">
        <f>Dados!$N$22</f>
        <v>3279.6</v>
      </c>
      <c r="F11" s="230">
        <f>ROUND(E11/220*D11,2)</f>
        <v>3279.6</v>
      </c>
      <c r="G11" s="230"/>
      <c r="H11" s="230"/>
      <c r="I11" s="1002"/>
      <c r="J11" s="756" t="s">
        <v>4363</v>
      </c>
      <c r="K11" s="442">
        <f>ROUND($F$11/$D$11*K9,2)</f>
        <v>5.81</v>
      </c>
      <c r="L11" s="442">
        <f>ROUND($F$11/$D$11*L9,2)</f>
        <v>22.36</v>
      </c>
      <c r="M11" s="442">
        <f>ROUND($F$11/$D$11*M9,2)</f>
        <v>29.81</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1.1599999999999999</v>
      </c>
      <c r="L12" s="442">
        <f>ROUND($M$10/$K$10*L11,2)</f>
        <v>4.47</v>
      </c>
      <c r="M12" s="442">
        <f>ROUND($M$10/$K$10*M11,2)</f>
        <v>5.96</v>
      </c>
      <c r="N12" s="1031" t="s">
        <v>88</v>
      </c>
      <c r="O12" s="1032" t="s">
        <v>88</v>
      </c>
    </row>
    <row r="13" spans="1:15" ht="19.5" customHeight="1" x14ac:dyDescent="0.2">
      <c r="A13" s="1660"/>
      <c r="B13" s="1632" t="s">
        <v>4365</v>
      </c>
      <c r="C13" s="1632"/>
      <c r="D13" s="1632"/>
      <c r="E13" s="1632"/>
      <c r="F13" s="232">
        <f>F11+F12</f>
        <v>3279.6</v>
      </c>
      <c r="G13" s="232"/>
      <c r="H13" s="232"/>
      <c r="I13" s="233"/>
      <c r="J13" s="1019" t="s">
        <v>334</v>
      </c>
      <c r="K13" s="443">
        <f>SUM(K11:K12)</f>
        <v>6.97</v>
      </c>
      <c r="L13" s="443">
        <f>SUM(L11:L12)</f>
        <v>26.83</v>
      </c>
      <c r="M13" s="443">
        <f>SUM(M11:M12)</f>
        <v>35.769999999999996</v>
      </c>
      <c r="N13" s="443">
        <f>N9</f>
        <v>31.34</v>
      </c>
      <c r="O13" s="1020">
        <f>O9</f>
        <v>30.1</v>
      </c>
    </row>
    <row r="14" spans="1:15" ht="19.5" customHeight="1" x14ac:dyDescent="0.2">
      <c r="A14" s="1660"/>
      <c r="B14" s="1626" t="s">
        <v>4366</v>
      </c>
      <c r="C14" s="1626"/>
      <c r="D14" s="1626"/>
      <c r="E14" s="240">
        <f>Dados!G34</f>
        <v>0.76400000000000001</v>
      </c>
      <c r="F14" s="230">
        <f>(ROUND((E14*F13),2))</f>
        <v>2505.61</v>
      </c>
      <c r="G14" s="230"/>
      <c r="H14" s="230"/>
      <c r="I14" s="1002"/>
      <c r="J14" s="756" t="s">
        <v>4367</v>
      </c>
      <c r="K14" s="442">
        <f>K13*$E$14</f>
        <v>5.3250799999999998</v>
      </c>
      <c r="L14" s="442">
        <f>L13*$E$14</f>
        <v>20.49812</v>
      </c>
      <c r="M14" s="442">
        <f>M13*$E$14</f>
        <v>27.328279999999996</v>
      </c>
      <c r="N14" s="1031" t="s">
        <v>88</v>
      </c>
      <c r="O14" s="1032" t="s">
        <v>88</v>
      </c>
    </row>
    <row r="15" spans="1:15" ht="24.75" customHeight="1" x14ac:dyDescent="0.2">
      <c r="A15" s="1631" t="s">
        <v>4368</v>
      </c>
      <c r="B15" s="1632"/>
      <c r="C15" s="1632"/>
      <c r="D15" s="1632"/>
      <c r="E15" s="1632"/>
      <c r="F15" s="232">
        <f>ROUND(SUM(F13:F14),2)</f>
        <v>5785.21</v>
      </c>
      <c r="G15" s="232"/>
      <c r="H15" s="232"/>
      <c r="I15" s="233"/>
      <c r="J15" s="1019" t="s">
        <v>4369</v>
      </c>
      <c r="K15" s="443">
        <f>K13+K14</f>
        <v>12.295079999999999</v>
      </c>
      <c r="L15" s="443">
        <f>L13+L14</f>
        <v>47.328119999999998</v>
      </c>
      <c r="M15" s="443">
        <f>M13+M14</f>
        <v>63.098279999999988</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Dados!O22</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Dados!P22</f>
        <v>83.727500000000006</v>
      </c>
      <c r="E19" s="230"/>
      <c r="F19" s="442">
        <f>ROUND((D19),2)</f>
        <v>83.73</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1580.028</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7365.2380000000003</v>
      </c>
      <c r="G31" s="232">
        <f>$G$15+$G$30</f>
        <v>551.58000000000004</v>
      </c>
      <c r="H31" s="232">
        <f>$H$15+$H$30</f>
        <v>0</v>
      </c>
      <c r="I31" s="233">
        <f>$I$15+$I$30</f>
        <v>504.32800000000009</v>
      </c>
      <c r="J31" s="1019" t="s">
        <v>4381</v>
      </c>
      <c r="K31" s="443">
        <f>K15+K30</f>
        <v>12.295079999999999</v>
      </c>
      <c r="L31" s="443">
        <f>L15+L30</f>
        <v>47.328119999999998</v>
      </c>
      <c r="M31" s="443">
        <f>M15+M30</f>
        <v>63.098279999999988</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368.26</v>
      </c>
      <c r="G34" s="230">
        <f>ROUND(($G$31*$D$34),2)</f>
        <v>27.58</v>
      </c>
      <c r="H34" s="230">
        <f>ROUND((H31*D34),2)</f>
        <v>0</v>
      </c>
      <c r="I34" s="1002">
        <f>ROUND(($I$31*$D$34),2)</f>
        <v>25.22</v>
      </c>
      <c r="J34" s="756" t="s">
        <v>4386</v>
      </c>
      <c r="K34" s="442">
        <f>ROUND((K31*$D$34),2)</f>
        <v>0.61</v>
      </c>
      <c r="L34" s="442">
        <f>ROUND((L31*$D$34),2)</f>
        <v>2.37</v>
      </c>
      <c r="M34" s="442">
        <f>ROUND((M31*$D$34),2)</f>
        <v>3.15</v>
      </c>
      <c r="N34" s="442">
        <f>ROUND((N31*$D$34),2)</f>
        <v>1.57</v>
      </c>
      <c r="O34" s="1018">
        <f>ROUND((O31*$D$34),2)</f>
        <v>1.51</v>
      </c>
    </row>
    <row r="35" spans="1:15" ht="19.5" customHeight="1" x14ac:dyDescent="0.2">
      <c r="A35" s="1636" t="s">
        <v>4387</v>
      </c>
      <c r="B35" s="1637"/>
      <c r="C35" s="1637"/>
      <c r="D35" s="236"/>
      <c r="E35" s="230"/>
      <c r="F35" s="230">
        <f>$F$31+$F$34</f>
        <v>7733.4980000000005</v>
      </c>
      <c r="G35" s="230">
        <f>$G$34+$G$31</f>
        <v>579.16000000000008</v>
      </c>
      <c r="H35" s="230">
        <f>H31+H34</f>
        <v>0</v>
      </c>
      <c r="I35" s="1002">
        <f>$I$31+$I$34</f>
        <v>529.54800000000012</v>
      </c>
      <c r="J35" s="756" t="s">
        <v>4388</v>
      </c>
      <c r="K35" s="442">
        <f>K31+K34</f>
        <v>12.905079999999998</v>
      </c>
      <c r="L35" s="442">
        <f>L31+L34</f>
        <v>49.698119999999996</v>
      </c>
      <c r="M35" s="442">
        <f>M31+M34</f>
        <v>66.248279999999994</v>
      </c>
      <c r="N35" s="442">
        <f>N31+N34</f>
        <v>32.909999999999997</v>
      </c>
      <c r="O35" s="1018">
        <f>O31+O34</f>
        <v>31.610000000000003</v>
      </c>
    </row>
    <row r="36" spans="1:15" ht="19.5" customHeight="1" x14ac:dyDescent="0.2">
      <c r="A36" s="411" t="s">
        <v>447</v>
      </c>
      <c r="B36" s="235"/>
      <c r="C36" s="235"/>
      <c r="D36" s="236">
        <f>Dados!$G$54</f>
        <v>6.7900000000000002E-2</v>
      </c>
      <c r="E36" s="230">
        <f>$F$31+$F$34</f>
        <v>7733.4980000000005</v>
      </c>
      <c r="F36" s="230">
        <f>ROUND(($E$36*$D$36),2)</f>
        <v>525.1</v>
      </c>
      <c r="G36" s="230">
        <f>ROUND(($G$35*$D$36),2)</f>
        <v>39.32</v>
      </c>
      <c r="H36" s="230">
        <f>ROUND((H35*D36),2)</f>
        <v>0</v>
      </c>
      <c r="I36" s="1002">
        <f>ROUND(($I$35*$D$36),2)</f>
        <v>35.96</v>
      </c>
      <c r="J36" s="756" t="s">
        <v>447</v>
      </c>
      <c r="K36" s="442">
        <f>ROUND((K35*$D$36),2)</f>
        <v>0.88</v>
      </c>
      <c r="L36" s="442">
        <f>ROUND((L35*$D$36),2)</f>
        <v>3.37</v>
      </c>
      <c r="M36" s="442">
        <f>ROUND((M35*$D$36),2)</f>
        <v>4.5</v>
      </c>
      <c r="N36" s="442">
        <f>ROUND((N35*$D$36),2)</f>
        <v>2.23</v>
      </c>
      <c r="O36" s="1018">
        <f>ROUND((O35*$D$36),2)</f>
        <v>2.15</v>
      </c>
    </row>
    <row r="37" spans="1:15" ht="24.75" customHeight="1" x14ac:dyDescent="0.2">
      <c r="A37" s="421" t="s">
        <v>4389</v>
      </c>
      <c r="B37" s="422"/>
      <c r="C37" s="422"/>
      <c r="D37" s="237">
        <f>SUM($D$34:$D$36)</f>
        <v>0.1179</v>
      </c>
      <c r="E37" s="232"/>
      <c r="F37" s="232">
        <f>$F$34+$F$36</f>
        <v>893.36</v>
      </c>
      <c r="G37" s="232">
        <f>$G$34+$G$36</f>
        <v>66.900000000000006</v>
      </c>
      <c r="H37" s="232">
        <f>H34+H36</f>
        <v>0</v>
      </c>
      <c r="I37" s="233">
        <f>$I$34+$I$36</f>
        <v>61.18</v>
      </c>
      <c r="J37" s="1019" t="s">
        <v>4390</v>
      </c>
      <c r="K37" s="443">
        <f>K34+K36</f>
        <v>1.49</v>
      </c>
      <c r="L37" s="443">
        <f>L34+L36</f>
        <v>5.74</v>
      </c>
      <c r="M37" s="443">
        <f>M34+M36</f>
        <v>7.65</v>
      </c>
      <c r="N37" s="443">
        <f>N34+N36</f>
        <v>3.8</v>
      </c>
      <c r="O37" s="1020">
        <f>O34+O36</f>
        <v>3.66</v>
      </c>
    </row>
    <row r="38" spans="1:15" ht="24.75" customHeight="1" x14ac:dyDescent="0.2">
      <c r="A38" s="1631" t="s">
        <v>4391</v>
      </c>
      <c r="B38" s="1632"/>
      <c r="C38" s="1632"/>
      <c r="D38" s="1632"/>
      <c r="E38" s="1632"/>
      <c r="F38" s="232">
        <f>$F$15+$F$30+$F$37</f>
        <v>8258.598</v>
      </c>
      <c r="G38" s="232">
        <f>$G$15+$G$30+$G$37</f>
        <v>618.48</v>
      </c>
      <c r="H38" s="232">
        <f>H15+H30+H37</f>
        <v>0</v>
      </c>
      <c r="I38" s="233">
        <f>$I$15+$I$30+$I$37</f>
        <v>565.50800000000004</v>
      </c>
      <c r="J38" s="1019" t="s">
        <v>4392</v>
      </c>
      <c r="K38" s="443">
        <f>K15+K30+K37</f>
        <v>13.785079999999999</v>
      </c>
      <c r="L38" s="443">
        <f>L15+L30+L37</f>
        <v>53.06812</v>
      </c>
      <c r="M38" s="443">
        <f>M15+M30+M37</f>
        <v>70.748279999999994</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263.99</v>
      </c>
      <c r="G40" s="230">
        <f>ROUND(($G$45*$D$40),2)</f>
        <v>19.77</v>
      </c>
      <c r="H40" s="230">
        <f>ROUND(($H$45*$D$40),2)</f>
        <v>0</v>
      </c>
      <c r="I40" s="1002">
        <f>ROUND(($I$45*$D$40),2)</f>
        <v>18.079999999999998</v>
      </c>
      <c r="J40" s="1026" t="s">
        <v>452</v>
      </c>
      <c r="K40" s="442">
        <f>ROUND((K45*$D$40),2)</f>
        <v>0.44</v>
      </c>
      <c r="L40" s="442">
        <f>ROUND((L45*$D$40),2)</f>
        <v>1.7</v>
      </c>
      <c r="M40" s="442">
        <f>ROUND((M45*$D$40),2)</f>
        <v>2.2599999999999998</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57.2</v>
      </c>
      <c r="G41" s="230">
        <f>ROUND(($G$45*$D$41),2)</f>
        <v>4.28</v>
      </c>
      <c r="H41" s="230">
        <f>ROUND(($H$45*$D$41),2)</f>
        <v>0</v>
      </c>
      <c r="I41" s="1002">
        <f>ROUND(($I$45*$D$41),2)</f>
        <v>3.92</v>
      </c>
      <c r="J41" s="1026" t="s">
        <v>454</v>
      </c>
      <c r="K41" s="442">
        <f>ROUND((K45*$D$42),2)</f>
        <v>0.37</v>
      </c>
      <c r="L41" s="442">
        <f>ROUND((L45*$D$41),2)</f>
        <v>0.37</v>
      </c>
      <c r="M41" s="442">
        <f>ROUND((M45*$D$41),2)</f>
        <v>0.49</v>
      </c>
      <c r="N41" s="442">
        <f>ROUND((N45*$D$41),2)</f>
        <v>0.24</v>
      </c>
      <c r="O41" s="1018">
        <f>ROUND((O45*$D$41),2)</f>
        <v>0.23</v>
      </c>
    </row>
    <row r="42" spans="1:15" ht="19.5" customHeight="1" x14ac:dyDescent="0.2">
      <c r="A42" s="411" t="s">
        <v>456</v>
      </c>
      <c r="B42" s="235"/>
      <c r="C42" s="235"/>
      <c r="D42" s="236">
        <f>Dados!$G$63</f>
        <v>2.5000000000000001E-2</v>
      </c>
      <c r="E42" s="230"/>
      <c r="F42" s="230">
        <f>ROUND(($F$45*$D$42),2)</f>
        <v>219.99</v>
      </c>
      <c r="G42" s="230">
        <f>ROUND(($G$45*$D$42),2)</f>
        <v>16.48</v>
      </c>
      <c r="H42" s="230">
        <f>ROUND(($H$45*$D$42),2)</f>
        <v>0</v>
      </c>
      <c r="I42" s="1002">
        <f>ROUND(($I$45*$D$42),2)</f>
        <v>15.06</v>
      </c>
      <c r="J42" s="1026" t="s">
        <v>456</v>
      </c>
      <c r="K42" s="442">
        <f>ROUND((K45*$D$42),2)</f>
        <v>0.37</v>
      </c>
      <c r="L42" s="442">
        <f>ROUND((L45*$D$42),2)</f>
        <v>1.41</v>
      </c>
      <c r="M42" s="442">
        <f>ROUND((M45*$D$42),2)</f>
        <v>1.88</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541.18000000000006</v>
      </c>
      <c r="G44" s="232">
        <f>SUM(G40:G43)</f>
        <v>40.53</v>
      </c>
      <c r="H44" s="232">
        <f>SUM(H40:H43)</f>
        <v>0</v>
      </c>
      <c r="I44" s="233">
        <f>SUM(I40:I43)</f>
        <v>37.06</v>
      </c>
      <c r="J44" s="1019" t="s">
        <v>4396</v>
      </c>
      <c r="K44" s="443">
        <f>SUM(K40:K43)</f>
        <v>1.1800000000000002</v>
      </c>
      <c r="L44" s="443">
        <f>SUM(L40:L43)</f>
        <v>3.4799999999999995</v>
      </c>
      <c r="M44" s="443">
        <f>SUM(M40:M43)</f>
        <v>4.63</v>
      </c>
      <c r="N44" s="443">
        <f>SUM(N40:N43)</f>
        <v>2.2999999999999998</v>
      </c>
      <c r="O44" s="1020">
        <f>SUM(O40:O43)</f>
        <v>2.21</v>
      </c>
    </row>
    <row r="45" spans="1:15" ht="34.5" hidden="1" customHeight="1" thickBot="1" x14ac:dyDescent="0.25">
      <c r="A45" s="1641" t="str">
        <f>A8</f>
        <v>Oficial Encanador / Bombeiro</v>
      </c>
      <c r="B45" s="1642"/>
      <c r="C45" s="1642"/>
      <c r="D45" s="1642"/>
      <c r="E45" s="1642"/>
      <c r="F45" s="232">
        <f>ROUND($F$38/(1-$D$44),2)</f>
        <v>8799.7800000000007</v>
      </c>
      <c r="G45" s="232">
        <f>ROUND($G$38/(1-$D$44),2)</f>
        <v>659.01</v>
      </c>
      <c r="H45" s="232">
        <f>ROUND($H$38/(1-$D$44),2)</f>
        <v>0</v>
      </c>
      <c r="I45" s="233">
        <f>ROUND($I$38/(1-$D$44),2)</f>
        <v>602.57000000000005</v>
      </c>
      <c r="J45" s="1019" t="s">
        <v>585</v>
      </c>
      <c r="K45" s="443">
        <f>ROUND(K38/(1-$D$44),2)</f>
        <v>14.69</v>
      </c>
      <c r="L45" s="443">
        <f>ROUND(L38/(1-$D$44),2)</f>
        <v>56.55</v>
      </c>
      <c r="M45" s="443">
        <f>ROUND(M38/(1-$D$44),2)</f>
        <v>75.38</v>
      </c>
      <c r="N45" s="443">
        <f>ROUND(N38/(1-$D$44),2)</f>
        <v>37.44</v>
      </c>
      <c r="O45" s="1020">
        <f>ROUND(O38/(1-$D$44),2)</f>
        <v>35.97</v>
      </c>
    </row>
    <row r="46" spans="1:15" ht="30" customHeight="1" x14ac:dyDescent="0.2">
      <c r="A46" s="1643" t="str">
        <f>A8</f>
        <v>Oficial Encanador / Bombeiro</v>
      </c>
      <c r="B46" s="1644"/>
      <c r="C46" s="1644"/>
      <c r="D46" s="1644"/>
      <c r="E46" s="1644"/>
      <c r="F46" s="984">
        <f>$F$45</f>
        <v>8799.7800000000007</v>
      </c>
      <c r="G46" s="984">
        <f>$G$45</f>
        <v>659.01</v>
      </c>
      <c r="H46" s="984">
        <f>$H$45</f>
        <v>0</v>
      </c>
      <c r="I46" s="1005">
        <f>$I$45</f>
        <v>602.57000000000005</v>
      </c>
      <c r="J46" s="1019" t="s">
        <v>585</v>
      </c>
      <c r="K46" s="446">
        <f>K45</f>
        <v>14.69</v>
      </c>
      <c r="L46" s="446">
        <f>L45</f>
        <v>56.55</v>
      </c>
      <c r="M46" s="446">
        <f>M45</f>
        <v>75.38</v>
      </c>
      <c r="N46" s="446">
        <f>N45</f>
        <v>37.44</v>
      </c>
      <c r="O46" s="1027">
        <f>O45</f>
        <v>35.97</v>
      </c>
    </row>
    <row r="47" spans="1:15" ht="29.25" customHeight="1" thickBot="1" x14ac:dyDescent="0.25">
      <c r="A47" s="1634" t="s">
        <v>4397</v>
      </c>
      <c r="B47" s="1635"/>
      <c r="C47" s="1635"/>
      <c r="D47" s="1635"/>
      <c r="E47" s="1635"/>
      <c r="F47" s="1006">
        <f>($F$46/$F$13)/100</f>
        <v>2.6831869740212223E-2</v>
      </c>
      <c r="G47" s="1006"/>
      <c r="H47" s="1006"/>
      <c r="I47" s="1007"/>
      <c r="J47" s="1028"/>
      <c r="K47" s="1029"/>
      <c r="L47" s="1029"/>
      <c r="M47" s="1029"/>
      <c r="N47" s="1029"/>
      <c r="O47" s="1030"/>
    </row>
  </sheetData>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49" orientation="portrait" r:id="rId1"/>
  <headerFooter>
    <oddHeader>&amp;C&amp;12&amp;A</oddHeader>
    <oddFooter>&amp;C&amp;12&amp;P</oddFooter>
  </headerFooter>
  <rowBreaks count="1" manualBreakCount="1">
    <brk id="47"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67AE-B8EC-4D1E-B4DD-F19862BBBF58}">
  <sheetPr>
    <pageSetUpPr fitToPage="1"/>
  </sheetPr>
  <dimension ref="A1:O47"/>
  <sheetViews>
    <sheetView view="pageBreakPreview" zoomScaleNormal="100" zoomScaleSheetLayoutView="100" workbookViewId="0">
      <selection activeCell="R9" sqref="R9"/>
    </sheetView>
  </sheetViews>
  <sheetFormatPr defaultColWidth="9" defaultRowHeight="12.75" customHeight="1" x14ac:dyDescent="0.2"/>
  <cols>
    <col min="1" max="1" width="11.33203125" customWidth="1"/>
    <col min="2" max="2" width="31" customWidth="1"/>
    <col min="3" max="3" width="8.6640625" customWidth="1"/>
    <col min="4" max="5" width="17.5" customWidth="1"/>
    <col min="6" max="8" width="17.83203125" style="228" customWidth="1"/>
    <col min="9" max="9" width="17.83203125" customWidth="1"/>
    <col min="10" max="10" width="18.5" bestFit="1" customWidth="1"/>
  </cols>
  <sheetData>
    <row r="1" spans="1:15" ht="17.25" x14ac:dyDescent="0.3">
      <c r="A1" s="1094"/>
      <c r="B1" s="883"/>
      <c r="C1" s="874" t="s">
        <v>120</v>
      </c>
      <c r="D1" s="1095"/>
      <c r="E1" s="1095"/>
      <c r="F1" s="1096"/>
      <c r="G1" s="1096"/>
      <c r="H1" s="1096"/>
      <c r="I1" s="1097"/>
      <c r="J1" s="886"/>
      <c r="K1" s="886"/>
      <c r="L1" s="886"/>
      <c r="M1" s="886"/>
      <c r="N1" s="886"/>
      <c r="O1" s="886"/>
    </row>
    <row r="2" spans="1:15" x14ac:dyDescent="0.2">
      <c r="A2" s="1098"/>
      <c r="B2" s="884"/>
      <c r="C2" s="784" t="s">
        <v>1</v>
      </c>
      <c r="D2" s="1099"/>
      <c r="E2" s="1099"/>
      <c r="F2" s="1100"/>
      <c r="G2" s="1100"/>
      <c r="H2" s="1100"/>
      <c r="I2" s="1101"/>
      <c r="J2" s="886"/>
      <c r="K2" s="886"/>
      <c r="L2" s="886"/>
      <c r="M2" s="886"/>
      <c r="N2" s="886"/>
      <c r="O2" s="886"/>
    </row>
    <row r="3" spans="1:15" x14ac:dyDescent="0.2">
      <c r="A3" s="1098"/>
      <c r="B3" s="884"/>
      <c r="C3" s="784" t="s">
        <v>2</v>
      </c>
      <c r="D3" s="1099"/>
      <c r="E3" s="1099"/>
      <c r="F3" s="1100"/>
      <c r="G3" s="1100"/>
      <c r="H3" s="1100"/>
      <c r="I3" s="1101"/>
      <c r="J3" s="886"/>
      <c r="K3" s="886"/>
      <c r="L3" s="886"/>
      <c r="M3" s="886"/>
      <c r="N3" s="886"/>
      <c r="O3" s="886"/>
    </row>
    <row r="4" spans="1:15" ht="13.5" thickBot="1" x14ac:dyDescent="0.25">
      <c r="A4" s="1102"/>
      <c r="B4" s="1093"/>
      <c r="C4" s="1087" t="s">
        <v>493</v>
      </c>
      <c r="D4" s="1103"/>
      <c r="E4" s="1103"/>
      <c r="F4" s="1104"/>
      <c r="G4" s="1104"/>
      <c r="H4" s="1104"/>
      <c r="I4" s="1105"/>
      <c r="J4" s="886"/>
      <c r="K4" s="886"/>
      <c r="L4" s="886"/>
      <c r="M4" s="886"/>
      <c r="N4" s="886"/>
      <c r="O4" s="886"/>
    </row>
    <row r="5" spans="1:15" ht="32.25" customHeight="1" thickBot="1" x14ac:dyDescent="0.25">
      <c r="A5" s="1689" t="str">
        <f>'Resumo_1.1'!$A$5</f>
        <v>ANEXO II-1.1 – PLANILHA DE CUSTOS E FORMAÇÃO DE PREÇOS DO LICITANTE – EQUIPE RESIDENTE</v>
      </c>
      <c r="B5" s="1689"/>
      <c r="C5" s="1689"/>
      <c r="D5" s="1689"/>
      <c r="E5" s="1689"/>
      <c r="F5" s="1689"/>
      <c r="G5" s="1689"/>
      <c r="H5" s="1689"/>
      <c r="I5" s="1689"/>
      <c r="J5" s="886"/>
      <c r="K5" s="886"/>
      <c r="L5" s="886"/>
      <c r="M5" s="886"/>
      <c r="N5" s="886"/>
      <c r="O5" s="886"/>
    </row>
    <row r="6" spans="1:15" ht="32.25" customHeight="1" thickBot="1" x14ac:dyDescent="0.25">
      <c r="A6" s="1690" t="str">
        <f>A8</f>
        <v>Oficial Marceneiro</v>
      </c>
      <c r="B6" s="1690"/>
      <c r="C6" s="1690"/>
      <c r="D6" s="1690"/>
      <c r="E6" s="1690"/>
      <c r="F6" s="1690"/>
      <c r="G6" s="1690"/>
      <c r="H6" s="1690"/>
      <c r="I6" s="1690"/>
      <c r="J6" s="886"/>
      <c r="K6" s="886"/>
      <c r="L6" s="886"/>
      <c r="M6" s="886"/>
      <c r="N6" s="886"/>
      <c r="O6" s="886"/>
    </row>
    <row r="7" spans="1:15" ht="38.25" customHeight="1" thickBot="1" x14ac:dyDescent="0.25">
      <c r="A7" s="1691"/>
      <c r="B7" s="1691"/>
      <c r="C7" s="1691"/>
      <c r="D7" s="1691"/>
      <c r="E7" s="1691"/>
      <c r="F7" s="1691"/>
      <c r="G7" s="1691"/>
      <c r="H7" s="1691"/>
      <c r="I7" s="1691"/>
      <c r="J7" s="1664" t="s">
        <v>4344</v>
      </c>
      <c r="K7" s="1625" t="s">
        <v>4345</v>
      </c>
      <c r="L7" s="1625"/>
      <c r="M7" s="1625"/>
      <c r="N7" s="1621" t="s">
        <v>4346</v>
      </c>
      <c r="O7" s="1622"/>
    </row>
    <row r="8" spans="1:15" ht="30" customHeight="1" x14ac:dyDescent="0.2">
      <c r="A8" s="1700" t="str">
        <f>Dados!B23</f>
        <v>Oficial Marceneiro</v>
      </c>
      <c r="B8" s="1701"/>
      <c r="C8" s="997" t="s">
        <v>4347</v>
      </c>
      <c r="D8" s="998">
        <f>Dados!F23</f>
        <v>2631.2</v>
      </c>
      <c r="E8" s="997"/>
      <c r="F8" s="1692" t="s">
        <v>4348</v>
      </c>
      <c r="G8" s="1692" t="s">
        <v>4349</v>
      </c>
      <c r="H8" s="1694" t="s">
        <v>4350</v>
      </c>
      <c r="I8" s="1696" t="s">
        <v>4351</v>
      </c>
      <c r="J8" s="1665"/>
      <c r="K8" s="853" t="s">
        <v>4352</v>
      </c>
      <c r="L8" s="853" t="s">
        <v>4353</v>
      </c>
      <c r="M8" s="853" t="s">
        <v>4354</v>
      </c>
      <c r="N8" s="853" t="s">
        <v>4355</v>
      </c>
      <c r="O8" s="1015" t="s">
        <v>4356</v>
      </c>
    </row>
    <row r="9" spans="1:15" ht="36" customHeight="1" x14ac:dyDescent="0.2">
      <c r="A9" s="1698" t="str">
        <f>_xlfn.CONCAT("33390.37.01 - ",A8)</f>
        <v>33390.37.01 - Oficial Marceneiro</v>
      </c>
      <c r="B9" s="1699"/>
      <c r="C9" s="1699"/>
      <c r="D9" s="1699"/>
      <c r="E9" s="991" t="s">
        <v>389</v>
      </c>
      <c r="F9" s="1693"/>
      <c r="G9" s="1693"/>
      <c r="H9" s="1695"/>
      <c r="I9" s="1697"/>
      <c r="J9" s="1665"/>
      <c r="K9" s="882">
        <f>CCT!H27</f>
        <v>0.39</v>
      </c>
      <c r="L9" s="882">
        <f>100%+Dados!G94</f>
        <v>1.5</v>
      </c>
      <c r="M9" s="882">
        <f>100%+Dados!G95</f>
        <v>2</v>
      </c>
      <c r="N9" s="987">
        <f>D23</f>
        <v>31.34</v>
      </c>
      <c r="O9" s="1016">
        <f>(D21+E21)*2</f>
        <v>30.1</v>
      </c>
    </row>
    <row r="10" spans="1:15" ht="24.75" customHeight="1" x14ac:dyDescent="0.2">
      <c r="A10" s="1008" t="s">
        <v>479</v>
      </c>
      <c r="B10" s="1685" t="s">
        <v>4357</v>
      </c>
      <c r="C10" s="1685"/>
      <c r="D10" s="992" t="s">
        <v>4358</v>
      </c>
      <c r="E10" s="989" t="s">
        <v>4359</v>
      </c>
      <c r="F10" s="1686" t="s">
        <v>4360</v>
      </c>
      <c r="G10" s="1686"/>
      <c r="H10" s="1686"/>
      <c r="I10" s="1687"/>
      <c r="J10" s="1017" t="s">
        <v>4361</v>
      </c>
      <c r="K10" s="441">
        <v>25</v>
      </c>
      <c r="L10" s="415" t="s">
        <v>4362</v>
      </c>
      <c r="M10" s="441">
        <v>5</v>
      </c>
      <c r="N10" s="441" t="s">
        <v>88</v>
      </c>
      <c r="O10" s="1033" t="s">
        <v>88</v>
      </c>
    </row>
    <row r="11" spans="1:15" ht="28.5" customHeight="1" x14ac:dyDescent="0.2">
      <c r="A11" s="1702">
        <v>1</v>
      </c>
      <c r="B11" s="1703" t="str">
        <f>A8</f>
        <v>Oficial Marceneiro</v>
      </c>
      <c r="C11" s="1703"/>
      <c r="D11" s="241">
        <f>Dados!$C$23</f>
        <v>220</v>
      </c>
      <c r="E11" s="242">
        <f>Dados!$N$23</f>
        <v>2955.3999999999996</v>
      </c>
      <c r="F11" s="242">
        <f>ROUND(E11/220*D11,2)</f>
        <v>2955.4</v>
      </c>
      <c r="G11" s="242"/>
      <c r="H11" s="242"/>
      <c r="I11" s="1009"/>
      <c r="J11" s="756" t="s">
        <v>4363</v>
      </c>
      <c r="K11" s="442">
        <f>ROUND($F$11/$D$11*K9,2)</f>
        <v>5.24</v>
      </c>
      <c r="L11" s="442">
        <f>ROUND($F$11/$D$11*L9,2)</f>
        <v>20.149999999999999</v>
      </c>
      <c r="M11" s="442">
        <f>ROUND($F$11/$D$11*M9,2)</f>
        <v>26.87</v>
      </c>
      <c r="N11" s="1031" t="s">
        <v>88</v>
      </c>
      <c r="O11" s="1032" t="s">
        <v>88</v>
      </c>
    </row>
    <row r="12" spans="1:15" ht="24" customHeight="1" x14ac:dyDescent="0.2">
      <c r="A12" s="1702"/>
      <c r="B12" s="1704"/>
      <c r="C12" s="1704"/>
      <c r="D12" s="243"/>
      <c r="E12" s="993"/>
      <c r="F12" s="242">
        <f>ROUND(((E12/220*D11)*C12)*D12,2)</f>
        <v>0</v>
      </c>
      <c r="G12" s="242"/>
      <c r="H12" s="242"/>
      <c r="I12" s="1009"/>
      <c r="J12" s="756" t="s">
        <v>4364</v>
      </c>
      <c r="K12" s="442">
        <f>ROUND($M$10/$K$10*K11,2)</f>
        <v>1.05</v>
      </c>
      <c r="L12" s="442">
        <f>ROUND($M$10/$K$10*L11,2)</f>
        <v>4.03</v>
      </c>
      <c r="M12" s="442">
        <f>ROUND($M$10/$K$10*M11,2)</f>
        <v>5.37</v>
      </c>
      <c r="N12" s="1031" t="s">
        <v>88</v>
      </c>
      <c r="O12" s="1032" t="s">
        <v>88</v>
      </c>
    </row>
    <row r="13" spans="1:15" ht="19.5" customHeight="1" x14ac:dyDescent="0.2">
      <c r="A13" s="1702"/>
      <c r="B13" s="1673" t="s">
        <v>4365</v>
      </c>
      <c r="C13" s="1673"/>
      <c r="D13" s="1673"/>
      <c r="E13" s="1673"/>
      <c r="F13" s="244">
        <f>F11+F12</f>
        <v>2955.4</v>
      </c>
      <c r="G13" s="244"/>
      <c r="H13" s="244"/>
      <c r="I13" s="1010"/>
      <c r="J13" s="1019" t="s">
        <v>334</v>
      </c>
      <c r="K13" s="443">
        <f>SUM(K11:K12)</f>
        <v>6.29</v>
      </c>
      <c r="L13" s="443">
        <f>SUM(L11:L12)</f>
        <v>24.18</v>
      </c>
      <c r="M13" s="443">
        <f>SUM(M11:M12)</f>
        <v>32.24</v>
      </c>
      <c r="N13" s="443">
        <f>N9</f>
        <v>31.34</v>
      </c>
      <c r="O13" s="1020">
        <f>O9</f>
        <v>30.1</v>
      </c>
    </row>
    <row r="14" spans="1:15" ht="19.5" customHeight="1" x14ac:dyDescent="0.2">
      <c r="A14" s="1702"/>
      <c r="B14" s="1682" t="s">
        <v>4366</v>
      </c>
      <c r="C14" s="1682"/>
      <c r="D14" s="1682"/>
      <c r="E14" s="994">
        <f>Dados!G34</f>
        <v>0.76400000000000001</v>
      </c>
      <c r="F14" s="242">
        <f>(ROUND((E14*F13),2))</f>
        <v>2257.9299999999998</v>
      </c>
      <c r="G14" s="242"/>
      <c r="H14" s="242"/>
      <c r="I14" s="1009"/>
      <c r="J14" s="756" t="s">
        <v>4367</v>
      </c>
      <c r="K14" s="442">
        <f>K13*$E$14</f>
        <v>4.8055599999999998</v>
      </c>
      <c r="L14" s="442">
        <f>L13*$E$14</f>
        <v>18.473520000000001</v>
      </c>
      <c r="M14" s="442">
        <f>M13*$E$14</f>
        <v>24.631360000000001</v>
      </c>
      <c r="N14" s="1031" t="s">
        <v>88</v>
      </c>
      <c r="O14" s="1032" t="s">
        <v>88</v>
      </c>
    </row>
    <row r="15" spans="1:15" ht="24.75" customHeight="1" x14ac:dyDescent="0.2">
      <c r="A15" s="1672" t="s">
        <v>4368</v>
      </c>
      <c r="B15" s="1673"/>
      <c r="C15" s="1673"/>
      <c r="D15" s="1673"/>
      <c r="E15" s="1673"/>
      <c r="F15" s="244">
        <f>ROUND(SUM(F13:F14),2)</f>
        <v>5213.33</v>
      </c>
      <c r="G15" s="244"/>
      <c r="H15" s="244"/>
      <c r="I15" s="1010"/>
      <c r="J15" s="1019" t="s">
        <v>4369</v>
      </c>
      <c r="K15" s="443">
        <f>K13+K14</f>
        <v>11.095559999999999</v>
      </c>
      <c r="L15" s="443">
        <f>L13+L14</f>
        <v>42.65352</v>
      </c>
      <c r="M15" s="443">
        <f>M13+M14</f>
        <v>56.871360000000003</v>
      </c>
      <c r="N15" s="443">
        <f>N13</f>
        <v>31.34</v>
      </c>
      <c r="O15" s="1020">
        <f>O13</f>
        <v>30.1</v>
      </c>
    </row>
    <row r="16" spans="1:15" ht="19.5" customHeight="1" x14ac:dyDescent="0.2">
      <c r="A16" s="1674" t="s">
        <v>4370</v>
      </c>
      <c r="B16" s="1675"/>
      <c r="C16" s="1675"/>
      <c r="D16" s="1675"/>
      <c r="E16" s="1675"/>
      <c r="F16" s="1675"/>
      <c r="G16" s="1675"/>
      <c r="H16" s="1675"/>
      <c r="I16" s="1676"/>
      <c r="J16" s="1021"/>
      <c r="K16" s="445"/>
      <c r="L16" s="445"/>
      <c r="M16" s="445"/>
      <c r="N16" s="980"/>
      <c r="O16" s="1022"/>
    </row>
    <row r="17" spans="1:15" ht="19.5" customHeight="1" x14ac:dyDescent="0.2">
      <c r="A17" s="1683" t="s">
        <v>4371</v>
      </c>
      <c r="B17" s="1684"/>
      <c r="C17" s="245" t="s">
        <v>610</v>
      </c>
      <c r="D17" s="1684" t="s">
        <v>4372</v>
      </c>
      <c r="E17" s="1684"/>
      <c r="F17" s="1684"/>
      <c r="G17" s="1684"/>
      <c r="H17" s="1684"/>
      <c r="I17" s="1688"/>
      <c r="J17" s="1023"/>
      <c r="K17" s="980"/>
      <c r="L17" s="980"/>
      <c r="M17" s="980"/>
      <c r="N17" s="980"/>
      <c r="O17" s="1022"/>
    </row>
    <row r="18" spans="1:15" ht="19.5" customHeight="1" x14ac:dyDescent="0.2">
      <c r="A18" s="1681" t="s">
        <v>4373</v>
      </c>
      <c r="B18" s="1682"/>
      <c r="C18" s="246"/>
      <c r="D18" s="242">
        <f>Dados!O23</f>
        <v>64.8</v>
      </c>
      <c r="E18" s="242"/>
      <c r="F18" s="442">
        <f>ROUND((D18),2)</f>
        <v>64.8</v>
      </c>
      <c r="G18" s="230"/>
      <c r="H18" s="230"/>
      <c r="I18" s="1002"/>
      <c r="J18" s="1021"/>
      <c r="K18" s="445"/>
      <c r="L18" s="445"/>
      <c r="M18" s="445"/>
      <c r="N18" s="445"/>
      <c r="O18" s="1024"/>
    </row>
    <row r="19" spans="1:15" ht="19.5" customHeight="1" x14ac:dyDescent="0.2">
      <c r="A19" s="1681" t="s">
        <v>4374</v>
      </c>
      <c r="B19" s="1682"/>
      <c r="C19" s="246"/>
      <c r="D19" s="242">
        <f>Dados!P23</f>
        <v>124.81166666666668</v>
      </c>
      <c r="E19" s="242"/>
      <c r="F19" s="442">
        <f>ROUND((D19),2)</f>
        <v>124.81</v>
      </c>
      <c r="G19" s="230"/>
      <c r="H19" s="230"/>
      <c r="I19" s="1002"/>
      <c r="J19" s="1021"/>
      <c r="K19" s="445"/>
      <c r="L19" s="445"/>
      <c r="M19" s="445"/>
      <c r="N19" s="445"/>
      <c r="O19" s="1024"/>
    </row>
    <row r="20" spans="1:15" ht="19.5" customHeight="1" x14ac:dyDescent="0.2">
      <c r="A20" s="977" t="s">
        <v>4375</v>
      </c>
      <c r="B20" s="978"/>
      <c r="C20" s="246">
        <v>1</v>
      </c>
      <c r="D20" s="304">
        <f>VLOOKUP(A8,CCT!$A$14:$Z$30,9,FALSE)</f>
        <v>20</v>
      </c>
      <c r="E20" s="247"/>
      <c r="F20" s="442">
        <f>ROUND((C20*D20),2)</f>
        <v>20</v>
      </c>
      <c r="G20" s="230"/>
      <c r="H20" s="230"/>
      <c r="I20" s="1002"/>
      <c r="J20" s="1021"/>
      <c r="K20" s="445"/>
      <c r="L20" s="445"/>
      <c r="M20" s="445"/>
      <c r="N20" s="445"/>
      <c r="O20" s="1024"/>
    </row>
    <row r="21" spans="1:15" ht="19.5" customHeight="1" x14ac:dyDescent="0.2">
      <c r="A21" s="1681" t="s">
        <v>4398</v>
      </c>
      <c r="B21" s="1682"/>
      <c r="C21" s="242">
        <f>Dados!$G$47</f>
        <v>22</v>
      </c>
      <c r="D21" s="242">
        <f>Dados!$G$46</f>
        <v>8.8000000000000007</v>
      </c>
      <c r="E21" s="242">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681" t="s">
        <v>368</v>
      </c>
      <c r="B22" s="1682"/>
      <c r="C22" s="246">
        <v>1</v>
      </c>
      <c r="D22" s="304">
        <f>VLOOKUP(A8,CCT!$A$14:$Z$30,10,FALSE)</f>
        <v>0</v>
      </c>
      <c r="E22" s="974">
        <f>VLOOKUP(A8,CCT!$A$14:$Z$30,11,FALSE)</f>
        <v>0</v>
      </c>
      <c r="F22" s="442">
        <f>IFERROR(C22*D22*E22,C22*D22)</f>
        <v>0</v>
      </c>
      <c r="G22" s="230"/>
      <c r="H22" s="230"/>
      <c r="I22" s="1002"/>
      <c r="J22" s="756"/>
      <c r="K22" s="442"/>
      <c r="L22" s="442"/>
      <c r="M22" s="442"/>
      <c r="N22" s="442"/>
      <c r="O22" s="1018"/>
    </row>
    <row r="23" spans="1:15" ht="25.5" customHeight="1" x14ac:dyDescent="0.2">
      <c r="A23" s="1681" t="s">
        <v>371</v>
      </c>
      <c r="B23" s="1682"/>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681" t="str">
        <f>CCT!Q8</f>
        <v>Cesta Básica</v>
      </c>
      <c r="B24" s="1682"/>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681" t="str">
        <f>CCT!T8</f>
        <v>Café da Manhã</v>
      </c>
      <c r="B25" s="1682"/>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681" t="str">
        <f>CCT!X8</f>
        <v>PAF / PQM</v>
      </c>
      <c r="B26" s="1682"/>
      <c r="C26" s="242">
        <v>1</v>
      </c>
      <c r="D26" s="304">
        <f>VLOOKUP(A8,CCT!$A$14:$Z$30,24,FALSE)</f>
        <v>103.09</v>
      </c>
      <c r="E26" s="304"/>
      <c r="F26" s="230">
        <f>ROUND((C26*D26),2)</f>
        <v>103.09</v>
      </c>
      <c r="G26" s="230"/>
      <c r="H26" s="230"/>
      <c r="I26" s="1002"/>
      <c r="J26" s="756"/>
      <c r="K26" s="442"/>
      <c r="L26" s="442"/>
      <c r="M26" s="442"/>
      <c r="N26" s="442"/>
      <c r="O26" s="1018"/>
    </row>
    <row r="27" spans="1:15" ht="25.5" customHeight="1" x14ac:dyDescent="0.2">
      <c r="A27" s="1681" t="str">
        <f>CCT!Y8</f>
        <v>Outros (inserir somente com a justificativa legal)</v>
      </c>
      <c r="B27" s="1682"/>
      <c r="C27" s="242">
        <v>1</v>
      </c>
      <c r="D27" s="304">
        <f>VLOOKUP(A8,CCT!$A$14:$Z$30,25,FALSE)</f>
        <v>0</v>
      </c>
      <c r="E27" s="304"/>
      <c r="F27" s="230">
        <f>ROUND((C27*D27),2)</f>
        <v>0</v>
      </c>
      <c r="G27" s="230"/>
      <c r="H27" s="230"/>
      <c r="I27" s="1002"/>
      <c r="J27" s="756"/>
      <c r="K27" s="442"/>
      <c r="L27" s="442"/>
      <c r="M27" s="442"/>
      <c r="N27" s="442"/>
      <c r="O27" s="1018"/>
    </row>
    <row r="28" spans="1:15" ht="12.75" customHeight="1" x14ac:dyDescent="0.2">
      <c r="A28" s="1681" t="str">
        <f>CCT!Z8</f>
        <v>Outros (inserir somente com a justificativa legal)</v>
      </c>
      <c r="B28" s="1682"/>
      <c r="C28" s="242">
        <v>1</v>
      </c>
      <c r="D28" s="304">
        <f>VLOOKUP(A8,CCT!$A$14:$Z$30,26,FALSE)</f>
        <v>0</v>
      </c>
      <c r="E28" s="304"/>
      <c r="F28" s="230">
        <f>ROUND((C28*D28),2)</f>
        <v>0</v>
      </c>
      <c r="G28" s="230"/>
      <c r="H28" s="230"/>
      <c r="I28" s="1002"/>
      <c r="J28" s="756"/>
      <c r="K28" s="442"/>
      <c r="L28" s="442"/>
      <c r="M28" s="442"/>
      <c r="N28" s="442"/>
      <c r="O28" s="1018"/>
    </row>
    <row r="29" spans="1:15" ht="19.5" customHeight="1" x14ac:dyDescent="0.2">
      <c r="A29" s="1681" t="str">
        <f>Dados!B50</f>
        <v>Equipamento e Ferramentas</v>
      </c>
      <c r="B29" s="1682"/>
      <c r="C29" s="242">
        <v>1</v>
      </c>
      <c r="D29" s="304">
        <f>Dados!G50</f>
        <v>52.500112903225777</v>
      </c>
      <c r="E29" s="242"/>
      <c r="F29" s="230">
        <f>ROUND((C29*D29),2)</f>
        <v>52.5</v>
      </c>
      <c r="G29" s="230"/>
      <c r="H29" s="230"/>
      <c r="I29" s="1002"/>
      <c r="J29" s="756"/>
      <c r="K29" s="442"/>
      <c r="L29" s="442"/>
      <c r="M29" s="442"/>
      <c r="N29" s="442"/>
      <c r="O29" s="1018"/>
    </row>
    <row r="30" spans="1:15" ht="24.75" customHeight="1" x14ac:dyDescent="0.2">
      <c r="A30" s="1672" t="s">
        <v>4378</v>
      </c>
      <c r="B30" s="1673"/>
      <c r="C30" s="1673"/>
      <c r="D30" s="1673"/>
      <c r="E30" s="1673"/>
      <c r="F30" s="244">
        <f>SUM(F18:F29)</f>
        <v>1621.1079999999999</v>
      </c>
      <c r="G30" s="244">
        <f>SUM(G18:G29)</f>
        <v>551.58000000000004</v>
      </c>
      <c r="H30" s="244">
        <f>SUM($H$18:$H$29)</f>
        <v>0</v>
      </c>
      <c r="I30" s="1010">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72" t="s">
        <v>4380</v>
      </c>
      <c r="B31" s="1673"/>
      <c r="C31" s="1673"/>
      <c r="D31" s="1673"/>
      <c r="E31" s="1673"/>
      <c r="F31" s="244">
        <f>$F$15+$F$30</f>
        <v>6834.4380000000001</v>
      </c>
      <c r="G31" s="244">
        <f>$G$15+$G$30</f>
        <v>551.58000000000004</v>
      </c>
      <c r="H31" s="244">
        <f>$H$15+$H$30</f>
        <v>0</v>
      </c>
      <c r="I31" s="1010">
        <f>$I$15+$I$30</f>
        <v>504.32800000000009</v>
      </c>
      <c r="J31" s="1019" t="s">
        <v>4381</v>
      </c>
      <c r="K31" s="443">
        <f>K15+K30</f>
        <v>11.095559999999999</v>
      </c>
      <c r="L31" s="443">
        <f>L15+L30</f>
        <v>42.65352</v>
      </c>
      <c r="M31" s="443">
        <f>M15+M30</f>
        <v>56.871360000000003</v>
      </c>
      <c r="N31" s="443">
        <f>N15+N30</f>
        <v>31.34</v>
      </c>
      <c r="O31" s="1020">
        <f>O15+O30</f>
        <v>30.1</v>
      </c>
    </row>
    <row r="32" spans="1:15" ht="19.5" customHeight="1" x14ac:dyDescent="0.2">
      <c r="A32" s="1674" t="s">
        <v>4382</v>
      </c>
      <c r="B32" s="1675"/>
      <c r="C32" s="1675"/>
      <c r="D32" s="1675"/>
      <c r="E32" s="1675"/>
      <c r="F32" s="1675"/>
      <c r="G32" s="1675"/>
      <c r="H32" s="1675"/>
      <c r="I32" s="1676"/>
      <c r="J32" s="1025"/>
      <c r="K32" s="445"/>
      <c r="L32" s="445"/>
      <c r="M32" s="445"/>
      <c r="N32" s="980"/>
      <c r="O32" s="1022"/>
    </row>
    <row r="33" spans="1:15" ht="19.5" customHeight="1" x14ac:dyDescent="0.2">
      <c r="A33" s="1683" t="s">
        <v>4383</v>
      </c>
      <c r="B33" s="1684"/>
      <c r="C33" s="1684"/>
      <c r="D33" s="1685" t="s">
        <v>4384</v>
      </c>
      <c r="E33" s="1685"/>
      <c r="F33" s="1686" t="s">
        <v>4360</v>
      </c>
      <c r="G33" s="1686"/>
      <c r="H33" s="1686"/>
      <c r="I33" s="1687"/>
      <c r="J33" s="1017"/>
      <c r="K33" s="445"/>
      <c r="L33" s="445"/>
      <c r="M33" s="445"/>
      <c r="N33" s="980"/>
      <c r="O33" s="1022"/>
    </row>
    <row r="34" spans="1:15" ht="19.5" customHeight="1" x14ac:dyDescent="0.2">
      <c r="A34" s="979" t="s">
        <v>4385</v>
      </c>
      <c r="B34" s="246"/>
      <c r="C34" s="246"/>
      <c r="D34" s="247">
        <f>Dados!$G$53</f>
        <v>0.05</v>
      </c>
      <c r="E34" s="242"/>
      <c r="F34" s="242">
        <f>ROUND(($F$31*$D$34),2)</f>
        <v>341.72</v>
      </c>
      <c r="G34" s="242">
        <f>ROUND(($G$31*$D$34),2)</f>
        <v>27.58</v>
      </c>
      <c r="H34" s="242">
        <f>ROUND((H31*D34),2)</f>
        <v>0</v>
      </c>
      <c r="I34" s="1009">
        <f>ROUND(($I$31*$D$34),2)</f>
        <v>25.22</v>
      </c>
      <c r="J34" s="756" t="s">
        <v>4386</v>
      </c>
      <c r="K34" s="442">
        <f>ROUND((K31*$D$34),2)</f>
        <v>0.55000000000000004</v>
      </c>
      <c r="L34" s="442">
        <f>ROUND((L31*$D$34),2)</f>
        <v>2.13</v>
      </c>
      <c r="M34" s="442">
        <f>ROUND((M31*$D$34),2)</f>
        <v>2.84</v>
      </c>
      <c r="N34" s="442">
        <f>ROUND((N31*$D$34),2)</f>
        <v>1.57</v>
      </c>
      <c r="O34" s="1018">
        <f>ROUND((O31*$D$34),2)</f>
        <v>1.51</v>
      </c>
    </row>
    <row r="35" spans="1:15" ht="19.5" customHeight="1" x14ac:dyDescent="0.2">
      <c r="A35" s="1670" t="s">
        <v>4387</v>
      </c>
      <c r="B35" s="1671"/>
      <c r="C35" s="1671"/>
      <c r="D35" s="247"/>
      <c r="E35" s="242"/>
      <c r="F35" s="242">
        <f>$F$31+$F$34</f>
        <v>7176.1580000000004</v>
      </c>
      <c r="G35" s="242">
        <f>$G$34+$G$31</f>
        <v>579.16000000000008</v>
      </c>
      <c r="H35" s="242">
        <f>H31+H34</f>
        <v>0</v>
      </c>
      <c r="I35" s="1009">
        <f>$I$31+$I$34</f>
        <v>529.54800000000012</v>
      </c>
      <c r="J35" s="756" t="s">
        <v>4388</v>
      </c>
      <c r="K35" s="442">
        <f>K31+K34</f>
        <v>11.64556</v>
      </c>
      <c r="L35" s="442">
        <f>L31+L34</f>
        <v>44.783520000000003</v>
      </c>
      <c r="M35" s="442">
        <f>M31+M34</f>
        <v>59.711359999999999</v>
      </c>
      <c r="N35" s="442">
        <f>N31+N34</f>
        <v>32.909999999999997</v>
      </c>
      <c r="O35" s="1018">
        <f>O31+O34</f>
        <v>31.610000000000003</v>
      </c>
    </row>
    <row r="36" spans="1:15" ht="19.5" customHeight="1" x14ac:dyDescent="0.2">
      <c r="A36" s="979" t="s">
        <v>447</v>
      </c>
      <c r="B36" s="246"/>
      <c r="C36" s="246"/>
      <c r="D36" s="247">
        <f>Dados!$G$54</f>
        <v>6.7900000000000002E-2</v>
      </c>
      <c r="E36" s="242">
        <f>$F$31+$F$34</f>
        <v>7176.1580000000004</v>
      </c>
      <c r="F36" s="242">
        <f>ROUND(($E$36*$D$36),2)</f>
        <v>487.26</v>
      </c>
      <c r="G36" s="242">
        <f>ROUND(($G$35*$D$36),2)</f>
        <v>39.32</v>
      </c>
      <c r="H36" s="242">
        <f>ROUND((H35*D36),2)</f>
        <v>0</v>
      </c>
      <c r="I36" s="1009">
        <f>ROUND(($I$35*$D$36),2)</f>
        <v>35.96</v>
      </c>
      <c r="J36" s="756" t="s">
        <v>447</v>
      </c>
      <c r="K36" s="442">
        <f>ROUND((K35*$D$36),2)</f>
        <v>0.79</v>
      </c>
      <c r="L36" s="442">
        <f>ROUND((L35*$D$36),2)</f>
        <v>3.04</v>
      </c>
      <c r="M36" s="442">
        <f>ROUND((M35*$D$36),2)</f>
        <v>4.05</v>
      </c>
      <c r="N36" s="442">
        <f>ROUND((N35*$D$36),2)</f>
        <v>2.23</v>
      </c>
      <c r="O36" s="1018">
        <f>ROUND((O35*$D$36),2)</f>
        <v>2.15</v>
      </c>
    </row>
    <row r="37" spans="1:15" ht="24.75" customHeight="1" x14ac:dyDescent="0.2">
      <c r="A37" s="1011" t="s">
        <v>4389</v>
      </c>
      <c r="B37" s="985"/>
      <c r="C37" s="985"/>
      <c r="D37" s="248">
        <f>SUM($D$34:$D$36)</f>
        <v>0.1179</v>
      </c>
      <c r="E37" s="244"/>
      <c r="F37" s="244">
        <f>$F$34+$F$36</f>
        <v>828.98</v>
      </c>
      <c r="G37" s="244">
        <f>$G$34+$G$36</f>
        <v>66.900000000000006</v>
      </c>
      <c r="H37" s="244">
        <f>H34+H36</f>
        <v>0</v>
      </c>
      <c r="I37" s="1010">
        <f>$I$34+$I$36</f>
        <v>61.18</v>
      </c>
      <c r="J37" s="1019" t="s">
        <v>4390</v>
      </c>
      <c r="K37" s="443">
        <f>K34+K36</f>
        <v>1.34</v>
      </c>
      <c r="L37" s="443">
        <f>L34+L36</f>
        <v>5.17</v>
      </c>
      <c r="M37" s="443">
        <f>M34+M36</f>
        <v>6.89</v>
      </c>
      <c r="N37" s="443">
        <f>N34+N36</f>
        <v>3.8</v>
      </c>
      <c r="O37" s="1020">
        <f>O34+O36</f>
        <v>3.66</v>
      </c>
    </row>
    <row r="38" spans="1:15" ht="24.75" customHeight="1" x14ac:dyDescent="0.2">
      <c r="A38" s="1672" t="s">
        <v>4391</v>
      </c>
      <c r="B38" s="1673"/>
      <c r="C38" s="1673"/>
      <c r="D38" s="1673"/>
      <c r="E38" s="1673"/>
      <c r="F38" s="244">
        <f>$F$15+$F$30+$F$37</f>
        <v>7663.4179999999997</v>
      </c>
      <c r="G38" s="244">
        <f>$G$15+$G$30+$G$37</f>
        <v>618.48</v>
      </c>
      <c r="H38" s="244">
        <f>H15+H30+H37</f>
        <v>0</v>
      </c>
      <c r="I38" s="1010">
        <f>$I$15+$I$30+$I$37</f>
        <v>565.50800000000004</v>
      </c>
      <c r="J38" s="1019" t="s">
        <v>4392</v>
      </c>
      <c r="K38" s="443">
        <f>K15+K30+K37</f>
        <v>12.435559999999999</v>
      </c>
      <c r="L38" s="443">
        <f>L15+L30+L37</f>
        <v>47.823520000000002</v>
      </c>
      <c r="M38" s="443">
        <f>M15+M30+M37</f>
        <v>63.761360000000003</v>
      </c>
      <c r="N38" s="443">
        <f>N15+N30+N37</f>
        <v>35.14</v>
      </c>
      <c r="O38" s="1020">
        <f>O15+O30+O37</f>
        <v>33.760000000000005</v>
      </c>
    </row>
    <row r="39" spans="1:15" ht="19.5" customHeight="1" x14ac:dyDescent="0.2">
      <c r="A39" s="1674" t="s">
        <v>4393</v>
      </c>
      <c r="B39" s="1675"/>
      <c r="C39" s="1675"/>
      <c r="D39" s="1675"/>
      <c r="E39" s="1675"/>
      <c r="F39" s="1675"/>
      <c r="G39" s="1675"/>
      <c r="H39" s="1675"/>
      <c r="I39" s="1676"/>
      <c r="J39" s="1025"/>
      <c r="K39" s="445"/>
      <c r="L39" s="445"/>
      <c r="M39" s="445"/>
      <c r="N39" s="980"/>
      <c r="O39" s="1022"/>
    </row>
    <row r="40" spans="1:15" ht="19.5" customHeight="1" x14ac:dyDescent="0.2">
      <c r="A40" s="979" t="s">
        <v>452</v>
      </c>
      <c r="B40" s="246"/>
      <c r="C40" s="246"/>
      <c r="D40" s="247">
        <f>Dados!$G$61</f>
        <v>0.03</v>
      </c>
      <c r="E40" s="242"/>
      <c r="F40" s="242">
        <f>ROUND(($F$45*$D$40),2)</f>
        <v>244.97</v>
      </c>
      <c r="G40" s="242">
        <f>ROUND(($G$45*$D$40),2)</f>
        <v>19.77</v>
      </c>
      <c r="H40" s="242">
        <f>ROUND(($H$45*$D$40),2)</f>
        <v>0</v>
      </c>
      <c r="I40" s="1009">
        <f>ROUND(($I$45*$D$40),2)</f>
        <v>18.079999999999998</v>
      </c>
      <c r="J40" s="1026" t="s">
        <v>452</v>
      </c>
      <c r="K40" s="442">
        <f>ROUND((K45*$D$40),2)</f>
        <v>0.4</v>
      </c>
      <c r="L40" s="442">
        <f>ROUND((L45*$D$40),2)</f>
        <v>1.53</v>
      </c>
      <c r="M40" s="442">
        <f>ROUND((M45*$D$40),2)</f>
        <v>2.04</v>
      </c>
      <c r="N40" s="442">
        <f>ROUND((N45*$D$40),2)</f>
        <v>1.1200000000000001</v>
      </c>
      <c r="O40" s="1018">
        <f>ROUND((O45*$D$40),2)</f>
        <v>1.08</v>
      </c>
    </row>
    <row r="41" spans="1:15" ht="19.5" customHeight="1" x14ac:dyDescent="0.2">
      <c r="A41" s="979" t="s">
        <v>454</v>
      </c>
      <c r="B41" s="246"/>
      <c r="C41" s="246"/>
      <c r="D41" s="247">
        <f>Dados!$G$62</f>
        <v>6.4999999999999997E-3</v>
      </c>
      <c r="E41" s="242"/>
      <c r="F41" s="242">
        <f>ROUND(($F$45*$D$41),2)</f>
        <v>53.08</v>
      </c>
      <c r="G41" s="242">
        <f>ROUND(($G$45*$D$41),2)</f>
        <v>4.28</v>
      </c>
      <c r="H41" s="242">
        <f>ROUND(($H$45*$D$41),2)</f>
        <v>0</v>
      </c>
      <c r="I41" s="1009">
        <f>ROUND(($I$45*$D$41),2)</f>
        <v>3.92</v>
      </c>
      <c r="J41" s="1026" t="s">
        <v>454</v>
      </c>
      <c r="K41" s="442">
        <f>ROUND((K45*$D$42),2)</f>
        <v>0.33</v>
      </c>
      <c r="L41" s="442">
        <f>ROUND((L45*$D$41),2)</f>
        <v>0.33</v>
      </c>
      <c r="M41" s="442">
        <f>ROUND((M45*$D$41),2)</f>
        <v>0.44</v>
      </c>
      <c r="N41" s="442">
        <f>ROUND((N45*$D$41),2)</f>
        <v>0.24</v>
      </c>
      <c r="O41" s="1018">
        <f>ROUND((O45*$D$41),2)</f>
        <v>0.23</v>
      </c>
    </row>
    <row r="42" spans="1:15" ht="19.5" customHeight="1" x14ac:dyDescent="0.2">
      <c r="A42" s="979" t="s">
        <v>456</v>
      </c>
      <c r="B42" s="246"/>
      <c r="C42" s="246"/>
      <c r="D42" s="247">
        <f>Dados!$G$63</f>
        <v>2.5000000000000001E-2</v>
      </c>
      <c r="E42" s="242"/>
      <c r="F42" s="242">
        <f>ROUND(($F$45*$D$42),2)</f>
        <v>204.14</v>
      </c>
      <c r="G42" s="242">
        <f>ROUND(($G$45*$D$42),2)</f>
        <v>16.48</v>
      </c>
      <c r="H42" s="242">
        <f>ROUND(($H$45*$D$42),2)</f>
        <v>0</v>
      </c>
      <c r="I42" s="1009">
        <f>ROUND(($I$45*$D$42),2)</f>
        <v>15.06</v>
      </c>
      <c r="J42" s="1026" t="s">
        <v>456</v>
      </c>
      <c r="K42" s="442">
        <f>ROUND((K45*$D$42),2)</f>
        <v>0.33</v>
      </c>
      <c r="L42" s="442">
        <f>ROUND((L45*$D$42),2)</f>
        <v>1.27</v>
      </c>
      <c r="M42" s="442">
        <f>ROUND((M45*$D$42),2)</f>
        <v>1.7</v>
      </c>
      <c r="N42" s="442">
        <f>ROUND((N45*$D$42),2)</f>
        <v>0.94</v>
      </c>
      <c r="O42" s="1018">
        <f>ROUND((O45*$D$42),2)</f>
        <v>0.9</v>
      </c>
    </row>
    <row r="43" spans="1:15" ht="19.5" customHeight="1" x14ac:dyDescent="0.2">
      <c r="A43" s="979" t="str">
        <f>Dados!B64</f>
        <v>Outros (inserir somente com a justificativa legal) - não será permitido o uso da CPRB para a elaboração da proposta conforme consta no TR</v>
      </c>
      <c r="B43" s="246"/>
      <c r="C43" s="246"/>
      <c r="D43" s="247">
        <f>Dados!G64</f>
        <v>0</v>
      </c>
      <c r="E43" s="242"/>
      <c r="F43" s="242">
        <f>ROUND((F45*$D$43),2)</f>
        <v>0</v>
      </c>
      <c r="G43" s="242">
        <f>ROUND((G45*$D$43),2)</f>
        <v>0</v>
      </c>
      <c r="H43" s="242">
        <f>ROUND((H45*$D$43),2)</f>
        <v>0</v>
      </c>
      <c r="I43" s="1009">
        <f>ROUND((I45*$D$43),2)</f>
        <v>0</v>
      </c>
      <c r="J43" s="1026" t="s">
        <v>4394</v>
      </c>
      <c r="K43" s="442"/>
      <c r="L43" s="442"/>
      <c r="M43" s="442"/>
      <c r="N43" s="442"/>
      <c r="O43" s="1018"/>
    </row>
    <row r="44" spans="1:15" ht="30" customHeight="1" x14ac:dyDescent="0.2">
      <c r="A44" s="1011" t="s">
        <v>4395</v>
      </c>
      <c r="B44" s="985"/>
      <c r="C44" s="985"/>
      <c r="D44" s="248">
        <f>SUM(D40:D43)</f>
        <v>6.1499999999999999E-2</v>
      </c>
      <c r="E44" s="244"/>
      <c r="F44" s="244">
        <f>SUM(F40:F43)</f>
        <v>502.19</v>
      </c>
      <c r="G44" s="244">
        <f>SUM(G40:G43)</f>
        <v>40.53</v>
      </c>
      <c r="H44" s="244">
        <f>SUM(H40:H43)</f>
        <v>0</v>
      </c>
      <c r="I44" s="1010">
        <f>SUM(I40:I43)</f>
        <v>37.06</v>
      </c>
      <c r="J44" s="1019" t="s">
        <v>4396</v>
      </c>
      <c r="K44" s="443">
        <f>SUM(K40:K43)</f>
        <v>1.06</v>
      </c>
      <c r="L44" s="443">
        <f>SUM(L40:L43)</f>
        <v>3.13</v>
      </c>
      <c r="M44" s="443">
        <f>SUM(M40:M43)</f>
        <v>4.18</v>
      </c>
      <c r="N44" s="443">
        <f>SUM(N40:N43)</f>
        <v>2.2999999999999998</v>
      </c>
      <c r="O44" s="1020">
        <f>SUM(O40:O43)</f>
        <v>2.21</v>
      </c>
    </row>
    <row r="45" spans="1:15" ht="34.5" hidden="1" customHeight="1" thickBot="1" x14ac:dyDescent="0.25">
      <c r="A45" s="1677" t="str">
        <f>A8</f>
        <v>Oficial Marceneiro</v>
      </c>
      <c r="B45" s="1678"/>
      <c r="C45" s="1678"/>
      <c r="D45" s="1678"/>
      <c r="E45" s="1678"/>
      <c r="F45" s="244">
        <f>ROUND($F$38/(1-$D$44),2)</f>
        <v>8165.6</v>
      </c>
      <c r="G45" s="244">
        <f>ROUND($G$38/(1-$D$44),2)</f>
        <v>659.01</v>
      </c>
      <c r="H45" s="244">
        <f>ROUND($H$38/(1-$D$44),2)</f>
        <v>0</v>
      </c>
      <c r="I45" s="1010">
        <f>ROUND($I$38/(1-$D$44),2)</f>
        <v>602.57000000000005</v>
      </c>
      <c r="J45" s="1019" t="s">
        <v>585</v>
      </c>
      <c r="K45" s="443">
        <f>ROUND(K38/(1-$D$44),2)</f>
        <v>13.25</v>
      </c>
      <c r="L45" s="443">
        <f>ROUND(L38/(1-$D$44),2)</f>
        <v>50.96</v>
      </c>
      <c r="M45" s="443">
        <f>ROUND(M38/(1-$D$44),2)</f>
        <v>67.94</v>
      </c>
      <c r="N45" s="443">
        <f>ROUND(N38/(1-$D$44),2)</f>
        <v>37.44</v>
      </c>
      <c r="O45" s="1020">
        <f>ROUND(O38/(1-$D$44),2)</f>
        <v>35.97</v>
      </c>
    </row>
    <row r="46" spans="1:15" ht="30" customHeight="1" x14ac:dyDescent="0.2">
      <c r="A46" s="1679" t="str">
        <f>A8</f>
        <v>Oficial Marceneiro</v>
      </c>
      <c r="B46" s="1680"/>
      <c r="C46" s="1680"/>
      <c r="D46" s="1680"/>
      <c r="E46" s="1680"/>
      <c r="F46" s="986">
        <f>$F$45</f>
        <v>8165.6</v>
      </c>
      <c r="G46" s="986">
        <f>$G$45</f>
        <v>659.01</v>
      </c>
      <c r="H46" s="986">
        <f>$H$45</f>
        <v>0</v>
      </c>
      <c r="I46" s="1012">
        <f>$I$45</f>
        <v>602.57000000000005</v>
      </c>
      <c r="J46" s="1019" t="s">
        <v>585</v>
      </c>
      <c r="K46" s="446">
        <f>K45</f>
        <v>13.25</v>
      </c>
      <c r="L46" s="446">
        <f>L45</f>
        <v>50.96</v>
      </c>
      <c r="M46" s="446">
        <f>M45</f>
        <v>67.94</v>
      </c>
      <c r="N46" s="446">
        <f>N45</f>
        <v>37.44</v>
      </c>
      <c r="O46" s="1027">
        <f>O45</f>
        <v>35.97</v>
      </c>
    </row>
    <row r="47" spans="1:15" ht="29.25" customHeight="1" thickBot="1" x14ac:dyDescent="0.25">
      <c r="A47" s="1668" t="s">
        <v>4397</v>
      </c>
      <c r="B47" s="1669"/>
      <c r="C47" s="1669"/>
      <c r="D47" s="1669"/>
      <c r="E47" s="1669"/>
      <c r="F47" s="1013">
        <f>($F$46/$F$13)/100</f>
        <v>2.7629424105028083E-2</v>
      </c>
      <c r="G47" s="1013"/>
      <c r="H47" s="1013"/>
      <c r="I47" s="1014"/>
      <c r="J47" s="1028"/>
      <c r="K47" s="1029"/>
      <c r="L47" s="1029"/>
      <c r="M47" s="1029"/>
      <c r="N47" s="1029"/>
      <c r="O47" s="1030"/>
    </row>
  </sheetData>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C86-1420-4F1D-9688-6C1B145E8313}">
  <sheetPr>
    <pageSetUpPr fitToPage="1"/>
  </sheetPr>
  <dimension ref="A1:O47"/>
  <sheetViews>
    <sheetView view="pageBreakPreview" zoomScaleNormal="110" zoomScaleSheetLayoutView="100" workbookViewId="0">
      <selection activeCell="L5" sqref="L5"/>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27" customHeight="1" thickBot="1" x14ac:dyDescent="0.25">
      <c r="A6" s="1646" t="str">
        <f>A8</f>
        <v>Pedreiro</v>
      </c>
      <c r="B6" s="1646"/>
      <c r="C6" s="1646"/>
      <c r="D6" s="1646"/>
      <c r="E6" s="1646"/>
      <c r="F6" s="1646"/>
      <c r="G6" s="1646"/>
      <c r="H6" s="1646"/>
      <c r="I6" s="1646"/>
      <c r="J6" s="886"/>
      <c r="K6" s="886"/>
      <c r="L6" s="886"/>
      <c r="M6" s="886"/>
      <c r="N6" s="886"/>
      <c r="O6" s="886"/>
    </row>
    <row r="7" spans="1:15" ht="36.75"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Dados!B24</f>
        <v>Pedreiro</v>
      </c>
      <c r="B8" s="1657"/>
      <c r="C8" s="995" t="s">
        <v>4347</v>
      </c>
      <c r="D8" s="996">
        <f>Dados!F24</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Pedreiro</v>
      </c>
      <c r="B9" s="1663"/>
      <c r="C9" s="1663"/>
      <c r="D9" s="1663"/>
      <c r="E9" s="988" t="s">
        <v>389</v>
      </c>
      <c r="F9" s="1649"/>
      <c r="G9" s="1649"/>
      <c r="H9" s="1651"/>
      <c r="I9" s="1653"/>
      <c r="J9" s="1665"/>
      <c r="K9" s="882">
        <f>CCT!H28</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Pedreiro</v>
      </c>
      <c r="C11" s="1661"/>
      <c r="D11" s="238">
        <f>Dados!$C$24</f>
        <v>220</v>
      </c>
      <c r="E11" s="230">
        <f>Dados!$N$24</f>
        <v>2631.2</v>
      </c>
      <c r="F11" s="230">
        <f>ROUND(E11/220*D11,2)</f>
        <v>2631.2</v>
      </c>
      <c r="G11" s="230"/>
      <c r="H11" s="230"/>
      <c r="I11" s="1002"/>
      <c r="J11" s="756" t="s">
        <v>4363</v>
      </c>
      <c r="K11" s="442">
        <f>ROUND($F$11/$D$11*K9,2)</f>
        <v>4.66</v>
      </c>
      <c r="L11" s="442">
        <f>ROUND($F$11/$D$11*L9,2)</f>
        <v>17.940000000000001</v>
      </c>
      <c r="M11" s="442">
        <f>ROUND($F$11/$D$11*M9,2)</f>
        <v>23.92</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0.93</v>
      </c>
      <c r="L12" s="442">
        <f>ROUND($M$10/$K$10*L11,2)</f>
        <v>3.59</v>
      </c>
      <c r="M12" s="442">
        <f>ROUND($M$10/$K$10*M11,2)</f>
        <v>4.78</v>
      </c>
      <c r="N12" s="1031" t="s">
        <v>88</v>
      </c>
      <c r="O12" s="1032" t="s">
        <v>88</v>
      </c>
    </row>
    <row r="13" spans="1:15" ht="19.5" customHeight="1" x14ac:dyDescent="0.2">
      <c r="A13" s="1660"/>
      <c r="B13" s="1632" t="s">
        <v>4365</v>
      </c>
      <c r="C13" s="1632"/>
      <c r="D13" s="1632"/>
      <c r="E13" s="1632"/>
      <c r="F13" s="232">
        <f>F11+F12</f>
        <v>2631.2</v>
      </c>
      <c r="G13" s="232"/>
      <c r="H13" s="232"/>
      <c r="I13" s="233"/>
      <c r="J13" s="1019" t="s">
        <v>334</v>
      </c>
      <c r="K13" s="443">
        <f>SUM(K11:K12)</f>
        <v>5.59</v>
      </c>
      <c r="L13" s="443">
        <f>SUM(L11:L12)</f>
        <v>21.53</v>
      </c>
      <c r="M13" s="443">
        <f>SUM(M11:M12)</f>
        <v>28.700000000000003</v>
      </c>
      <c r="N13" s="443">
        <f>N9</f>
        <v>31.34</v>
      </c>
      <c r="O13" s="1020">
        <f>O9</f>
        <v>30.1</v>
      </c>
    </row>
    <row r="14" spans="1:15" ht="19.5" customHeight="1" x14ac:dyDescent="0.2">
      <c r="A14" s="1660"/>
      <c r="B14" s="1626" t="s">
        <v>4366</v>
      </c>
      <c r="C14" s="1626"/>
      <c r="D14" s="1626"/>
      <c r="E14" s="240">
        <f>Dados!G34</f>
        <v>0.76400000000000001</v>
      </c>
      <c r="F14" s="230">
        <f>(ROUND((E14*F13),2))</f>
        <v>2010.24</v>
      </c>
      <c r="G14" s="230"/>
      <c r="H14" s="230"/>
      <c r="I14" s="1002"/>
      <c r="J14" s="756" t="s">
        <v>4367</v>
      </c>
      <c r="K14" s="442">
        <f>K13*$E$14</f>
        <v>4.2707600000000001</v>
      </c>
      <c r="L14" s="442">
        <f>L13*$E$14</f>
        <v>16.448920000000001</v>
      </c>
      <c r="M14" s="442">
        <f>M13*$E$14</f>
        <v>21.926800000000004</v>
      </c>
      <c r="N14" s="1031" t="s">
        <v>88</v>
      </c>
      <c r="O14" s="1032" t="s">
        <v>88</v>
      </c>
    </row>
    <row r="15" spans="1:15" ht="24.75" customHeight="1" x14ac:dyDescent="0.2">
      <c r="A15" s="1631" t="s">
        <v>4368</v>
      </c>
      <c r="B15" s="1632"/>
      <c r="C15" s="1632"/>
      <c r="D15" s="1632"/>
      <c r="E15" s="1632"/>
      <c r="F15" s="232">
        <f>ROUND(SUM(F13:F14),2)</f>
        <v>4641.4399999999996</v>
      </c>
      <c r="G15" s="232"/>
      <c r="H15" s="232"/>
      <c r="I15" s="233"/>
      <c r="J15" s="1019" t="s">
        <v>4369</v>
      </c>
      <c r="K15" s="443">
        <f>K13+K14</f>
        <v>9.8607599999999991</v>
      </c>
      <c r="L15" s="443">
        <f>L13+L14</f>
        <v>37.978920000000002</v>
      </c>
      <c r="M15" s="443">
        <f>M13+M14</f>
        <v>50.626800000000003</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Dados!O24</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Dados!P24</f>
        <v>39.557499999999997</v>
      </c>
      <c r="E19" s="230"/>
      <c r="F19" s="442">
        <f>ROUND((D19),2)</f>
        <v>39.56</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1535.8579999999999</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6177.2979999999998</v>
      </c>
      <c r="G31" s="232">
        <f>$G$15+$G$30</f>
        <v>551.58000000000004</v>
      </c>
      <c r="H31" s="232">
        <f>$H$15+$H$30</f>
        <v>0</v>
      </c>
      <c r="I31" s="233">
        <f>$I$15+$I$30</f>
        <v>504.32800000000009</v>
      </c>
      <c r="J31" s="1019" t="s">
        <v>4381</v>
      </c>
      <c r="K31" s="443">
        <f>K15+K30</f>
        <v>9.8607599999999991</v>
      </c>
      <c r="L31" s="443">
        <f>L15+L30</f>
        <v>37.978920000000002</v>
      </c>
      <c r="M31" s="443">
        <f>M15+M30</f>
        <v>50.626800000000003</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308.86</v>
      </c>
      <c r="G34" s="230">
        <f>ROUND(($G$31*$D$34),2)</f>
        <v>27.58</v>
      </c>
      <c r="H34" s="230">
        <f>ROUND((H31*D34),2)</f>
        <v>0</v>
      </c>
      <c r="I34" s="1002">
        <f>ROUND(($I$31*$D$34),2)</f>
        <v>25.22</v>
      </c>
      <c r="J34" s="756" t="s">
        <v>4386</v>
      </c>
      <c r="K34" s="442">
        <f>ROUND((K31*$D$34),2)</f>
        <v>0.49</v>
      </c>
      <c r="L34" s="442">
        <f>ROUND((L31*$D$34),2)</f>
        <v>1.9</v>
      </c>
      <c r="M34" s="442">
        <f>ROUND((M31*$D$34),2)</f>
        <v>2.5299999999999998</v>
      </c>
      <c r="N34" s="442">
        <f>ROUND((N31*$D$34),2)</f>
        <v>1.57</v>
      </c>
      <c r="O34" s="1018">
        <f>ROUND((O31*$D$34),2)</f>
        <v>1.51</v>
      </c>
    </row>
    <row r="35" spans="1:15" ht="19.5" customHeight="1" x14ac:dyDescent="0.2">
      <c r="A35" s="1636" t="s">
        <v>4387</v>
      </c>
      <c r="B35" s="1637"/>
      <c r="C35" s="1637"/>
      <c r="D35" s="236"/>
      <c r="E35" s="230"/>
      <c r="F35" s="230">
        <f>$F$31+$F$34</f>
        <v>6486.1579999999994</v>
      </c>
      <c r="G35" s="230">
        <f>$G$34+$G$31</f>
        <v>579.16000000000008</v>
      </c>
      <c r="H35" s="230">
        <f>H31+H34</f>
        <v>0</v>
      </c>
      <c r="I35" s="1002">
        <f>$I$31+$I$34</f>
        <v>529.54800000000012</v>
      </c>
      <c r="J35" s="756" t="s">
        <v>4388</v>
      </c>
      <c r="K35" s="442">
        <f>K31+K34</f>
        <v>10.350759999999999</v>
      </c>
      <c r="L35" s="442">
        <f>L31+L34</f>
        <v>39.878920000000001</v>
      </c>
      <c r="M35" s="442">
        <f>M31+M34</f>
        <v>53.156800000000004</v>
      </c>
      <c r="N35" s="442">
        <f>N31+N34</f>
        <v>32.909999999999997</v>
      </c>
      <c r="O35" s="1018">
        <f>O31+O34</f>
        <v>31.610000000000003</v>
      </c>
    </row>
    <row r="36" spans="1:15" ht="19.5" customHeight="1" x14ac:dyDescent="0.2">
      <c r="A36" s="411" t="s">
        <v>447</v>
      </c>
      <c r="B36" s="235"/>
      <c r="C36" s="235"/>
      <c r="D36" s="236">
        <f>Dados!$G$54</f>
        <v>6.7900000000000002E-2</v>
      </c>
      <c r="E36" s="230">
        <f>$F$31+$F$34</f>
        <v>6486.1579999999994</v>
      </c>
      <c r="F36" s="230">
        <f>ROUND(($E$36*$D$36),2)</f>
        <v>440.41</v>
      </c>
      <c r="G36" s="230">
        <f>ROUND(($G$35*$D$36),2)</f>
        <v>39.32</v>
      </c>
      <c r="H36" s="230">
        <f>ROUND((H35*D36),2)</f>
        <v>0</v>
      </c>
      <c r="I36" s="1002">
        <f>ROUND(($I$35*$D$36),2)</f>
        <v>35.96</v>
      </c>
      <c r="J36" s="756" t="s">
        <v>447</v>
      </c>
      <c r="K36" s="442">
        <f>ROUND((K35*$D$36),2)</f>
        <v>0.7</v>
      </c>
      <c r="L36" s="442">
        <f>ROUND((L35*$D$36),2)</f>
        <v>2.71</v>
      </c>
      <c r="M36" s="442">
        <f>ROUND((M35*$D$36),2)</f>
        <v>3.61</v>
      </c>
      <c r="N36" s="442">
        <f>ROUND((N35*$D$36),2)</f>
        <v>2.23</v>
      </c>
      <c r="O36" s="1018">
        <f>ROUND((O35*$D$36),2)</f>
        <v>2.15</v>
      </c>
    </row>
    <row r="37" spans="1:15" ht="24.75" customHeight="1" x14ac:dyDescent="0.2">
      <c r="A37" s="421" t="s">
        <v>4389</v>
      </c>
      <c r="B37" s="422"/>
      <c r="C37" s="422"/>
      <c r="D37" s="237">
        <f>SUM($D$34:$D$36)</f>
        <v>0.1179</v>
      </c>
      <c r="E37" s="232"/>
      <c r="F37" s="232">
        <f>$F$34+$F$36</f>
        <v>749.27</v>
      </c>
      <c r="G37" s="232">
        <f>$G$34+$G$36</f>
        <v>66.900000000000006</v>
      </c>
      <c r="H37" s="232">
        <f>H34+H36</f>
        <v>0</v>
      </c>
      <c r="I37" s="233">
        <f>$I$34+$I$36</f>
        <v>61.18</v>
      </c>
      <c r="J37" s="1019" t="s">
        <v>4390</v>
      </c>
      <c r="K37" s="443">
        <f>K34+K36</f>
        <v>1.19</v>
      </c>
      <c r="L37" s="443">
        <f>L34+L36</f>
        <v>4.6099999999999994</v>
      </c>
      <c r="M37" s="443">
        <f>M34+M36</f>
        <v>6.14</v>
      </c>
      <c r="N37" s="443">
        <f>N34+N36</f>
        <v>3.8</v>
      </c>
      <c r="O37" s="1020">
        <f>O34+O36</f>
        <v>3.66</v>
      </c>
    </row>
    <row r="38" spans="1:15" ht="24.75" customHeight="1" x14ac:dyDescent="0.2">
      <c r="A38" s="1631" t="s">
        <v>4391</v>
      </c>
      <c r="B38" s="1632"/>
      <c r="C38" s="1632"/>
      <c r="D38" s="1632"/>
      <c r="E38" s="1632"/>
      <c r="F38" s="232">
        <f>$F$15+$F$30+$F$37</f>
        <v>6926.5679999999993</v>
      </c>
      <c r="G38" s="232">
        <f>$G$15+$G$30+$G$37</f>
        <v>618.48</v>
      </c>
      <c r="H38" s="232">
        <f>H15+H30+H37</f>
        <v>0</v>
      </c>
      <c r="I38" s="233">
        <f>$I$15+$I$30+$I$37</f>
        <v>565.50800000000004</v>
      </c>
      <c r="J38" s="1019" t="s">
        <v>4392</v>
      </c>
      <c r="K38" s="443">
        <f>K15+K30+K37</f>
        <v>11.050759999999999</v>
      </c>
      <c r="L38" s="443">
        <f>L15+L30+L37</f>
        <v>42.588920000000002</v>
      </c>
      <c r="M38" s="443">
        <f>M15+M30+M37</f>
        <v>56.766800000000003</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221.41</v>
      </c>
      <c r="G40" s="230">
        <f>ROUND(($G$45*$D$40),2)</f>
        <v>19.77</v>
      </c>
      <c r="H40" s="230">
        <f>ROUND(($H$45*$D$40),2)</f>
        <v>0</v>
      </c>
      <c r="I40" s="1002">
        <f>ROUND(($I$45*$D$40),2)</f>
        <v>18.079999999999998</v>
      </c>
      <c r="J40" s="1026" t="s">
        <v>452</v>
      </c>
      <c r="K40" s="442">
        <f>ROUND((K45*$D$40),2)</f>
        <v>0.35</v>
      </c>
      <c r="L40" s="442">
        <f>ROUND((L45*$D$40),2)</f>
        <v>1.36</v>
      </c>
      <c r="M40" s="442">
        <f>ROUND((M45*$D$40),2)</f>
        <v>1.81</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47.97</v>
      </c>
      <c r="G41" s="230">
        <f>ROUND(($G$45*$D$41),2)</f>
        <v>4.28</v>
      </c>
      <c r="H41" s="230">
        <f>ROUND(($H$45*$D$41),2)</f>
        <v>0</v>
      </c>
      <c r="I41" s="1002">
        <f>ROUND(($I$45*$D$41),2)</f>
        <v>3.92</v>
      </c>
      <c r="J41" s="1026" t="s">
        <v>454</v>
      </c>
      <c r="K41" s="442">
        <f>ROUND((K45*$D$42),2)</f>
        <v>0.28999999999999998</v>
      </c>
      <c r="L41" s="442">
        <f>ROUND((L45*$D$41),2)</f>
        <v>0.28999999999999998</v>
      </c>
      <c r="M41" s="442">
        <f>ROUND((M45*$D$41),2)</f>
        <v>0.39</v>
      </c>
      <c r="N41" s="442">
        <f>ROUND((N45*$D$41),2)</f>
        <v>0.24</v>
      </c>
      <c r="O41" s="1018">
        <f>ROUND((O45*$D$41),2)</f>
        <v>0.23</v>
      </c>
    </row>
    <row r="42" spans="1:15" ht="19.5" customHeight="1" x14ac:dyDescent="0.2">
      <c r="A42" s="411" t="s">
        <v>456</v>
      </c>
      <c r="B42" s="235"/>
      <c r="C42" s="235"/>
      <c r="D42" s="236">
        <f>Dados!$G$63</f>
        <v>2.5000000000000001E-2</v>
      </c>
      <c r="E42" s="230"/>
      <c r="F42" s="230">
        <f>ROUND(($F$45*$D$42),2)</f>
        <v>184.51</v>
      </c>
      <c r="G42" s="230">
        <f>ROUND(($G$45*$D$42),2)</f>
        <v>16.48</v>
      </c>
      <c r="H42" s="230">
        <f>ROUND(($H$45*$D$42),2)</f>
        <v>0</v>
      </c>
      <c r="I42" s="1002">
        <f>ROUND(($I$45*$D$42),2)</f>
        <v>15.06</v>
      </c>
      <c r="J42" s="1026" t="s">
        <v>456</v>
      </c>
      <c r="K42" s="442">
        <f>ROUND((K45*$D$42),2)</f>
        <v>0.28999999999999998</v>
      </c>
      <c r="L42" s="442">
        <f>ROUND((L45*$D$42),2)</f>
        <v>1.1299999999999999</v>
      </c>
      <c r="M42" s="442">
        <f>ROUND((M45*$D$42),2)</f>
        <v>1.51</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453.89</v>
      </c>
      <c r="G44" s="232">
        <f>SUM(G40:G43)</f>
        <v>40.53</v>
      </c>
      <c r="H44" s="232">
        <f>SUM(H40:H43)</f>
        <v>0</v>
      </c>
      <c r="I44" s="233">
        <f>SUM(I40:I43)</f>
        <v>37.06</v>
      </c>
      <c r="J44" s="1019" t="s">
        <v>4396</v>
      </c>
      <c r="K44" s="443">
        <f>SUM(K40:K43)</f>
        <v>0.92999999999999994</v>
      </c>
      <c r="L44" s="443">
        <f>SUM(L40:L43)</f>
        <v>2.7800000000000002</v>
      </c>
      <c r="M44" s="443">
        <f>SUM(M40:M43)</f>
        <v>3.71</v>
      </c>
      <c r="N44" s="443">
        <f>SUM(N40:N43)</f>
        <v>2.2999999999999998</v>
      </c>
      <c r="O44" s="1020">
        <f>SUM(O40:O43)</f>
        <v>2.21</v>
      </c>
    </row>
    <row r="45" spans="1:15" ht="34.5" hidden="1" customHeight="1" thickBot="1" x14ac:dyDescent="0.25">
      <c r="A45" s="1641" t="str">
        <f>A8</f>
        <v>Pedreiro</v>
      </c>
      <c r="B45" s="1642"/>
      <c r="C45" s="1642"/>
      <c r="D45" s="1642"/>
      <c r="E45" s="1642"/>
      <c r="F45" s="232">
        <f>ROUND($F$38/(1-$D$44),2)</f>
        <v>7380.47</v>
      </c>
      <c r="G45" s="232">
        <f>ROUND($G$38/(1-$D$44),2)</f>
        <v>659.01</v>
      </c>
      <c r="H45" s="232">
        <f>ROUND($H$38/(1-$D$44),2)</f>
        <v>0</v>
      </c>
      <c r="I45" s="233">
        <f>ROUND($I$38/(1-$D$44),2)</f>
        <v>602.57000000000005</v>
      </c>
      <c r="J45" s="1019" t="s">
        <v>585</v>
      </c>
      <c r="K45" s="443">
        <f>ROUND(K38/(1-$D$44),2)</f>
        <v>11.77</v>
      </c>
      <c r="L45" s="443">
        <f>ROUND(L38/(1-$D$44),2)</f>
        <v>45.38</v>
      </c>
      <c r="M45" s="443">
        <f>ROUND(M38/(1-$D$44),2)</f>
        <v>60.49</v>
      </c>
      <c r="N45" s="443">
        <f>ROUND(N38/(1-$D$44),2)</f>
        <v>37.44</v>
      </c>
      <c r="O45" s="1020">
        <f>ROUND(O38/(1-$D$44),2)</f>
        <v>35.97</v>
      </c>
    </row>
    <row r="46" spans="1:15" ht="30" customHeight="1" x14ac:dyDescent="0.2">
      <c r="A46" s="1643" t="str">
        <f>A8</f>
        <v>Pedreiro</v>
      </c>
      <c r="B46" s="1644"/>
      <c r="C46" s="1644"/>
      <c r="D46" s="1644"/>
      <c r="E46" s="1644"/>
      <c r="F46" s="984">
        <f>$F$45</f>
        <v>7380.47</v>
      </c>
      <c r="G46" s="984">
        <f>$G$45</f>
        <v>659.01</v>
      </c>
      <c r="H46" s="984">
        <f>$H$45</f>
        <v>0</v>
      </c>
      <c r="I46" s="1005">
        <f>$I$45</f>
        <v>602.57000000000005</v>
      </c>
      <c r="J46" s="1019" t="s">
        <v>585</v>
      </c>
      <c r="K46" s="446">
        <f>K45</f>
        <v>11.77</v>
      </c>
      <c r="L46" s="446">
        <f>L45</f>
        <v>45.38</v>
      </c>
      <c r="M46" s="446">
        <f>M45</f>
        <v>60.49</v>
      </c>
      <c r="N46" s="446">
        <f>N45</f>
        <v>37.44</v>
      </c>
      <c r="O46" s="1027">
        <f>O45</f>
        <v>35.97</v>
      </c>
    </row>
    <row r="47" spans="1:15" ht="29.25" customHeight="1" thickBot="1" x14ac:dyDescent="0.25">
      <c r="A47" s="1634" t="s">
        <v>4397</v>
      </c>
      <c r="B47" s="1635"/>
      <c r="C47" s="1635"/>
      <c r="D47" s="1635"/>
      <c r="E47" s="1635"/>
      <c r="F47" s="1006">
        <f>($F$46/$F$13)/100</f>
        <v>2.8049825174825176E-2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566A-939A-4C0D-B0D2-03CB2EDD9D7A}">
  <sheetPr>
    <pageSetUpPr fitToPage="1"/>
  </sheetPr>
  <dimension ref="A1:O47"/>
  <sheetViews>
    <sheetView view="pageBreakPreview" zoomScaleNormal="100" zoomScaleSheetLayoutView="100" workbookViewId="0">
      <selection activeCell="R7" sqref="R7"/>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Serralheiro</v>
      </c>
      <c r="B6" s="1646"/>
      <c r="C6" s="1646"/>
      <c r="D6" s="1646"/>
      <c r="E6" s="1646"/>
      <c r="F6" s="1646"/>
      <c r="G6" s="1646"/>
      <c r="H6" s="1646"/>
      <c r="I6" s="1646"/>
      <c r="J6" s="886"/>
      <c r="K6" s="886"/>
      <c r="L6" s="886"/>
      <c r="M6" s="886"/>
      <c r="N6" s="886"/>
      <c r="O6" s="886"/>
    </row>
    <row r="7" spans="1:15" ht="36.75"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0" customHeight="1" x14ac:dyDescent="0.2">
      <c r="A8" s="1656" t="str">
        <f>Dados!B25</f>
        <v>Serralheiro</v>
      </c>
      <c r="B8" s="1657"/>
      <c r="C8" s="995" t="s">
        <v>4347</v>
      </c>
      <c r="D8" s="996">
        <f>Dados!F25</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Serralheiro</v>
      </c>
      <c r="B9" s="1663"/>
      <c r="C9" s="1663"/>
      <c r="D9" s="1663"/>
      <c r="E9" s="988" t="s">
        <v>389</v>
      </c>
      <c r="F9" s="1649"/>
      <c r="G9" s="1649"/>
      <c r="H9" s="1651"/>
      <c r="I9" s="1653"/>
      <c r="J9" s="1665"/>
      <c r="K9" s="882">
        <f>CCT!H29</f>
        <v>0.39</v>
      </c>
      <c r="L9" s="882">
        <f>100%+Dados!G94</f>
        <v>1.5</v>
      </c>
      <c r="M9" s="882">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Serralheiro</v>
      </c>
      <c r="C11" s="1661"/>
      <c r="D11" s="238">
        <f>Dados!$C$24</f>
        <v>220</v>
      </c>
      <c r="E11" s="230">
        <f>Dados!$N$25</f>
        <v>2631.2</v>
      </c>
      <c r="F11" s="230">
        <f>ROUND(E11/220*D11,2)</f>
        <v>2631.2</v>
      </c>
      <c r="G11" s="230"/>
      <c r="H11" s="230"/>
      <c r="I11" s="1002"/>
      <c r="J11" s="756" t="s">
        <v>4363</v>
      </c>
      <c r="K11" s="442">
        <f>ROUND($F$11/$D$11*K9,2)</f>
        <v>4.66</v>
      </c>
      <c r="L11" s="442">
        <f>ROUND($F$11/$D$11*L9,2)</f>
        <v>17.940000000000001</v>
      </c>
      <c r="M11" s="442">
        <f>ROUND($F$11/$D$11*M9,2)</f>
        <v>23.92</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0.93</v>
      </c>
      <c r="L12" s="442">
        <f>ROUND($M$10/$K$10*L11,2)</f>
        <v>3.59</v>
      </c>
      <c r="M12" s="442">
        <f>ROUND($M$10/$K$10*M11,2)</f>
        <v>4.78</v>
      </c>
      <c r="N12" s="1031" t="s">
        <v>88</v>
      </c>
      <c r="O12" s="1032" t="s">
        <v>88</v>
      </c>
    </row>
    <row r="13" spans="1:15" ht="19.5" customHeight="1" x14ac:dyDescent="0.2">
      <c r="A13" s="1660"/>
      <c r="B13" s="1632" t="s">
        <v>4365</v>
      </c>
      <c r="C13" s="1632"/>
      <c r="D13" s="1632"/>
      <c r="E13" s="1632"/>
      <c r="F13" s="232">
        <f>F11+F12</f>
        <v>2631.2</v>
      </c>
      <c r="G13" s="232"/>
      <c r="H13" s="232"/>
      <c r="I13" s="233"/>
      <c r="J13" s="1019" t="s">
        <v>334</v>
      </c>
      <c r="K13" s="443">
        <f>SUM(K11:K12)</f>
        <v>5.59</v>
      </c>
      <c r="L13" s="443">
        <f>SUM(L11:L12)</f>
        <v>21.53</v>
      </c>
      <c r="M13" s="443">
        <f>SUM(M11:M12)</f>
        <v>28.700000000000003</v>
      </c>
      <c r="N13" s="443">
        <f>N9</f>
        <v>31.34</v>
      </c>
      <c r="O13" s="1020">
        <f>O9</f>
        <v>30.1</v>
      </c>
    </row>
    <row r="14" spans="1:15" ht="19.5" customHeight="1" x14ac:dyDescent="0.2">
      <c r="A14" s="1660"/>
      <c r="B14" s="1626" t="s">
        <v>4366</v>
      </c>
      <c r="C14" s="1626"/>
      <c r="D14" s="1626"/>
      <c r="E14" s="240">
        <f>Dados!G34</f>
        <v>0.76400000000000001</v>
      </c>
      <c r="F14" s="230">
        <f>(ROUND((E14*F13),2))</f>
        <v>2010.24</v>
      </c>
      <c r="G14" s="230"/>
      <c r="H14" s="230"/>
      <c r="I14" s="1002"/>
      <c r="J14" s="756" t="s">
        <v>4367</v>
      </c>
      <c r="K14" s="442">
        <f>K13*$E$14</f>
        <v>4.2707600000000001</v>
      </c>
      <c r="L14" s="442">
        <f>L13*$E$14</f>
        <v>16.448920000000001</v>
      </c>
      <c r="M14" s="442">
        <f>M13*$E$14</f>
        <v>21.926800000000004</v>
      </c>
      <c r="N14" s="1031" t="s">
        <v>88</v>
      </c>
      <c r="O14" s="1032" t="s">
        <v>88</v>
      </c>
    </row>
    <row r="15" spans="1:15" ht="24.75" customHeight="1" x14ac:dyDescent="0.2">
      <c r="A15" s="1631" t="s">
        <v>4368</v>
      </c>
      <c r="B15" s="1632"/>
      <c r="C15" s="1632"/>
      <c r="D15" s="1632"/>
      <c r="E15" s="1632"/>
      <c r="F15" s="232">
        <f>ROUND(SUM(F13:F14),2)</f>
        <v>4641.4399999999996</v>
      </c>
      <c r="G15" s="232"/>
      <c r="H15" s="232"/>
      <c r="I15" s="233"/>
      <c r="J15" s="1019" t="s">
        <v>4369</v>
      </c>
      <c r="K15" s="443">
        <f>K13+K14</f>
        <v>9.8607599999999991</v>
      </c>
      <c r="L15" s="443">
        <f>L13+L14</f>
        <v>37.978920000000002</v>
      </c>
      <c r="M15" s="443">
        <f>M13+M14</f>
        <v>50.626800000000003</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Dados!O25</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Dados!P25</f>
        <v>52.609166666666674</v>
      </c>
      <c r="E19" s="230"/>
      <c r="F19" s="442">
        <f>ROUND((D19),2)</f>
        <v>52.61</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1548.9080000000001</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6190.348</v>
      </c>
      <c r="G31" s="232">
        <f>$G$15+$G$30</f>
        <v>551.58000000000004</v>
      </c>
      <c r="H31" s="232">
        <f>$H$15+$H$30</f>
        <v>0</v>
      </c>
      <c r="I31" s="233">
        <f>$I$15+$I$30</f>
        <v>504.32800000000009</v>
      </c>
      <c r="J31" s="1019" t="s">
        <v>4381</v>
      </c>
      <c r="K31" s="443">
        <f>K15+K30</f>
        <v>9.8607599999999991</v>
      </c>
      <c r="L31" s="443">
        <f>L15+L30</f>
        <v>37.978920000000002</v>
      </c>
      <c r="M31" s="443">
        <f>M15+M30</f>
        <v>50.626800000000003</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309.52</v>
      </c>
      <c r="G34" s="230">
        <f>ROUND(($G$31*$D$34),2)</f>
        <v>27.58</v>
      </c>
      <c r="H34" s="230">
        <f>ROUND((H31*D34),2)</f>
        <v>0</v>
      </c>
      <c r="I34" s="1002">
        <f>ROUND(($I$31*$D$34),2)</f>
        <v>25.22</v>
      </c>
      <c r="J34" s="756" t="s">
        <v>4386</v>
      </c>
      <c r="K34" s="442">
        <f>ROUND((K31*$D$34),2)</f>
        <v>0.49</v>
      </c>
      <c r="L34" s="442">
        <f>ROUND((L31*$D$34),2)</f>
        <v>1.9</v>
      </c>
      <c r="M34" s="442">
        <f>ROUND((M31*$D$34),2)</f>
        <v>2.5299999999999998</v>
      </c>
      <c r="N34" s="442">
        <f>ROUND((N31*$D$34),2)</f>
        <v>1.57</v>
      </c>
      <c r="O34" s="1018">
        <f>ROUND((O31*$D$34),2)</f>
        <v>1.51</v>
      </c>
    </row>
    <row r="35" spans="1:15" ht="19.5" customHeight="1" x14ac:dyDescent="0.2">
      <c r="A35" s="1636" t="s">
        <v>4387</v>
      </c>
      <c r="B35" s="1637"/>
      <c r="C35" s="1637"/>
      <c r="D35" s="236"/>
      <c r="E35" s="230"/>
      <c r="F35" s="230">
        <f>$F$31+$F$34</f>
        <v>6499.8680000000004</v>
      </c>
      <c r="G35" s="230">
        <f>$G$34+$G$31</f>
        <v>579.16000000000008</v>
      </c>
      <c r="H35" s="230">
        <f>H31+H34</f>
        <v>0</v>
      </c>
      <c r="I35" s="1002">
        <f>$I$31+$I$34</f>
        <v>529.54800000000012</v>
      </c>
      <c r="J35" s="756" t="s">
        <v>4388</v>
      </c>
      <c r="K35" s="442">
        <f>K31+K34</f>
        <v>10.350759999999999</v>
      </c>
      <c r="L35" s="442">
        <f>L31+L34</f>
        <v>39.878920000000001</v>
      </c>
      <c r="M35" s="442">
        <f>M31+M34</f>
        <v>53.156800000000004</v>
      </c>
      <c r="N35" s="442">
        <f>N31+N34</f>
        <v>32.909999999999997</v>
      </c>
      <c r="O35" s="1018">
        <f>O31+O34</f>
        <v>31.610000000000003</v>
      </c>
    </row>
    <row r="36" spans="1:15" ht="19.5" customHeight="1" x14ac:dyDescent="0.2">
      <c r="A36" s="411" t="s">
        <v>447</v>
      </c>
      <c r="B36" s="235"/>
      <c r="C36" s="235"/>
      <c r="D36" s="236">
        <f>Dados!$G$54</f>
        <v>6.7900000000000002E-2</v>
      </c>
      <c r="E36" s="230">
        <f>$F$31+$F$34</f>
        <v>6499.8680000000004</v>
      </c>
      <c r="F36" s="230">
        <f>ROUND(($E$36*$D$36),2)</f>
        <v>441.34</v>
      </c>
      <c r="G36" s="230">
        <f>ROUND(($G$35*$D$36),2)</f>
        <v>39.32</v>
      </c>
      <c r="H36" s="230">
        <f>ROUND((H35*D36),2)</f>
        <v>0</v>
      </c>
      <c r="I36" s="1002">
        <f>ROUND(($I$35*$D$36),2)</f>
        <v>35.96</v>
      </c>
      <c r="J36" s="756" t="s">
        <v>447</v>
      </c>
      <c r="K36" s="442">
        <f>ROUND((K35*$D$36),2)</f>
        <v>0.7</v>
      </c>
      <c r="L36" s="442">
        <f>ROUND((L35*$D$36),2)</f>
        <v>2.71</v>
      </c>
      <c r="M36" s="442">
        <f>ROUND((M35*$D$36),2)</f>
        <v>3.61</v>
      </c>
      <c r="N36" s="442">
        <f>ROUND((N35*$D$36),2)</f>
        <v>2.23</v>
      </c>
      <c r="O36" s="1018">
        <f>ROUND((O35*$D$36),2)</f>
        <v>2.15</v>
      </c>
    </row>
    <row r="37" spans="1:15" ht="24.75" customHeight="1" x14ac:dyDescent="0.2">
      <c r="A37" s="421" t="s">
        <v>4389</v>
      </c>
      <c r="B37" s="422"/>
      <c r="C37" s="422"/>
      <c r="D37" s="237">
        <f>SUM($D$34:$D$36)</f>
        <v>0.1179</v>
      </c>
      <c r="E37" s="232"/>
      <c r="F37" s="232">
        <f>$F$34+$F$36</f>
        <v>750.8599999999999</v>
      </c>
      <c r="G37" s="232">
        <f>$G$34+$G$36</f>
        <v>66.900000000000006</v>
      </c>
      <c r="H37" s="232">
        <f>H34+H36</f>
        <v>0</v>
      </c>
      <c r="I37" s="233">
        <f>$I$34+$I$36</f>
        <v>61.18</v>
      </c>
      <c r="J37" s="1019" t="s">
        <v>4390</v>
      </c>
      <c r="K37" s="443">
        <f>K34+K36</f>
        <v>1.19</v>
      </c>
      <c r="L37" s="443">
        <f>L34+L36</f>
        <v>4.6099999999999994</v>
      </c>
      <c r="M37" s="443">
        <f>M34+M36</f>
        <v>6.14</v>
      </c>
      <c r="N37" s="443">
        <f>N34+N36</f>
        <v>3.8</v>
      </c>
      <c r="O37" s="1020">
        <f>O34+O36</f>
        <v>3.66</v>
      </c>
    </row>
    <row r="38" spans="1:15" ht="24.75" customHeight="1" x14ac:dyDescent="0.2">
      <c r="A38" s="1631" t="s">
        <v>4391</v>
      </c>
      <c r="B38" s="1632"/>
      <c r="C38" s="1632"/>
      <c r="D38" s="1632"/>
      <c r="E38" s="1632"/>
      <c r="F38" s="232">
        <f>$F$15+$F$30+$F$37</f>
        <v>6941.2079999999996</v>
      </c>
      <c r="G38" s="232">
        <f>$G$15+$G$30+$G$37</f>
        <v>618.48</v>
      </c>
      <c r="H38" s="232">
        <f>H15+H30+H37</f>
        <v>0</v>
      </c>
      <c r="I38" s="233">
        <f>$I$15+$I$30+$I$37</f>
        <v>565.50800000000004</v>
      </c>
      <c r="J38" s="1019" t="s">
        <v>4392</v>
      </c>
      <c r="K38" s="443">
        <f>K15+K30+K37</f>
        <v>11.050759999999999</v>
      </c>
      <c r="L38" s="443">
        <f>L15+L30+L37</f>
        <v>42.588920000000002</v>
      </c>
      <c r="M38" s="443">
        <f>M15+M30+M37</f>
        <v>56.766800000000003</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221.88</v>
      </c>
      <c r="G40" s="230">
        <f>ROUND(($G$45*$D$40),2)</f>
        <v>19.77</v>
      </c>
      <c r="H40" s="230">
        <f>ROUND(($H$45*$D$40),2)</f>
        <v>0</v>
      </c>
      <c r="I40" s="1002">
        <f>ROUND(($I$45*$D$40),2)</f>
        <v>18.079999999999998</v>
      </c>
      <c r="J40" s="1026" t="s">
        <v>452</v>
      </c>
      <c r="K40" s="442">
        <f>ROUND((K45*$D$40),2)</f>
        <v>0.35</v>
      </c>
      <c r="L40" s="442">
        <f>ROUND((L45*$D$40),2)</f>
        <v>1.36</v>
      </c>
      <c r="M40" s="442">
        <f>ROUND((M45*$D$40),2)</f>
        <v>1.81</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48.07</v>
      </c>
      <c r="G41" s="230">
        <f>ROUND(($G$45*$D$41),2)</f>
        <v>4.28</v>
      </c>
      <c r="H41" s="230">
        <f>ROUND(($H$45*$D$41),2)</f>
        <v>0</v>
      </c>
      <c r="I41" s="1002">
        <f>ROUND(($I$45*$D$41),2)</f>
        <v>3.92</v>
      </c>
      <c r="J41" s="1026" t="s">
        <v>454</v>
      </c>
      <c r="K41" s="442">
        <f>ROUND((K45*$D$42),2)</f>
        <v>0.28999999999999998</v>
      </c>
      <c r="L41" s="442">
        <f>ROUND((L45*$D$41),2)</f>
        <v>0.28999999999999998</v>
      </c>
      <c r="M41" s="442">
        <f>ROUND((M45*$D$41),2)</f>
        <v>0.39</v>
      </c>
      <c r="N41" s="442">
        <f>ROUND((N45*$D$41),2)</f>
        <v>0.24</v>
      </c>
      <c r="O41" s="1018">
        <f>ROUND((O45*$D$41),2)</f>
        <v>0.23</v>
      </c>
    </row>
    <row r="42" spans="1:15" ht="19.5" customHeight="1" x14ac:dyDescent="0.2">
      <c r="A42" s="411" t="s">
        <v>456</v>
      </c>
      <c r="B42" s="235"/>
      <c r="C42" s="235"/>
      <c r="D42" s="236">
        <f>Dados!$G$63</f>
        <v>2.5000000000000001E-2</v>
      </c>
      <c r="E42" s="230"/>
      <c r="F42" s="230">
        <f>ROUND(($F$45*$D$42),2)</f>
        <v>184.9</v>
      </c>
      <c r="G42" s="230">
        <f>ROUND(($G$45*$D$42),2)</f>
        <v>16.48</v>
      </c>
      <c r="H42" s="230">
        <f>ROUND(($H$45*$D$42),2)</f>
        <v>0</v>
      </c>
      <c r="I42" s="1002">
        <f>ROUND(($I$45*$D$42),2)</f>
        <v>15.06</v>
      </c>
      <c r="J42" s="1026" t="s">
        <v>456</v>
      </c>
      <c r="K42" s="442">
        <f>ROUND((K45*$D$42),2)</f>
        <v>0.28999999999999998</v>
      </c>
      <c r="L42" s="442">
        <f>ROUND((L45*$D$42),2)</f>
        <v>1.1299999999999999</v>
      </c>
      <c r="M42" s="442">
        <f>ROUND((M45*$D$42),2)</f>
        <v>1.51</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454.85</v>
      </c>
      <c r="G44" s="232">
        <f>SUM(G40:G43)</f>
        <v>40.53</v>
      </c>
      <c r="H44" s="232">
        <f>SUM(H40:H43)</f>
        <v>0</v>
      </c>
      <c r="I44" s="233">
        <f>SUM(I40:I43)</f>
        <v>37.06</v>
      </c>
      <c r="J44" s="1019" t="s">
        <v>4396</v>
      </c>
      <c r="K44" s="443">
        <f>SUM(K40:K43)</f>
        <v>0.92999999999999994</v>
      </c>
      <c r="L44" s="443">
        <f>SUM(L40:L43)</f>
        <v>2.7800000000000002</v>
      </c>
      <c r="M44" s="443">
        <f>SUM(M40:M43)</f>
        <v>3.71</v>
      </c>
      <c r="N44" s="443">
        <f>SUM(N40:N43)</f>
        <v>2.2999999999999998</v>
      </c>
      <c r="O44" s="1020">
        <f>SUM(O40:O43)</f>
        <v>2.21</v>
      </c>
    </row>
    <row r="45" spans="1:15" ht="34.5" hidden="1" customHeight="1" thickBot="1" x14ac:dyDescent="0.25">
      <c r="A45" s="1641" t="str">
        <f>A8</f>
        <v>Serralheiro</v>
      </c>
      <c r="B45" s="1642"/>
      <c r="C45" s="1642"/>
      <c r="D45" s="1642"/>
      <c r="E45" s="1642"/>
      <c r="F45" s="232">
        <f>ROUND($F$38/(1-$D$44),2)</f>
        <v>7396.07</v>
      </c>
      <c r="G45" s="232">
        <f>ROUND($G$38/(1-$D$44),2)</f>
        <v>659.01</v>
      </c>
      <c r="H45" s="232">
        <f>ROUND($H$38/(1-$D$44),2)</f>
        <v>0</v>
      </c>
      <c r="I45" s="233">
        <f>ROUND($I$38/(1-$D$44),2)</f>
        <v>602.57000000000005</v>
      </c>
      <c r="J45" s="1019" t="s">
        <v>585</v>
      </c>
      <c r="K45" s="443">
        <f>ROUND(K38/(1-$D$44),2)</f>
        <v>11.77</v>
      </c>
      <c r="L45" s="443">
        <f>ROUND(L38/(1-$D$44),2)</f>
        <v>45.38</v>
      </c>
      <c r="M45" s="443">
        <f>ROUND(M38/(1-$D$44),2)</f>
        <v>60.49</v>
      </c>
      <c r="N45" s="443">
        <f>ROUND(N38/(1-$D$44),2)</f>
        <v>37.44</v>
      </c>
      <c r="O45" s="1020">
        <f>ROUND(O38/(1-$D$44),2)</f>
        <v>35.97</v>
      </c>
    </row>
    <row r="46" spans="1:15" ht="30" customHeight="1" x14ac:dyDescent="0.2">
      <c r="A46" s="1643" t="str">
        <f>A8</f>
        <v>Serralheiro</v>
      </c>
      <c r="B46" s="1644"/>
      <c r="C46" s="1644"/>
      <c r="D46" s="1644"/>
      <c r="E46" s="1644"/>
      <c r="F46" s="984">
        <f>$F$45</f>
        <v>7396.07</v>
      </c>
      <c r="G46" s="984">
        <f>$G$45</f>
        <v>659.01</v>
      </c>
      <c r="H46" s="984">
        <f>$H$45</f>
        <v>0</v>
      </c>
      <c r="I46" s="1005">
        <f>$I$45</f>
        <v>602.57000000000005</v>
      </c>
      <c r="J46" s="1019" t="s">
        <v>585</v>
      </c>
      <c r="K46" s="446">
        <f>K45</f>
        <v>11.77</v>
      </c>
      <c r="L46" s="446">
        <f>L45</f>
        <v>45.38</v>
      </c>
      <c r="M46" s="446">
        <f>M45</f>
        <v>60.49</v>
      </c>
      <c r="N46" s="446">
        <f>N45</f>
        <v>37.44</v>
      </c>
      <c r="O46" s="1027">
        <f>O45</f>
        <v>35.97</v>
      </c>
    </row>
    <row r="47" spans="1:15" ht="29.25" customHeight="1" thickBot="1" x14ac:dyDescent="0.25">
      <c r="A47" s="1634" t="s">
        <v>4397</v>
      </c>
      <c r="B47" s="1635"/>
      <c r="C47" s="1635"/>
      <c r="D47" s="1635"/>
      <c r="E47" s="1635"/>
      <c r="F47" s="1006">
        <f>($F$46/$F$13)/100</f>
        <v>2.8109113712374584E-2</v>
      </c>
      <c r="G47" s="1006"/>
      <c r="H47" s="1006"/>
      <c r="I47" s="1007"/>
      <c r="J47" s="1028"/>
      <c r="K47" s="1029"/>
      <c r="L47" s="1029"/>
      <c r="M47" s="1029"/>
      <c r="N47" s="1029"/>
      <c r="O47" s="1030"/>
    </row>
  </sheetData>
  <sheetProtection sheet="1" objects="1" scenarios="1"/>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50" orientation="portrait" r:id="rId1"/>
  <headerFooter>
    <oddHeader>&amp;C&amp;12&amp;A</oddHeader>
    <oddFooter>&amp;C&amp;12&amp;P</oddFooter>
  </headerFooter>
  <rowBreaks count="1" manualBreakCount="1">
    <brk id="47"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D3BE-1A4F-4899-AD81-39C3EC33287B}">
  <sheetPr>
    <pageSetUpPr fitToPage="1"/>
  </sheetPr>
  <dimension ref="A1:O47"/>
  <sheetViews>
    <sheetView view="pageBreakPreview" zoomScaleNormal="100" zoomScaleSheetLayoutView="100" workbookViewId="0">
      <selection activeCell="N21" sqref="N21"/>
    </sheetView>
  </sheetViews>
  <sheetFormatPr defaultColWidth="9" defaultRowHeight="12.75" customHeight="1" x14ac:dyDescent="0.2"/>
  <cols>
    <col min="1" max="1" width="11.33203125" customWidth="1"/>
    <col min="2" max="2" width="28.83203125" customWidth="1"/>
    <col min="3" max="3" width="11" customWidth="1"/>
    <col min="4" max="5" width="17.5" customWidth="1"/>
    <col min="6" max="8" width="17.83203125" style="228" customWidth="1"/>
    <col min="9" max="9" width="17.83203125" customWidth="1"/>
    <col min="10" max="10" width="18.5" bestFit="1" customWidth="1"/>
    <col min="11" max="13" width="10.83203125" customWidth="1"/>
  </cols>
  <sheetData>
    <row r="1" spans="1:15" ht="17.25" x14ac:dyDescent="0.3">
      <c r="A1" s="873"/>
      <c r="B1" s="883"/>
      <c r="C1" s="874" t="s">
        <v>120</v>
      </c>
      <c r="D1" s="875"/>
      <c r="E1" s="875"/>
      <c r="F1" s="876"/>
      <c r="G1" s="876"/>
      <c r="H1" s="876"/>
      <c r="I1" s="877"/>
      <c r="J1" s="886"/>
      <c r="K1" s="886"/>
      <c r="L1" s="886"/>
      <c r="M1" s="886"/>
      <c r="N1" s="886"/>
      <c r="O1" s="886"/>
    </row>
    <row r="2" spans="1:15" x14ac:dyDescent="0.2">
      <c r="A2" s="878"/>
      <c r="B2" s="884"/>
      <c r="C2" s="784" t="s">
        <v>1</v>
      </c>
      <c r="D2" s="879"/>
      <c r="E2" s="879"/>
      <c r="F2" s="880"/>
      <c r="G2" s="880"/>
      <c r="H2" s="880"/>
      <c r="I2" s="881"/>
      <c r="J2" s="886"/>
      <c r="K2" s="886"/>
      <c r="L2" s="886"/>
      <c r="M2" s="886"/>
      <c r="N2" s="886"/>
      <c r="O2" s="886"/>
    </row>
    <row r="3" spans="1:15" x14ac:dyDescent="0.2">
      <c r="A3" s="878"/>
      <c r="B3" s="884"/>
      <c r="C3" s="784" t="s">
        <v>2</v>
      </c>
      <c r="D3" s="879"/>
      <c r="E3" s="879"/>
      <c r="F3" s="880"/>
      <c r="G3" s="880"/>
      <c r="H3" s="880"/>
      <c r="I3" s="881"/>
      <c r="J3" s="886"/>
      <c r="K3" s="886"/>
      <c r="L3" s="886"/>
      <c r="M3" s="886"/>
      <c r="N3" s="886"/>
      <c r="O3" s="886"/>
    </row>
    <row r="4" spans="1:15" ht="13.5" thickBot="1" x14ac:dyDescent="0.25">
      <c r="A4" s="1086"/>
      <c r="B4" s="1093"/>
      <c r="C4" s="1087" t="s">
        <v>493</v>
      </c>
      <c r="D4" s="1088"/>
      <c r="E4" s="1088"/>
      <c r="F4" s="1089"/>
      <c r="G4" s="1089"/>
      <c r="H4" s="1089"/>
      <c r="I4" s="1090"/>
      <c r="J4" s="886"/>
      <c r="K4" s="886"/>
      <c r="L4" s="886"/>
      <c r="M4" s="886"/>
      <c r="N4" s="886"/>
      <c r="O4" s="886"/>
    </row>
    <row r="5" spans="1:15" ht="32.25" customHeight="1" thickBot="1" x14ac:dyDescent="0.25">
      <c r="A5" s="1645" t="str">
        <f>'Resumo_1.1'!$A$5</f>
        <v>ANEXO II-1.1 – PLANILHA DE CUSTOS E FORMAÇÃO DE PREÇOS DO LICITANTE – EQUIPE RESIDENTE</v>
      </c>
      <c r="B5" s="1645"/>
      <c r="C5" s="1645"/>
      <c r="D5" s="1645"/>
      <c r="E5" s="1645"/>
      <c r="F5" s="1645"/>
      <c r="G5" s="1645"/>
      <c r="H5" s="1645"/>
      <c r="I5" s="1645"/>
      <c r="J5" s="886"/>
      <c r="K5" s="886"/>
      <c r="L5" s="886"/>
      <c r="M5" s="886"/>
      <c r="N5" s="886"/>
      <c r="O5" s="886"/>
    </row>
    <row r="6" spans="1:15" ht="32.25" customHeight="1" thickBot="1" x14ac:dyDescent="0.25">
      <c r="A6" s="1646" t="str">
        <f>A8</f>
        <v>Pintor / Gesseiro</v>
      </c>
      <c r="B6" s="1646"/>
      <c r="C6" s="1646"/>
      <c r="D6" s="1646"/>
      <c r="E6" s="1646"/>
      <c r="F6" s="1646"/>
      <c r="G6" s="1646"/>
      <c r="H6" s="1646"/>
      <c r="I6" s="1646"/>
      <c r="J6" s="886"/>
      <c r="K6" s="886"/>
      <c r="L6" s="886"/>
      <c r="M6" s="886"/>
      <c r="N6" s="886"/>
      <c r="O6" s="886"/>
    </row>
    <row r="7" spans="1:15" ht="36" customHeight="1" thickBot="1" x14ac:dyDescent="0.25">
      <c r="A7" s="1647"/>
      <c r="B7" s="1647"/>
      <c r="C7" s="1647"/>
      <c r="D7" s="1647"/>
      <c r="E7" s="1647"/>
      <c r="F7" s="1647"/>
      <c r="G7" s="1647"/>
      <c r="H7" s="1647"/>
      <c r="I7" s="1647"/>
      <c r="J7" s="1664" t="s">
        <v>4344</v>
      </c>
      <c r="K7" s="1625" t="s">
        <v>4345</v>
      </c>
      <c r="L7" s="1625"/>
      <c r="M7" s="1625"/>
      <c r="N7" s="1621" t="s">
        <v>4346</v>
      </c>
      <c r="O7" s="1622"/>
    </row>
    <row r="8" spans="1:15" ht="36" customHeight="1" x14ac:dyDescent="0.2">
      <c r="A8" s="1656" t="str">
        <f>Dados!B26</f>
        <v>Pintor / Gesseiro</v>
      </c>
      <c r="B8" s="1657"/>
      <c r="C8" s="995" t="s">
        <v>4347</v>
      </c>
      <c r="D8" s="996">
        <f>Dados!F26</f>
        <v>2631.2</v>
      </c>
      <c r="E8" s="995"/>
      <c r="F8" s="1648" t="s">
        <v>4348</v>
      </c>
      <c r="G8" s="1648" t="s">
        <v>4349</v>
      </c>
      <c r="H8" s="1650" t="s">
        <v>4350</v>
      </c>
      <c r="I8" s="1652" t="s">
        <v>4351</v>
      </c>
      <c r="J8" s="1665"/>
      <c r="K8" s="853" t="s">
        <v>4352</v>
      </c>
      <c r="L8" s="853" t="s">
        <v>4353</v>
      </c>
      <c r="M8" s="853" t="s">
        <v>4354</v>
      </c>
      <c r="N8" s="853" t="s">
        <v>4355</v>
      </c>
      <c r="O8" s="1015" t="s">
        <v>4356</v>
      </c>
    </row>
    <row r="9" spans="1:15" ht="36" customHeight="1" x14ac:dyDescent="0.2">
      <c r="A9" s="1662" t="str">
        <f>_xlfn.CONCAT("33390.37.01 - ",A8)</f>
        <v>33390.37.01 - Pintor / Gesseiro</v>
      </c>
      <c r="B9" s="1663"/>
      <c r="C9" s="1663"/>
      <c r="D9" s="1663"/>
      <c r="E9" s="988" t="s">
        <v>389</v>
      </c>
      <c r="F9" s="1649"/>
      <c r="G9" s="1649"/>
      <c r="H9" s="1651"/>
      <c r="I9" s="1653"/>
      <c r="J9" s="1665"/>
      <c r="K9" s="444">
        <f>CCT!H30</f>
        <v>0.39</v>
      </c>
      <c r="L9" s="444">
        <f>100%+Dados!G94</f>
        <v>1.5</v>
      </c>
      <c r="M9" s="444">
        <f>100%+Dados!G95</f>
        <v>2</v>
      </c>
      <c r="N9" s="987">
        <f>D23</f>
        <v>31.34</v>
      </c>
      <c r="O9" s="1016">
        <f>(D21+E21)*2</f>
        <v>30.1</v>
      </c>
    </row>
    <row r="10" spans="1:15" ht="24.75" customHeight="1" x14ac:dyDescent="0.2">
      <c r="A10" s="1001" t="s">
        <v>479</v>
      </c>
      <c r="B10" s="1658" t="s">
        <v>4357</v>
      </c>
      <c r="C10" s="1658"/>
      <c r="D10" s="989" t="s">
        <v>4358</v>
      </c>
      <c r="E10" s="989" t="s">
        <v>4359</v>
      </c>
      <c r="F10" s="1629" t="s">
        <v>4360</v>
      </c>
      <c r="G10" s="1629"/>
      <c r="H10" s="1629"/>
      <c r="I10" s="1630"/>
      <c r="J10" s="1017" t="s">
        <v>4361</v>
      </c>
      <c r="K10" s="441">
        <v>25</v>
      </c>
      <c r="L10" s="415" t="s">
        <v>4362</v>
      </c>
      <c r="M10" s="441">
        <v>5</v>
      </c>
      <c r="N10" s="441" t="s">
        <v>88</v>
      </c>
      <c r="O10" s="1033" t="s">
        <v>88</v>
      </c>
    </row>
    <row r="11" spans="1:15" ht="26.25" customHeight="1" x14ac:dyDescent="0.2">
      <c r="A11" s="1660">
        <v>1</v>
      </c>
      <c r="B11" s="1661" t="str">
        <f>A8</f>
        <v>Pintor / Gesseiro</v>
      </c>
      <c r="C11" s="1661"/>
      <c r="D11" s="238">
        <f>Dados!$C$24</f>
        <v>220</v>
      </c>
      <c r="E11" s="230">
        <f>Dados!$N$26</f>
        <v>2631.2</v>
      </c>
      <c r="F11" s="230">
        <f>ROUND(E11/220*D11,2)</f>
        <v>2631.2</v>
      </c>
      <c r="G11" s="230"/>
      <c r="H11" s="230"/>
      <c r="I11" s="1002"/>
      <c r="J11" s="756" t="s">
        <v>4363</v>
      </c>
      <c r="K11" s="442">
        <f>ROUND($F$11/$D$11*K9,2)</f>
        <v>4.66</v>
      </c>
      <c r="L11" s="442">
        <f>ROUND($F$11/$D$11*L9,2)</f>
        <v>17.940000000000001</v>
      </c>
      <c r="M11" s="442">
        <f>ROUND($F$11/$D$11*M9,2)</f>
        <v>23.92</v>
      </c>
      <c r="N11" s="1031" t="s">
        <v>88</v>
      </c>
      <c r="O11" s="1032" t="s">
        <v>88</v>
      </c>
    </row>
    <row r="12" spans="1:15" ht="24" customHeight="1" x14ac:dyDescent="0.2">
      <c r="A12" s="1660"/>
      <c r="B12" s="1633"/>
      <c r="C12" s="1633"/>
      <c r="D12" s="239"/>
      <c r="E12" s="990"/>
      <c r="F12" s="230">
        <f>ROUND(((E12/220*D11)*C12)*D12,2)</f>
        <v>0</v>
      </c>
      <c r="G12" s="230"/>
      <c r="H12" s="230"/>
      <c r="I12" s="1002"/>
      <c r="J12" s="756" t="s">
        <v>4364</v>
      </c>
      <c r="K12" s="442">
        <f>ROUND($M$10/$K$10*K11,2)</f>
        <v>0.93</v>
      </c>
      <c r="L12" s="442">
        <f>ROUND($M$10/$K$10*L11,2)</f>
        <v>3.59</v>
      </c>
      <c r="M12" s="442">
        <f>ROUND($M$10/$K$10*M11,2)</f>
        <v>4.78</v>
      </c>
      <c r="N12" s="1031" t="s">
        <v>88</v>
      </c>
      <c r="O12" s="1032" t="s">
        <v>88</v>
      </c>
    </row>
    <row r="13" spans="1:15" ht="19.5" customHeight="1" x14ac:dyDescent="0.2">
      <c r="A13" s="1660"/>
      <c r="B13" s="1632" t="s">
        <v>4365</v>
      </c>
      <c r="C13" s="1632"/>
      <c r="D13" s="1632"/>
      <c r="E13" s="1632"/>
      <c r="F13" s="232">
        <f>F11+F12</f>
        <v>2631.2</v>
      </c>
      <c r="G13" s="232"/>
      <c r="H13" s="232"/>
      <c r="I13" s="233"/>
      <c r="J13" s="1019" t="s">
        <v>334</v>
      </c>
      <c r="K13" s="443">
        <f>SUM(K11:K12)</f>
        <v>5.59</v>
      </c>
      <c r="L13" s="443">
        <f>SUM(L11:L12)</f>
        <v>21.53</v>
      </c>
      <c r="M13" s="443">
        <f>SUM(M11:M12)</f>
        <v>28.700000000000003</v>
      </c>
      <c r="N13" s="443">
        <f>N9</f>
        <v>31.34</v>
      </c>
      <c r="O13" s="1020">
        <f>O9</f>
        <v>30.1</v>
      </c>
    </row>
    <row r="14" spans="1:15" ht="19.5" customHeight="1" x14ac:dyDescent="0.2">
      <c r="A14" s="1660"/>
      <c r="B14" s="1626" t="s">
        <v>4366</v>
      </c>
      <c r="C14" s="1626"/>
      <c r="D14" s="1626"/>
      <c r="E14" s="240">
        <f>Dados!G34</f>
        <v>0.76400000000000001</v>
      </c>
      <c r="F14" s="230">
        <f>(ROUND((E14*F13),2))</f>
        <v>2010.24</v>
      </c>
      <c r="G14" s="230"/>
      <c r="H14" s="230"/>
      <c r="I14" s="1002"/>
      <c r="J14" s="756" t="s">
        <v>4367</v>
      </c>
      <c r="K14" s="442">
        <f>K13*$E$14</f>
        <v>4.2707600000000001</v>
      </c>
      <c r="L14" s="442">
        <f>L13*$E$14</f>
        <v>16.448920000000001</v>
      </c>
      <c r="M14" s="442">
        <f>M13*$E$14</f>
        <v>21.926800000000004</v>
      </c>
      <c r="N14" s="1031" t="s">
        <v>88</v>
      </c>
      <c r="O14" s="1032" t="s">
        <v>88</v>
      </c>
    </row>
    <row r="15" spans="1:15" ht="24.75" customHeight="1" x14ac:dyDescent="0.2">
      <c r="A15" s="1631" t="s">
        <v>4368</v>
      </c>
      <c r="B15" s="1632"/>
      <c r="C15" s="1632"/>
      <c r="D15" s="1632"/>
      <c r="E15" s="1632"/>
      <c r="F15" s="232">
        <f>ROUND(SUM(F13:F14),2)</f>
        <v>4641.4399999999996</v>
      </c>
      <c r="G15" s="232"/>
      <c r="H15" s="232"/>
      <c r="I15" s="233"/>
      <c r="J15" s="1019" t="s">
        <v>4369</v>
      </c>
      <c r="K15" s="443">
        <f>K13+K14</f>
        <v>9.8607599999999991</v>
      </c>
      <c r="L15" s="443">
        <f>L13+L14</f>
        <v>37.978920000000002</v>
      </c>
      <c r="M15" s="443">
        <f>M13+M14</f>
        <v>50.626800000000003</v>
      </c>
      <c r="N15" s="443">
        <f>N13</f>
        <v>31.34</v>
      </c>
      <c r="O15" s="1020">
        <f>O13</f>
        <v>30.1</v>
      </c>
    </row>
    <row r="16" spans="1:15" ht="19.5" customHeight="1" x14ac:dyDescent="0.2">
      <c r="A16" s="1638" t="s">
        <v>4370</v>
      </c>
      <c r="B16" s="1639"/>
      <c r="C16" s="1639"/>
      <c r="D16" s="1639"/>
      <c r="E16" s="1639"/>
      <c r="F16" s="1639"/>
      <c r="G16" s="1639"/>
      <c r="H16" s="1639"/>
      <c r="I16" s="1640"/>
      <c r="J16" s="1021"/>
      <c r="K16" s="445"/>
      <c r="L16" s="445"/>
      <c r="M16" s="445"/>
      <c r="N16" s="980"/>
      <c r="O16" s="1022"/>
    </row>
    <row r="17" spans="1:15" ht="19.5" customHeight="1" x14ac:dyDescent="0.2">
      <c r="A17" s="1627" t="s">
        <v>4371</v>
      </c>
      <c r="B17" s="1628"/>
      <c r="C17" s="234" t="s">
        <v>610</v>
      </c>
      <c r="D17" s="1628" t="s">
        <v>4360</v>
      </c>
      <c r="E17" s="1628"/>
      <c r="F17" s="1628"/>
      <c r="G17" s="1628"/>
      <c r="H17" s="1628"/>
      <c r="I17" s="1659"/>
      <c r="J17" s="1023"/>
      <c r="K17" s="980"/>
      <c r="L17" s="980"/>
      <c r="M17" s="980"/>
      <c r="N17" s="980"/>
      <c r="O17" s="1022"/>
    </row>
    <row r="18" spans="1:15" ht="19.5" customHeight="1" x14ac:dyDescent="0.2">
      <c r="A18" s="1386" t="s">
        <v>4373</v>
      </c>
      <c r="B18" s="1626"/>
      <c r="C18" s="235"/>
      <c r="D18" s="230">
        <f>Dados!O26</f>
        <v>64.8</v>
      </c>
      <c r="E18" s="230"/>
      <c r="F18" s="442">
        <f>ROUND((D18),2)</f>
        <v>64.8</v>
      </c>
      <c r="G18" s="230"/>
      <c r="H18" s="230"/>
      <c r="I18" s="1002"/>
      <c r="J18" s="1021"/>
      <c r="K18" s="445"/>
      <c r="L18" s="445"/>
      <c r="M18" s="445"/>
      <c r="N18" s="445"/>
      <c r="O18" s="1024"/>
    </row>
    <row r="19" spans="1:15" ht="19.5" customHeight="1" x14ac:dyDescent="0.2">
      <c r="A19" s="1386" t="s">
        <v>4374</v>
      </c>
      <c r="B19" s="1626"/>
      <c r="C19" s="235"/>
      <c r="D19" s="230">
        <f>Dados!P26</f>
        <v>35.347500000000004</v>
      </c>
      <c r="E19" s="230"/>
      <c r="F19" s="442">
        <f>ROUND((D19),2)</f>
        <v>35.35</v>
      </c>
      <c r="G19" s="230"/>
      <c r="H19" s="230"/>
      <c r="I19" s="1002"/>
      <c r="J19" s="1021"/>
      <c r="K19" s="445"/>
      <c r="L19" s="445"/>
      <c r="M19" s="445"/>
      <c r="N19" s="445"/>
      <c r="O19" s="1024"/>
    </row>
    <row r="20" spans="1:15" ht="19.5" customHeight="1" x14ac:dyDescent="0.2">
      <c r="A20" s="975" t="s">
        <v>4375</v>
      </c>
      <c r="B20" s="976"/>
      <c r="C20" s="235">
        <v>1</v>
      </c>
      <c r="D20" s="303">
        <f>VLOOKUP(A8,CCT!$A$14:$Z$30,9,FALSE)</f>
        <v>20</v>
      </c>
      <c r="E20" s="236"/>
      <c r="F20" s="442">
        <f>ROUND((C20*D20),2)</f>
        <v>20</v>
      </c>
      <c r="G20" s="230"/>
      <c r="H20" s="230"/>
      <c r="I20" s="1002"/>
      <c r="J20" s="1021"/>
      <c r="K20" s="445"/>
      <c r="L20" s="445"/>
      <c r="M20" s="445"/>
      <c r="N20" s="445"/>
      <c r="O20" s="1024"/>
    </row>
    <row r="21" spans="1:15" ht="19.5" customHeight="1" x14ac:dyDescent="0.2">
      <c r="A21" s="1386" t="s">
        <v>4398</v>
      </c>
      <c r="B21" s="1626"/>
      <c r="C21" s="230">
        <f>Dados!$G$47</f>
        <v>22</v>
      </c>
      <c r="D21" s="230">
        <f>Dados!$G$46</f>
        <v>8.8000000000000007</v>
      </c>
      <c r="E21" s="230">
        <f>Dados!$G$44</f>
        <v>6.25</v>
      </c>
      <c r="F21" s="230">
        <f>IF((C21*D21*Dados!G45+C21*E21*Dados!G43)-6%*D8&lt;0,0,(C21*D21*Dados!G45+C21*E21*Dados!G43)-6%*D8)</f>
        <v>504.32800000000009</v>
      </c>
      <c r="G21" s="230"/>
      <c r="H21" s="230"/>
      <c r="I21" s="1002">
        <f>F21</f>
        <v>504.32800000000009</v>
      </c>
      <c r="J21" s="1021"/>
      <c r="K21" s="445"/>
      <c r="L21" s="445"/>
      <c r="M21" s="445"/>
      <c r="N21" s="445"/>
      <c r="O21" s="1024"/>
    </row>
    <row r="22" spans="1:15" ht="25.5" customHeight="1" x14ac:dyDescent="0.2">
      <c r="A22" s="1386" t="s">
        <v>368</v>
      </c>
      <c r="B22" s="1626"/>
      <c r="C22" s="235">
        <v>1</v>
      </c>
      <c r="D22" s="303">
        <f>VLOOKUP(A8,CCT!$A$14:$Z$30,10,FALSE)</f>
        <v>0</v>
      </c>
      <c r="E22" s="973">
        <f>VLOOKUP(A8,CCT!$A$14:$Z$30,11,FALSE)</f>
        <v>0</v>
      </c>
      <c r="F22" s="442">
        <f>IFERROR(C22*D22*E22,C22*D22)</f>
        <v>0</v>
      </c>
      <c r="G22" s="230"/>
      <c r="H22" s="230"/>
      <c r="I22" s="1002"/>
      <c r="J22" s="756"/>
      <c r="K22" s="442"/>
      <c r="L22" s="442"/>
      <c r="M22" s="442"/>
      <c r="N22" s="442"/>
      <c r="O22" s="1018"/>
    </row>
    <row r="23" spans="1:15" ht="25.5" customHeight="1" x14ac:dyDescent="0.2">
      <c r="A23" s="1386" t="s">
        <v>371</v>
      </c>
      <c r="B23" s="1626"/>
      <c r="C23" s="442">
        <f>VLOOKUP(A8,CCT!$A$14:$Z$30,15,FALSE)</f>
        <v>22</v>
      </c>
      <c r="D23" s="757">
        <f>VLOOKUP(A8,CCT!$A$14:$Z$30,13,FALSE)</f>
        <v>31.34</v>
      </c>
      <c r="E23" s="758">
        <f>VLOOKUP(A8,CCT!$A$14:$Z$30,14,FALSE)</f>
        <v>0.2</v>
      </c>
      <c r="F23" s="442">
        <f>VLOOKUP(A8,CCT!$A$14:$Z$30,16,FALSE)</f>
        <v>551.58000000000004</v>
      </c>
      <c r="G23" s="230">
        <f>F23</f>
        <v>551.58000000000004</v>
      </c>
      <c r="H23" s="230"/>
      <c r="I23" s="1002"/>
      <c r="J23" s="756"/>
      <c r="K23" s="442"/>
      <c r="L23" s="442"/>
      <c r="M23" s="442"/>
      <c r="N23" s="442"/>
      <c r="O23" s="1018"/>
    </row>
    <row r="24" spans="1:15" ht="25.5" customHeight="1" x14ac:dyDescent="0.2">
      <c r="A24" s="1386" t="str">
        <f>CCT!Q8</f>
        <v>Cesta Básica</v>
      </c>
      <c r="B24" s="1626"/>
      <c r="C24" s="442">
        <v>1</v>
      </c>
      <c r="D24" s="757">
        <f>VLOOKUP(A8,CCT!$A$14:$Z$30,17,FALSE)</f>
        <v>200</v>
      </c>
      <c r="E24" s="759">
        <f>VLOOKUP(A8,CCT!$A$14:$Z$30,18,FALSE)</f>
        <v>0</v>
      </c>
      <c r="F24" s="442">
        <f>IFERROR(C24*D24*(100%-E24),C24*D24)</f>
        <v>200</v>
      </c>
      <c r="G24" s="230"/>
      <c r="H24" s="230"/>
      <c r="I24" s="1002"/>
      <c r="J24" s="756"/>
      <c r="K24" s="442"/>
      <c r="L24" s="442"/>
      <c r="M24" s="442"/>
      <c r="N24" s="442"/>
      <c r="O24" s="1018"/>
    </row>
    <row r="25" spans="1:15" ht="25.5" customHeight="1" x14ac:dyDescent="0.2">
      <c r="A25" s="1386" t="str">
        <f>CCT!T8</f>
        <v>Café da Manhã</v>
      </c>
      <c r="B25" s="1626"/>
      <c r="C25" s="442">
        <f>CCT!V9</f>
        <v>22</v>
      </c>
      <c r="D25" s="757">
        <f>VLOOKUP(A8,CCT!$A$14:$Z$30,20,FALSE)</f>
        <v>0</v>
      </c>
      <c r="E25" s="759">
        <f>VLOOKUP(A8,CCT!$A$14:$Z$30,21,FALSE)</f>
        <v>0</v>
      </c>
      <c r="F25" s="442">
        <f>VLOOKUP(A8,CCT!$A$14:$Z$30,23,FALSE)</f>
        <v>0</v>
      </c>
      <c r="G25" s="230"/>
      <c r="H25" s="230"/>
      <c r="I25" s="1002"/>
      <c r="J25" s="756"/>
      <c r="K25" s="442"/>
      <c r="L25" s="442"/>
      <c r="M25" s="442"/>
      <c r="N25" s="442"/>
      <c r="O25" s="1018"/>
    </row>
    <row r="26" spans="1:15" ht="25.5" customHeight="1" x14ac:dyDescent="0.2">
      <c r="A26" s="1386" t="str">
        <f>CCT!X8</f>
        <v>PAF / PQM</v>
      </c>
      <c r="B26" s="1626"/>
      <c r="C26" s="230">
        <v>1</v>
      </c>
      <c r="D26" s="303">
        <f>VLOOKUP(A8,CCT!$A$14:$Z$30,24,FALSE)</f>
        <v>103.09</v>
      </c>
      <c r="E26" s="303"/>
      <c r="F26" s="230">
        <f>ROUND((C26*D26),2)</f>
        <v>103.09</v>
      </c>
      <c r="G26" s="230"/>
      <c r="H26" s="230"/>
      <c r="I26" s="1002"/>
      <c r="J26" s="756"/>
      <c r="K26" s="442"/>
      <c r="L26" s="442"/>
      <c r="M26" s="442"/>
      <c r="N26" s="442"/>
      <c r="O26" s="1018"/>
    </row>
    <row r="27" spans="1:15" ht="25.5" customHeight="1" x14ac:dyDescent="0.2">
      <c r="A27" s="1386" t="str">
        <f>CCT!Y8</f>
        <v>Outros (inserir somente com a justificativa legal)</v>
      </c>
      <c r="B27" s="1626"/>
      <c r="C27" s="230">
        <v>1</v>
      </c>
      <c r="D27" s="303">
        <f>VLOOKUP(A8,CCT!$A$14:$Z$30,25,FALSE)</f>
        <v>0</v>
      </c>
      <c r="E27" s="303"/>
      <c r="F27" s="230">
        <f>ROUND((C27*D27),2)</f>
        <v>0</v>
      </c>
      <c r="G27" s="230"/>
      <c r="H27" s="230"/>
      <c r="I27" s="1002"/>
      <c r="J27" s="756"/>
      <c r="K27" s="442"/>
      <c r="L27" s="442"/>
      <c r="M27" s="442"/>
      <c r="N27" s="442"/>
      <c r="O27" s="1018"/>
    </row>
    <row r="28" spans="1:15" ht="12.75" customHeight="1" x14ac:dyDescent="0.2">
      <c r="A28" s="1386" t="str">
        <f>CCT!Z8</f>
        <v>Outros (inserir somente com a justificativa legal)</v>
      </c>
      <c r="B28" s="1626"/>
      <c r="C28" s="230">
        <v>1</v>
      </c>
      <c r="D28" s="303">
        <f>VLOOKUP(A8,CCT!$A$14:$Z$30,26,FALSE)</f>
        <v>0</v>
      </c>
      <c r="E28" s="303"/>
      <c r="F28" s="230">
        <f>ROUND((C28*D28),2)</f>
        <v>0</v>
      </c>
      <c r="G28" s="230"/>
      <c r="H28" s="230"/>
      <c r="I28" s="1002"/>
      <c r="J28" s="756"/>
      <c r="K28" s="442"/>
      <c r="L28" s="442"/>
      <c r="M28" s="442"/>
      <c r="N28" s="442"/>
      <c r="O28" s="1018"/>
    </row>
    <row r="29" spans="1:15" ht="19.5" customHeight="1" x14ac:dyDescent="0.2">
      <c r="A29" s="1386" t="str">
        <f>Dados!B50</f>
        <v>Equipamento e Ferramentas</v>
      </c>
      <c r="B29" s="1626"/>
      <c r="C29" s="230">
        <v>1</v>
      </c>
      <c r="D29" s="303">
        <f>Dados!G50</f>
        <v>52.500112903225777</v>
      </c>
      <c r="E29" s="230"/>
      <c r="F29" s="230">
        <f>ROUND((C29*D29),2)</f>
        <v>52.5</v>
      </c>
      <c r="G29" s="230"/>
      <c r="H29" s="230"/>
      <c r="I29" s="1002"/>
      <c r="J29" s="756"/>
      <c r="K29" s="442"/>
      <c r="L29" s="442"/>
      <c r="M29" s="442"/>
      <c r="N29" s="442"/>
      <c r="O29" s="1018"/>
    </row>
    <row r="30" spans="1:15" ht="24.75" customHeight="1" x14ac:dyDescent="0.2">
      <c r="A30" s="1631" t="s">
        <v>4378</v>
      </c>
      <c r="B30" s="1632"/>
      <c r="C30" s="1632"/>
      <c r="D30" s="1632"/>
      <c r="E30" s="1632"/>
      <c r="F30" s="232">
        <f>SUM(F18:F29)</f>
        <v>1531.6479999999999</v>
      </c>
      <c r="G30" s="232">
        <f>SUM(G18:G29)</f>
        <v>551.58000000000004</v>
      </c>
      <c r="H30" s="232">
        <f>SUM($H$18:$H$29)</f>
        <v>0</v>
      </c>
      <c r="I30" s="233">
        <f>SUM($I$18:$I$29)</f>
        <v>504.32800000000009</v>
      </c>
      <c r="J30" s="1019" t="s">
        <v>4379</v>
      </c>
      <c r="K30" s="443">
        <f>SUM(K18:K29)</f>
        <v>0</v>
      </c>
      <c r="L30" s="443">
        <f>SUM(L18:L29)</f>
        <v>0</v>
      </c>
      <c r="M30" s="443">
        <f>SUM(M18:M29)</f>
        <v>0</v>
      </c>
      <c r="N30" s="443">
        <f>SUM(N18:N29)</f>
        <v>0</v>
      </c>
      <c r="O30" s="1020">
        <f>SUM(O18:O29)</f>
        <v>0</v>
      </c>
    </row>
    <row r="31" spans="1:15" ht="24.75" customHeight="1" x14ac:dyDescent="0.2">
      <c r="A31" s="1631" t="s">
        <v>4380</v>
      </c>
      <c r="B31" s="1632"/>
      <c r="C31" s="1632"/>
      <c r="D31" s="1632"/>
      <c r="E31" s="1632"/>
      <c r="F31" s="232">
        <f>$F$15+$F$30</f>
        <v>6173.0879999999997</v>
      </c>
      <c r="G31" s="232">
        <f>$G$15+$G$30</f>
        <v>551.58000000000004</v>
      </c>
      <c r="H31" s="232">
        <f>$H$15+$H$30</f>
        <v>0</v>
      </c>
      <c r="I31" s="233">
        <f>$I$15+$I$30</f>
        <v>504.32800000000009</v>
      </c>
      <c r="J31" s="1019" t="s">
        <v>4381</v>
      </c>
      <c r="K31" s="443">
        <f>K15+K30</f>
        <v>9.8607599999999991</v>
      </c>
      <c r="L31" s="443">
        <f>L15+L30</f>
        <v>37.978920000000002</v>
      </c>
      <c r="M31" s="443">
        <f>M15+M30</f>
        <v>50.626800000000003</v>
      </c>
      <c r="N31" s="443">
        <f>N15+N30</f>
        <v>31.34</v>
      </c>
      <c r="O31" s="1020">
        <f>O15+O30</f>
        <v>30.1</v>
      </c>
    </row>
    <row r="32" spans="1:15" ht="19.5" customHeight="1" x14ac:dyDescent="0.2">
      <c r="A32" s="1638" t="s">
        <v>4382</v>
      </c>
      <c r="B32" s="1639"/>
      <c r="C32" s="1639"/>
      <c r="D32" s="1639"/>
      <c r="E32" s="1639"/>
      <c r="F32" s="1639"/>
      <c r="G32" s="1639"/>
      <c r="H32" s="1639"/>
      <c r="I32" s="1640"/>
      <c r="J32" s="1025"/>
      <c r="K32" s="445"/>
      <c r="L32" s="445"/>
      <c r="M32" s="445"/>
      <c r="N32" s="980"/>
      <c r="O32" s="1022"/>
    </row>
    <row r="33" spans="1:15" ht="19.5" customHeight="1" x14ac:dyDescent="0.2">
      <c r="A33" s="1627" t="s">
        <v>4383</v>
      </c>
      <c r="B33" s="1628"/>
      <c r="C33" s="1628"/>
      <c r="D33" s="1658" t="s">
        <v>4384</v>
      </c>
      <c r="E33" s="1658"/>
      <c r="F33" s="1629" t="s">
        <v>4360</v>
      </c>
      <c r="G33" s="1629"/>
      <c r="H33" s="1629"/>
      <c r="I33" s="1630"/>
      <c r="J33" s="1017"/>
      <c r="K33" s="445"/>
      <c r="L33" s="445"/>
      <c r="M33" s="445"/>
      <c r="N33" s="980"/>
      <c r="O33" s="1022"/>
    </row>
    <row r="34" spans="1:15" ht="19.5" customHeight="1" x14ac:dyDescent="0.2">
      <c r="A34" s="411" t="s">
        <v>4385</v>
      </c>
      <c r="B34" s="235"/>
      <c r="C34" s="235"/>
      <c r="D34" s="236">
        <f>Dados!$G$53</f>
        <v>0.05</v>
      </c>
      <c r="E34" s="230"/>
      <c r="F34" s="230">
        <f>ROUND(($F$31*$D$34),2)</f>
        <v>308.64999999999998</v>
      </c>
      <c r="G34" s="230">
        <f>ROUND(($G$31*$D$34),2)</f>
        <v>27.58</v>
      </c>
      <c r="H34" s="230">
        <f>ROUND((H31*D34),2)</f>
        <v>0</v>
      </c>
      <c r="I34" s="1002">
        <f>ROUND(($I$31*$D$34),2)</f>
        <v>25.22</v>
      </c>
      <c r="J34" s="756" t="s">
        <v>4386</v>
      </c>
      <c r="K34" s="442">
        <f>ROUND((K31*$D$34),2)</f>
        <v>0.49</v>
      </c>
      <c r="L34" s="442">
        <f>ROUND((L31*$D$34),2)</f>
        <v>1.9</v>
      </c>
      <c r="M34" s="442">
        <f>ROUND((M31*$D$34),2)</f>
        <v>2.5299999999999998</v>
      </c>
      <c r="N34" s="442">
        <f>ROUND((N31*$D$34),2)</f>
        <v>1.57</v>
      </c>
      <c r="O34" s="1018">
        <f>ROUND((O31*$D$34),2)</f>
        <v>1.51</v>
      </c>
    </row>
    <row r="35" spans="1:15" ht="19.5" customHeight="1" x14ac:dyDescent="0.2">
      <c r="A35" s="1636" t="s">
        <v>4387</v>
      </c>
      <c r="B35" s="1637"/>
      <c r="C35" s="1637"/>
      <c r="D35" s="236"/>
      <c r="E35" s="230"/>
      <c r="F35" s="230">
        <f>$F$31+$F$34</f>
        <v>6481.7379999999994</v>
      </c>
      <c r="G35" s="230">
        <f>$G$34+$G$31</f>
        <v>579.16000000000008</v>
      </c>
      <c r="H35" s="230">
        <f>H31+H34</f>
        <v>0</v>
      </c>
      <c r="I35" s="1002">
        <f>$I$31+$I$34</f>
        <v>529.54800000000012</v>
      </c>
      <c r="J35" s="756" t="s">
        <v>4388</v>
      </c>
      <c r="K35" s="442">
        <f>K31+K34</f>
        <v>10.350759999999999</v>
      </c>
      <c r="L35" s="442">
        <f>L31+L34</f>
        <v>39.878920000000001</v>
      </c>
      <c r="M35" s="442">
        <f>M31+M34</f>
        <v>53.156800000000004</v>
      </c>
      <c r="N35" s="442">
        <f>N31+N34</f>
        <v>32.909999999999997</v>
      </c>
      <c r="O35" s="1018">
        <f>O31+O34</f>
        <v>31.610000000000003</v>
      </c>
    </row>
    <row r="36" spans="1:15" ht="19.5" customHeight="1" x14ac:dyDescent="0.2">
      <c r="A36" s="411" t="s">
        <v>447</v>
      </c>
      <c r="B36" s="235"/>
      <c r="C36" s="235"/>
      <c r="D36" s="236">
        <f>Dados!$G$54</f>
        <v>6.7900000000000002E-2</v>
      </c>
      <c r="E36" s="230">
        <f>$F$31+$F$34</f>
        <v>6481.7379999999994</v>
      </c>
      <c r="F36" s="230">
        <f>ROUND(($E$36*$D$36),2)</f>
        <v>440.11</v>
      </c>
      <c r="G36" s="230">
        <f>ROUND(($G$35*$D$36),2)</f>
        <v>39.32</v>
      </c>
      <c r="H36" s="230">
        <f>ROUND((H35*D36),2)</f>
        <v>0</v>
      </c>
      <c r="I36" s="1002">
        <f>ROUND(($I$35*$D$36),2)</f>
        <v>35.96</v>
      </c>
      <c r="J36" s="756" t="s">
        <v>447</v>
      </c>
      <c r="K36" s="442">
        <f>ROUND((K35*$D$36),2)</f>
        <v>0.7</v>
      </c>
      <c r="L36" s="442">
        <f>ROUND((L35*$D$36),2)</f>
        <v>2.71</v>
      </c>
      <c r="M36" s="442">
        <f>ROUND((M35*$D$36),2)</f>
        <v>3.61</v>
      </c>
      <c r="N36" s="442">
        <f>ROUND((N35*$D$36),2)</f>
        <v>2.23</v>
      </c>
      <c r="O36" s="1018">
        <f>ROUND((O35*$D$36),2)</f>
        <v>2.15</v>
      </c>
    </row>
    <row r="37" spans="1:15" ht="24.75" customHeight="1" x14ac:dyDescent="0.2">
      <c r="A37" s="421" t="s">
        <v>4389</v>
      </c>
      <c r="B37" s="422"/>
      <c r="C37" s="422"/>
      <c r="D37" s="237">
        <f>SUM($D$34:$D$36)</f>
        <v>0.1179</v>
      </c>
      <c r="E37" s="232"/>
      <c r="F37" s="232">
        <f>$F$34+$F$36</f>
        <v>748.76</v>
      </c>
      <c r="G37" s="232">
        <f>$G$34+$G$36</f>
        <v>66.900000000000006</v>
      </c>
      <c r="H37" s="232">
        <f>H34+H36</f>
        <v>0</v>
      </c>
      <c r="I37" s="233">
        <f>$I$34+$I$36</f>
        <v>61.18</v>
      </c>
      <c r="J37" s="1019" t="s">
        <v>4390</v>
      </c>
      <c r="K37" s="443">
        <f>K34+K36</f>
        <v>1.19</v>
      </c>
      <c r="L37" s="443">
        <f>L34+L36</f>
        <v>4.6099999999999994</v>
      </c>
      <c r="M37" s="443">
        <f>M34+M36</f>
        <v>6.14</v>
      </c>
      <c r="N37" s="443">
        <f>N34+N36</f>
        <v>3.8</v>
      </c>
      <c r="O37" s="1020">
        <f>O34+O36</f>
        <v>3.66</v>
      </c>
    </row>
    <row r="38" spans="1:15" ht="24.75" customHeight="1" x14ac:dyDescent="0.2">
      <c r="A38" s="1631" t="s">
        <v>4391</v>
      </c>
      <c r="B38" s="1632"/>
      <c r="C38" s="1632"/>
      <c r="D38" s="1632"/>
      <c r="E38" s="1632"/>
      <c r="F38" s="232">
        <f>$F$15+$F$30+$F$37</f>
        <v>6921.848</v>
      </c>
      <c r="G38" s="232">
        <f>$G$15+$G$30+$G$37</f>
        <v>618.48</v>
      </c>
      <c r="H38" s="232">
        <f>H15+H30+H37</f>
        <v>0</v>
      </c>
      <c r="I38" s="233">
        <f>$I$15+$I$30+$I$37</f>
        <v>565.50800000000004</v>
      </c>
      <c r="J38" s="1019" t="s">
        <v>4392</v>
      </c>
      <c r="K38" s="443">
        <f>K15+K30+K37</f>
        <v>11.050759999999999</v>
      </c>
      <c r="L38" s="443">
        <f>L15+L30+L37</f>
        <v>42.588920000000002</v>
      </c>
      <c r="M38" s="443">
        <f>M15+M30+M37</f>
        <v>56.766800000000003</v>
      </c>
      <c r="N38" s="443">
        <f>N15+N30+N37</f>
        <v>35.14</v>
      </c>
      <c r="O38" s="1020">
        <f>O15+O30+O37</f>
        <v>33.760000000000005</v>
      </c>
    </row>
    <row r="39" spans="1:15" ht="19.5" customHeight="1" x14ac:dyDescent="0.2">
      <c r="A39" s="1638" t="s">
        <v>4393</v>
      </c>
      <c r="B39" s="1639"/>
      <c r="C39" s="1639"/>
      <c r="D39" s="1639"/>
      <c r="E39" s="1639"/>
      <c r="F39" s="1639"/>
      <c r="G39" s="1639"/>
      <c r="H39" s="1639"/>
      <c r="I39" s="1640"/>
      <c r="J39" s="1025"/>
      <c r="K39" s="445"/>
      <c r="L39" s="445"/>
      <c r="M39" s="445"/>
      <c r="N39" s="980"/>
      <c r="O39" s="1022"/>
    </row>
    <row r="40" spans="1:15" ht="19.5" customHeight="1" x14ac:dyDescent="0.2">
      <c r="A40" s="411" t="s">
        <v>452</v>
      </c>
      <c r="B40" s="235"/>
      <c r="C40" s="235"/>
      <c r="D40" s="236">
        <f>Dados!$G$61</f>
        <v>0.03</v>
      </c>
      <c r="E40" s="230"/>
      <c r="F40" s="230">
        <f>ROUND(($F$45*$D$40),2)</f>
        <v>221.26</v>
      </c>
      <c r="G40" s="230">
        <f>ROUND(($G$45*$D$40),2)</f>
        <v>19.77</v>
      </c>
      <c r="H40" s="230">
        <f>ROUND(($H$45*$D$40),2)</f>
        <v>0</v>
      </c>
      <c r="I40" s="1002">
        <f>ROUND(($I$45*$D$40),2)</f>
        <v>18.079999999999998</v>
      </c>
      <c r="J40" s="1026" t="s">
        <v>452</v>
      </c>
      <c r="K40" s="442">
        <f>ROUND((K45*$D$40),2)</f>
        <v>0.35</v>
      </c>
      <c r="L40" s="442">
        <f>ROUND((L45*$D$40),2)</f>
        <v>1.36</v>
      </c>
      <c r="M40" s="442">
        <f>ROUND((M45*$D$40),2)</f>
        <v>1.81</v>
      </c>
      <c r="N40" s="442">
        <f>ROUND((N45*$D$40),2)</f>
        <v>1.1200000000000001</v>
      </c>
      <c r="O40" s="1018">
        <f>ROUND((O45*$D$40),2)</f>
        <v>1.08</v>
      </c>
    </row>
    <row r="41" spans="1:15" ht="19.5" customHeight="1" x14ac:dyDescent="0.2">
      <c r="A41" s="411" t="s">
        <v>454</v>
      </c>
      <c r="B41" s="235"/>
      <c r="C41" s="235"/>
      <c r="D41" s="236">
        <f>Dados!$G$62</f>
        <v>6.4999999999999997E-3</v>
      </c>
      <c r="E41" s="230"/>
      <c r="F41" s="230">
        <f>ROUND(($F$45*$D$41),2)</f>
        <v>47.94</v>
      </c>
      <c r="G41" s="230">
        <f>ROUND(($G$45*$D$41),2)</f>
        <v>4.28</v>
      </c>
      <c r="H41" s="230">
        <f>ROUND(($H$45*$D$41),2)</f>
        <v>0</v>
      </c>
      <c r="I41" s="1002">
        <f>ROUND(($I$45*$D$41),2)</f>
        <v>3.92</v>
      </c>
      <c r="J41" s="1026" t="s">
        <v>454</v>
      </c>
      <c r="K41" s="442">
        <f>ROUND((K45*$D$42),2)</f>
        <v>0.28999999999999998</v>
      </c>
      <c r="L41" s="442">
        <f>ROUND((L45*$D$41),2)</f>
        <v>0.28999999999999998</v>
      </c>
      <c r="M41" s="442">
        <f>ROUND((M45*$D$41),2)</f>
        <v>0.39</v>
      </c>
      <c r="N41" s="442">
        <f>ROUND((N45*$D$41),2)</f>
        <v>0.24</v>
      </c>
      <c r="O41" s="1018">
        <f>ROUND((O45*$D$41),2)</f>
        <v>0.23</v>
      </c>
    </row>
    <row r="42" spans="1:15" ht="19.5" customHeight="1" x14ac:dyDescent="0.2">
      <c r="A42" s="411" t="s">
        <v>456</v>
      </c>
      <c r="B42" s="235"/>
      <c r="C42" s="235"/>
      <c r="D42" s="236">
        <f>Dados!$G$63</f>
        <v>2.5000000000000001E-2</v>
      </c>
      <c r="E42" s="230"/>
      <c r="F42" s="230">
        <f>ROUND(($F$45*$D$42),2)</f>
        <v>184.39</v>
      </c>
      <c r="G42" s="230">
        <f>ROUND(($G$45*$D$42),2)</f>
        <v>16.48</v>
      </c>
      <c r="H42" s="230">
        <f>ROUND(($H$45*$D$42),2)</f>
        <v>0</v>
      </c>
      <c r="I42" s="1002">
        <f>ROUND(($I$45*$D$42),2)</f>
        <v>15.06</v>
      </c>
      <c r="J42" s="1026" t="s">
        <v>456</v>
      </c>
      <c r="K42" s="442">
        <f>ROUND((K45*$D$42),2)</f>
        <v>0.28999999999999998</v>
      </c>
      <c r="L42" s="442">
        <f>ROUND((L45*$D$42),2)</f>
        <v>1.1299999999999999</v>
      </c>
      <c r="M42" s="442">
        <f>ROUND((M45*$D$42),2)</f>
        <v>1.51</v>
      </c>
      <c r="N42" s="442">
        <f>ROUND((N45*$D$42),2)</f>
        <v>0.94</v>
      </c>
      <c r="O42" s="1018">
        <f>ROUND((O45*$D$42),2)</f>
        <v>0.9</v>
      </c>
    </row>
    <row r="43" spans="1:15" ht="19.5" customHeight="1" x14ac:dyDescent="0.2">
      <c r="A43" s="411" t="str">
        <f>Dados!B64</f>
        <v>Outros (inserir somente com a justificativa legal) - não será permitido o uso da CPRB para a elaboração da proposta conforme consta no TR</v>
      </c>
      <c r="B43" s="235"/>
      <c r="C43" s="235"/>
      <c r="D43" s="236">
        <f>Dados!G64</f>
        <v>0</v>
      </c>
      <c r="E43" s="230"/>
      <c r="F43" s="230">
        <f>ROUND((F45*$D$43),2)</f>
        <v>0</v>
      </c>
      <c r="G43" s="230">
        <f>ROUND((G45*$D$43),2)</f>
        <v>0</v>
      </c>
      <c r="H43" s="230">
        <f>ROUND((H45*$D$43),2)</f>
        <v>0</v>
      </c>
      <c r="I43" s="1002">
        <f>ROUND((I45*$D$43),2)</f>
        <v>0</v>
      </c>
      <c r="J43" s="1026" t="s">
        <v>4394</v>
      </c>
      <c r="K43" s="442"/>
      <c r="L43" s="442"/>
      <c r="M43" s="442"/>
      <c r="N43" s="442"/>
      <c r="O43" s="1018"/>
    </row>
    <row r="44" spans="1:15" ht="30" customHeight="1" x14ac:dyDescent="0.2">
      <c r="A44" s="421" t="s">
        <v>4395</v>
      </c>
      <c r="B44" s="422"/>
      <c r="C44" s="422"/>
      <c r="D44" s="237">
        <f>SUM(D40:D43)</f>
        <v>6.1499999999999999E-2</v>
      </c>
      <c r="E44" s="232"/>
      <c r="F44" s="232">
        <f>SUM(F40:F43)</f>
        <v>453.59</v>
      </c>
      <c r="G44" s="232">
        <f>SUM(G40:G43)</f>
        <v>40.53</v>
      </c>
      <c r="H44" s="232">
        <f>SUM(H40:H43)</f>
        <v>0</v>
      </c>
      <c r="I44" s="233">
        <f>SUM(I40:I43)</f>
        <v>37.06</v>
      </c>
      <c r="J44" s="1019" t="s">
        <v>4396</v>
      </c>
      <c r="K44" s="443">
        <f>SUM(K40:K43)</f>
        <v>0.92999999999999994</v>
      </c>
      <c r="L44" s="443">
        <f>SUM(L40:L43)</f>
        <v>2.7800000000000002</v>
      </c>
      <c r="M44" s="443">
        <f>SUM(M40:M43)</f>
        <v>3.71</v>
      </c>
      <c r="N44" s="443">
        <f>SUM(N40:N43)</f>
        <v>2.2999999999999998</v>
      </c>
      <c r="O44" s="1020">
        <f>SUM(O40:O43)</f>
        <v>2.21</v>
      </c>
    </row>
    <row r="45" spans="1:15" ht="34.5" hidden="1" customHeight="1" thickBot="1" x14ac:dyDescent="0.25">
      <c r="A45" s="1641" t="str">
        <f>A8</f>
        <v>Pintor / Gesseiro</v>
      </c>
      <c r="B45" s="1642"/>
      <c r="C45" s="1642"/>
      <c r="D45" s="1642"/>
      <c r="E45" s="1642"/>
      <c r="F45" s="232">
        <f>ROUND($F$38/(1-$D$44),2)</f>
        <v>7375.44</v>
      </c>
      <c r="G45" s="232">
        <f>ROUND($G$38/(1-$D$44),2)</f>
        <v>659.01</v>
      </c>
      <c r="H45" s="232">
        <f>ROUND($H$38/(1-$D$44),2)</f>
        <v>0</v>
      </c>
      <c r="I45" s="233">
        <f>ROUND($I$38/(1-$D$44),2)</f>
        <v>602.57000000000005</v>
      </c>
      <c r="J45" s="1019" t="s">
        <v>585</v>
      </c>
      <c r="K45" s="443">
        <f>ROUND(K38/(1-$D$44),2)</f>
        <v>11.77</v>
      </c>
      <c r="L45" s="443">
        <f>ROUND(L38/(1-$D$44),2)</f>
        <v>45.38</v>
      </c>
      <c r="M45" s="443">
        <f>ROUND(M38/(1-$D$44),2)</f>
        <v>60.49</v>
      </c>
      <c r="N45" s="443">
        <f>ROUND(N38/(1-$D$44),2)</f>
        <v>37.44</v>
      </c>
      <c r="O45" s="1020">
        <f>ROUND(O38/(1-$D$44),2)</f>
        <v>35.97</v>
      </c>
    </row>
    <row r="46" spans="1:15" ht="30" customHeight="1" x14ac:dyDescent="0.2">
      <c r="A46" s="1643" t="str">
        <f>A8</f>
        <v>Pintor / Gesseiro</v>
      </c>
      <c r="B46" s="1644"/>
      <c r="C46" s="1644"/>
      <c r="D46" s="1644"/>
      <c r="E46" s="1644"/>
      <c r="F46" s="984">
        <f>$F$45</f>
        <v>7375.44</v>
      </c>
      <c r="G46" s="984">
        <f>$G$45</f>
        <v>659.01</v>
      </c>
      <c r="H46" s="984">
        <f>$H$45</f>
        <v>0</v>
      </c>
      <c r="I46" s="1005">
        <f>$I$45</f>
        <v>602.57000000000005</v>
      </c>
      <c r="J46" s="1019" t="s">
        <v>585</v>
      </c>
      <c r="K46" s="446">
        <f>K45</f>
        <v>11.77</v>
      </c>
      <c r="L46" s="446">
        <f>L45</f>
        <v>45.38</v>
      </c>
      <c r="M46" s="446">
        <f>M45</f>
        <v>60.49</v>
      </c>
      <c r="N46" s="446">
        <f>N45</f>
        <v>37.44</v>
      </c>
      <c r="O46" s="1027">
        <f>O45</f>
        <v>35.97</v>
      </c>
    </row>
    <row r="47" spans="1:15" ht="29.25" customHeight="1" thickBot="1" x14ac:dyDescent="0.25">
      <c r="A47" s="1634" t="s">
        <v>4397</v>
      </c>
      <c r="B47" s="1635"/>
      <c r="C47" s="1635"/>
      <c r="D47" s="1635"/>
      <c r="E47" s="1635"/>
      <c r="F47" s="1006">
        <f>($F$46/$F$13)/100</f>
        <v>2.803070842201277E-2</v>
      </c>
      <c r="G47" s="1006"/>
      <c r="H47" s="1006"/>
      <c r="I47" s="1007"/>
      <c r="J47" s="1028"/>
      <c r="K47" s="1029"/>
      <c r="L47" s="1029"/>
      <c r="M47" s="1029"/>
      <c r="N47" s="1029"/>
      <c r="O47" s="1030"/>
    </row>
  </sheetData>
  <mergeCells count="46">
    <mergeCell ref="A25:B25"/>
    <mergeCell ref="A26:B26"/>
    <mergeCell ref="A27:B27"/>
    <mergeCell ref="A28:B28"/>
    <mergeCell ref="B10:C10"/>
    <mergeCell ref="F10:I10"/>
    <mergeCell ref="A11:A14"/>
    <mergeCell ref="B11:C11"/>
    <mergeCell ref="B12:C12"/>
    <mergeCell ref="A24:B24"/>
    <mergeCell ref="A19:B19"/>
    <mergeCell ref="A5:I5"/>
    <mergeCell ref="A6:I6"/>
    <mergeCell ref="A7:I7"/>
    <mergeCell ref="F8:F9"/>
    <mergeCell ref="G8:G9"/>
    <mergeCell ref="H8:H9"/>
    <mergeCell ref="I8:I9"/>
    <mergeCell ref="A9:D9"/>
    <mergeCell ref="A8:B8"/>
    <mergeCell ref="A18:B18"/>
    <mergeCell ref="A23:B23"/>
    <mergeCell ref="A21:B21"/>
    <mergeCell ref="B13:E13"/>
    <mergeCell ref="B14:D14"/>
    <mergeCell ref="A15:E15"/>
    <mergeCell ref="A16:I16"/>
    <mergeCell ref="A17:B17"/>
    <mergeCell ref="D17:I17"/>
    <mergeCell ref="A22:B22"/>
    <mergeCell ref="A30:E30"/>
    <mergeCell ref="A31:E31"/>
    <mergeCell ref="A32:I32"/>
    <mergeCell ref="A33:C33"/>
    <mergeCell ref="D33:E33"/>
    <mergeCell ref="F33:I33"/>
    <mergeCell ref="N7:O7"/>
    <mergeCell ref="J7:J9"/>
    <mergeCell ref="K7:M7"/>
    <mergeCell ref="A47:E47"/>
    <mergeCell ref="A35:C35"/>
    <mergeCell ref="A38:E38"/>
    <mergeCell ref="A39:I39"/>
    <mergeCell ref="A45:E45"/>
    <mergeCell ref="A46:E46"/>
    <mergeCell ref="A29:B29"/>
  </mergeCells>
  <printOptions horizontalCentered="1"/>
  <pageMargins left="0.196527777777778" right="0.196527777777778" top="0.56041666666666701" bottom="0.56041666666666701" header="0.39374999999999999" footer="0.39374999999999999"/>
  <pageSetup paperSize="9" scale="49" orientation="portrait" r:id="rId1"/>
  <headerFooter>
    <oddHeader>&amp;C&amp;12&amp;A</oddHeader>
    <oddFooter>&amp;C&amp;12&amp;P</oddFooter>
  </headerFooter>
  <rowBreaks count="1" manualBreakCount="1">
    <brk id="47"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5B86-5A7F-4604-BD67-0AF1495D9A84}">
  <sheetPr>
    <pageSetUpPr fitToPage="1"/>
  </sheetPr>
  <dimension ref="A1:U36"/>
  <sheetViews>
    <sheetView view="pageBreakPreview" zoomScaleNormal="100" zoomScaleSheetLayoutView="100" workbookViewId="0">
      <selection activeCell="L16" sqref="L16"/>
    </sheetView>
  </sheetViews>
  <sheetFormatPr defaultRowHeight="12.75" customHeight="1" x14ac:dyDescent="0.2"/>
  <cols>
    <col min="1" max="1" width="8.5" style="57" customWidth="1"/>
    <col min="2" max="2" width="37.33203125" style="57" customWidth="1"/>
    <col min="3" max="3" width="9.33203125" style="57"/>
    <col min="4" max="4" width="10.33203125" style="57" customWidth="1"/>
    <col min="5" max="5" width="11" style="57" customWidth="1"/>
    <col min="6" max="20" width="12.33203125" style="57" customWidth="1"/>
    <col min="21" max="16384" width="9.33203125" style="57"/>
  </cols>
  <sheetData>
    <row r="1" spans="1:21" ht="17.25" x14ac:dyDescent="0.3">
      <c r="A1" s="1144"/>
      <c r="B1" s="1145"/>
      <c r="C1" s="864" t="s">
        <v>120</v>
      </c>
      <c r="D1" s="1145"/>
      <c r="E1" s="1145"/>
      <c r="F1" s="1145"/>
      <c r="G1" s="1145"/>
      <c r="H1" s="1145"/>
      <c r="I1" s="1145"/>
      <c r="J1" s="1145"/>
      <c r="K1" s="1145"/>
      <c r="L1" s="1145"/>
      <c r="M1" s="1145"/>
      <c r="N1" s="1145"/>
      <c r="O1" s="1145"/>
      <c r="P1" s="1145"/>
      <c r="Q1" s="1145"/>
      <c r="R1" s="1145"/>
      <c r="S1" s="1145"/>
      <c r="T1" s="1145"/>
      <c r="U1" s="1146"/>
    </row>
    <row r="2" spans="1:21" x14ac:dyDescent="0.2">
      <c r="A2" s="1147"/>
      <c r="B2" s="1148"/>
      <c r="C2" s="784" t="s">
        <v>1</v>
      </c>
      <c r="D2" s="1149"/>
      <c r="E2" s="1149"/>
      <c r="F2" s="1149"/>
      <c r="G2" s="1149"/>
      <c r="H2" s="1149"/>
      <c r="I2" s="1149"/>
      <c r="J2" s="1149"/>
      <c r="K2" s="1149"/>
      <c r="L2" s="1149"/>
      <c r="M2" s="1149"/>
      <c r="N2" s="1149"/>
      <c r="O2" s="1149"/>
      <c r="P2" s="1149"/>
      <c r="Q2" s="1149"/>
      <c r="R2" s="1149"/>
      <c r="S2" s="1149"/>
      <c r="T2" s="1149"/>
      <c r="U2" s="1150"/>
    </row>
    <row r="3" spans="1:21" x14ac:dyDescent="0.2">
      <c r="A3" s="1147"/>
      <c r="B3" s="1151"/>
      <c r="C3" s="784" t="s">
        <v>2</v>
      </c>
      <c r="D3" s="1149"/>
      <c r="E3" s="1149"/>
      <c r="F3" s="1149"/>
      <c r="G3" s="1149"/>
      <c r="H3" s="1149"/>
      <c r="I3" s="1149"/>
      <c r="J3" s="1149"/>
      <c r="K3" s="1149"/>
      <c r="L3" s="1149"/>
      <c r="M3" s="1149"/>
      <c r="N3" s="1149"/>
      <c r="O3" s="1149"/>
      <c r="P3" s="1149"/>
      <c r="Q3" s="1149"/>
      <c r="R3" s="1149"/>
      <c r="S3" s="1149"/>
      <c r="T3" s="1149"/>
      <c r="U3" s="1150"/>
    </row>
    <row r="4" spans="1:21" x14ac:dyDescent="0.2">
      <c r="A4" s="1152"/>
      <c r="B4" s="1153"/>
      <c r="C4" s="785" t="s">
        <v>493</v>
      </c>
      <c r="D4" s="1154"/>
      <c r="E4" s="1154"/>
      <c r="F4" s="1154"/>
      <c r="G4" s="1154"/>
      <c r="H4" s="1154"/>
      <c r="I4" s="1154"/>
      <c r="J4" s="1154"/>
      <c r="K4" s="1154"/>
      <c r="L4" s="1154"/>
      <c r="M4" s="1154"/>
      <c r="N4" s="1154"/>
      <c r="O4" s="1154"/>
      <c r="P4" s="1154"/>
      <c r="Q4" s="1154"/>
      <c r="R4" s="1154"/>
      <c r="S4" s="1154"/>
      <c r="T4" s="1154"/>
      <c r="U4" s="1155"/>
    </row>
    <row r="5" spans="1:21" ht="15.75" x14ac:dyDescent="0.2">
      <c r="A5" s="1711" t="str">
        <f>'Resumo_1.1'!$A$5</f>
        <v>ANEXO II-1.1 – PLANILHA DE CUSTOS E FORMAÇÃO DE PREÇOS DO LICITANTE – EQUIPE RESIDENTE</v>
      </c>
      <c r="B5" s="1711"/>
      <c r="C5" s="1711"/>
      <c r="D5" s="1711"/>
      <c r="E5" s="1711"/>
      <c r="F5" s="1711"/>
      <c r="G5" s="1711"/>
      <c r="H5" s="1711"/>
      <c r="I5" s="1711"/>
      <c r="J5" s="1711"/>
      <c r="K5" s="1711"/>
      <c r="L5" s="1711"/>
      <c r="M5" s="1711"/>
      <c r="N5" s="1711"/>
      <c r="O5" s="1711"/>
      <c r="P5" s="1711"/>
      <c r="Q5" s="1711"/>
      <c r="R5" s="1711"/>
      <c r="S5" s="1711"/>
      <c r="T5" s="1711"/>
      <c r="U5" s="1711"/>
    </row>
    <row r="6" spans="1:21" ht="15" customHeight="1" x14ac:dyDescent="0.2">
      <c r="A6" s="1711" t="s">
        <v>4403</v>
      </c>
      <c r="B6" s="1711"/>
      <c r="C6" s="1711"/>
      <c r="D6" s="1711"/>
      <c r="E6" s="1711"/>
      <c r="F6" s="1711"/>
      <c r="G6" s="1711"/>
      <c r="H6" s="1711"/>
      <c r="I6" s="1711"/>
      <c r="J6" s="1711"/>
      <c r="K6" s="1711"/>
      <c r="L6" s="1711"/>
      <c r="M6" s="1711"/>
      <c r="N6" s="1711"/>
      <c r="O6" s="1711"/>
      <c r="P6" s="1711"/>
      <c r="Q6" s="1711"/>
      <c r="R6" s="1711"/>
      <c r="S6" s="1711"/>
      <c r="T6" s="1711"/>
      <c r="U6" s="1711"/>
    </row>
    <row r="7" spans="1:21" s="249" customFormat="1" ht="60" customHeight="1" x14ac:dyDescent="0.2">
      <c r="A7" s="1712" t="s">
        <v>4404</v>
      </c>
      <c r="B7" s="1712"/>
      <c r="C7" s="1712"/>
      <c r="D7" s="1712"/>
      <c r="E7" s="1713" t="s">
        <v>4384</v>
      </c>
      <c r="F7" s="1156" t="str">
        <f>Dados!B11</f>
        <v>Engenheiro de Manutenção (Pleno)</v>
      </c>
      <c r="G7" s="1157" t="str">
        <f>Dados!$B$12</f>
        <v>Líder Técnico</v>
      </c>
      <c r="H7" s="1157" t="str">
        <f>Dados!$B$15</f>
        <v>Técnico Eletrotécnico (12x36 diurno) - (EPI Eletricista)</v>
      </c>
      <c r="I7" s="1157" t="str">
        <f>Dados!$B$16</f>
        <v>Técnico Eletrotécnico (12x36 noturno) - (EPI Eletricista)</v>
      </c>
      <c r="J7" s="1157" t="str">
        <f>Dados!$B$14</f>
        <v>Técnico em Edificações</v>
      </c>
      <c r="K7" s="1157" t="str">
        <f>Dados!$B$13</f>
        <v>Assistente de Engenharia</v>
      </c>
      <c r="L7" s="1157" t="str">
        <f>Dados!$B$21</f>
        <v>Oficial em Telecom / Eletrônica</v>
      </c>
      <c r="M7" s="1157" t="str">
        <f>Dados!$B$17</f>
        <v>Oficial Eletricista - (EPI Eletricista)</v>
      </c>
      <c r="N7" s="1157" t="str">
        <f>Dados!$B$18</f>
        <v>Ajudante de Eletricista - (EPI Eletricista)</v>
      </c>
      <c r="O7" s="1157" t="str">
        <f>Dados!$B$22</f>
        <v>Oficial Encanador / Bombeiro</v>
      </c>
      <c r="P7" s="1157" t="str">
        <f>Dados!$B$23</f>
        <v>Oficial Marceneiro</v>
      </c>
      <c r="Q7" s="1157" t="str">
        <f>Dados!$B$24</f>
        <v>Pedreiro</v>
      </c>
      <c r="R7" s="1157" t="str">
        <f>Dados!$B$25</f>
        <v>Serralheiro</v>
      </c>
      <c r="S7" s="1157" t="str">
        <f>Dados!$B$19</f>
        <v>Oficial de Manutenção - (EPI Eletricista)</v>
      </c>
      <c r="T7" s="1157" t="str">
        <f>Dados!$B$20</f>
        <v>Ajudante de Manutenção (meio oficial)</v>
      </c>
      <c r="U7" s="1157" t="str">
        <f>Dados!$B$26</f>
        <v>Pintor / Gesseiro</v>
      </c>
    </row>
    <row r="8" spans="1:21" s="250" customFormat="1" ht="19.350000000000001" customHeight="1" x14ac:dyDescent="0.2">
      <c r="A8" s="1158" t="s">
        <v>4405</v>
      </c>
      <c r="B8" s="1714" t="s">
        <v>533</v>
      </c>
      <c r="C8" s="1714"/>
      <c r="D8" s="1714"/>
      <c r="E8" s="1713"/>
      <c r="F8" s="1715" t="s">
        <v>4406</v>
      </c>
      <c r="G8" s="1715"/>
      <c r="H8" s="1715"/>
      <c r="I8" s="1715"/>
      <c r="J8" s="1715"/>
      <c r="K8" s="1715"/>
      <c r="L8" s="1715"/>
      <c r="M8" s="1715"/>
      <c r="N8" s="1715"/>
      <c r="O8" s="1715"/>
      <c r="P8" s="1715"/>
      <c r="Q8" s="1715"/>
      <c r="R8" s="1159"/>
      <c r="S8" s="1159"/>
      <c r="T8" s="1159"/>
      <c r="U8" s="1160"/>
    </row>
    <row r="9" spans="1:21" ht="19.350000000000001" customHeight="1" x14ac:dyDescent="0.2">
      <c r="A9" s="1161">
        <v>1</v>
      </c>
      <c r="B9" s="1716" t="s">
        <v>4407</v>
      </c>
      <c r="C9" s="1716"/>
      <c r="D9" s="1716"/>
      <c r="E9" s="1716"/>
      <c r="F9" s="1162">
        <f>Dados!$N$11</f>
        <v>13347.64</v>
      </c>
      <c r="G9" s="1162">
        <f>Dados!$N$12</f>
        <v>7812.7049999999999</v>
      </c>
      <c r="H9" s="1162">
        <f>Dados!$N$15</f>
        <v>5345.5349999999999</v>
      </c>
      <c r="I9" s="1162">
        <f>Dados!$N$16</f>
        <v>6011.9949999999999</v>
      </c>
      <c r="J9" s="1162">
        <f>Dados!$N$14</f>
        <v>4328.3159999999998</v>
      </c>
      <c r="K9" s="1162">
        <f>Dados!$N$13</f>
        <v>3809.45</v>
      </c>
      <c r="L9" s="1162">
        <f>Dados!$N$21</f>
        <v>2631.2</v>
      </c>
      <c r="M9" s="1162">
        <f>Dados!$N$17</f>
        <v>3420.5599999999995</v>
      </c>
      <c r="N9" s="1162">
        <f>Dados!$N$18</f>
        <v>2868.1509999999998</v>
      </c>
      <c r="O9" s="1162">
        <f>Dados!$N$22</f>
        <v>3279.6</v>
      </c>
      <c r="P9" s="1162">
        <f>Dados!$N$23</f>
        <v>2955.3999999999996</v>
      </c>
      <c r="Q9" s="1162">
        <f>Dados!$N$24</f>
        <v>2631.2</v>
      </c>
      <c r="R9" s="1162">
        <f>Dados!$N$25</f>
        <v>2631.2</v>
      </c>
      <c r="S9" s="1162">
        <f>Dados!$N$19</f>
        <v>3683.6799999999994</v>
      </c>
      <c r="T9" s="1162">
        <f>Dados!$N$20</f>
        <v>2206.27</v>
      </c>
      <c r="U9" s="1162">
        <f>Dados!$N$26</f>
        <v>2631.2</v>
      </c>
    </row>
    <row r="10" spans="1:21" ht="19.350000000000001" customHeight="1" x14ac:dyDescent="0.2">
      <c r="A10" s="1163" t="s">
        <v>4408</v>
      </c>
      <c r="B10" s="1717" t="s">
        <v>4409</v>
      </c>
      <c r="C10" s="1717"/>
      <c r="D10" s="1717"/>
      <c r="E10" s="1164">
        <f>Encargos!$C$39</f>
        <v>9.0899999999999995E-2</v>
      </c>
      <c r="F10" s="251">
        <f t="shared" ref="F10:U10" si="0">ROUND(F9*$E$10,2)</f>
        <v>1213.3</v>
      </c>
      <c r="G10" s="251">
        <f t="shared" si="0"/>
        <v>710.17</v>
      </c>
      <c r="H10" s="251">
        <f t="shared" si="0"/>
        <v>485.91</v>
      </c>
      <c r="I10" s="251">
        <f t="shared" si="0"/>
        <v>546.49</v>
      </c>
      <c r="J10" s="251">
        <f t="shared" si="0"/>
        <v>393.44</v>
      </c>
      <c r="K10" s="251">
        <f t="shared" si="0"/>
        <v>346.28</v>
      </c>
      <c r="L10" s="251">
        <f t="shared" si="0"/>
        <v>239.18</v>
      </c>
      <c r="M10" s="251">
        <f t="shared" si="0"/>
        <v>310.93</v>
      </c>
      <c r="N10" s="251">
        <f t="shared" si="0"/>
        <v>260.70999999999998</v>
      </c>
      <c r="O10" s="251">
        <f t="shared" si="0"/>
        <v>298.12</v>
      </c>
      <c r="P10" s="251">
        <f t="shared" si="0"/>
        <v>268.64999999999998</v>
      </c>
      <c r="Q10" s="252">
        <f t="shared" si="0"/>
        <v>239.18</v>
      </c>
      <c r="R10" s="252">
        <f t="shared" si="0"/>
        <v>239.18</v>
      </c>
      <c r="S10" s="252">
        <f t="shared" si="0"/>
        <v>334.85</v>
      </c>
      <c r="T10" s="252">
        <f t="shared" si="0"/>
        <v>200.55</v>
      </c>
      <c r="U10" s="252">
        <f t="shared" si="0"/>
        <v>239.18</v>
      </c>
    </row>
    <row r="11" spans="1:21" ht="19.350000000000001" customHeight="1" x14ac:dyDescent="0.2">
      <c r="A11" s="1165" t="s">
        <v>4410</v>
      </c>
      <c r="B11" s="1708" t="s">
        <v>539</v>
      </c>
      <c r="C11" s="1708"/>
      <c r="D11" s="1708"/>
      <c r="E11" s="1166">
        <f>Encargos!$C$18*E10</f>
        <v>3.6178200000000008E-2</v>
      </c>
      <c r="F11" s="252">
        <f t="shared" ref="F11:U11" si="1">ROUND(F9*$E$11,2)</f>
        <v>482.89</v>
      </c>
      <c r="G11" s="252">
        <f t="shared" si="1"/>
        <v>282.64999999999998</v>
      </c>
      <c r="H11" s="252">
        <f t="shared" si="1"/>
        <v>193.39</v>
      </c>
      <c r="I11" s="252">
        <f t="shared" si="1"/>
        <v>217.5</v>
      </c>
      <c r="J11" s="252">
        <f t="shared" si="1"/>
        <v>156.59</v>
      </c>
      <c r="K11" s="252">
        <f t="shared" si="1"/>
        <v>137.82</v>
      </c>
      <c r="L11" s="252">
        <f t="shared" si="1"/>
        <v>95.19</v>
      </c>
      <c r="M11" s="252">
        <f t="shared" si="1"/>
        <v>123.75</v>
      </c>
      <c r="N11" s="252">
        <f t="shared" si="1"/>
        <v>103.76</v>
      </c>
      <c r="O11" s="252">
        <f t="shared" si="1"/>
        <v>118.65</v>
      </c>
      <c r="P11" s="252">
        <f t="shared" si="1"/>
        <v>106.92</v>
      </c>
      <c r="Q11" s="252">
        <f t="shared" si="1"/>
        <v>95.19</v>
      </c>
      <c r="R11" s="252">
        <f t="shared" si="1"/>
        <v>95.19</v>
      </c>
      <c r="S11" s="252">
        <f t="shared" si="1"/>
        <v>133.27000000000001</v>
      </c>
      <c r="T11" s="252">
        <f t="shared" si="1"/>
        <v>79.819999999999993</v>
      </c>
      <c r="U11" s="252">
        <f t="shared" si="1"/>
        <v>95.19</v>
      </c>
    </row>
    <row r="12" spans="1:21" ht="19.350000000000001" customHeight="1" x14ac:dyDescent="0.2">
      <c r="A12" s="1718" t="s">
        <v>4411</v>
      </c>
      <c r="B12" s="1718"/>
      <c r="C12" s="1718"/>
      <c r="D12" s="1718"/>
      <c r="E12" s="1167">
        <f t="shared" ref="E12:U12" si="2">SUM(E10:E11)</f>
        <v>0.1270782</v>
      </c>
      <c r="F12" s="253">
        <f t="shared" si="2"/>
        <v>1696.19</v>
      </c>
      <c r="G12" s="253">
        <f t="shared" si="2"/>
        <v>992.81999999999994</v>
      </c>
      <c r="H12" s="253">
        <f t="shared" si="2"/>
        <v>679.3</v>
      </c>
      <c r="I12" s="253">
        <f t="shared" si="2"/>
        <v>763.99</v>
      </c>
      <c r="J12" s="253">
        <f t="shared" si="2"/>
        <v>550.03</v>
      </c>
      <c r="K12" s="253">
        <f t="shared" si="2"/>
        <v>484.09999999999997</v>
      </c>
      <c r="L12" s="253">
        <f t="shared" si="2"/>
        <v>334.37</v>
      </c>
      <c r="M12" s="253">
        <f t="shared" si="2"/>
        <v>434.68</v>
      </c>
      <c r="N12" s="253">
        <f t="shared" si="2"/>
        <v>364.46999999999997</v>
      </c>
      <c r="O12" s="253">
        <f t="shared" si="2"/>
        <v>416.77</v>
      </c>
      <c r="P12" s="253">
        <f t="shared" si="2"/>
        <v>375.57</v>
      </c>
      <c r="Q12" s="253">
        <f t="shared" si="2"/>
        <v>334.37</v>
      </c>
      <c r="R12" s="253">
        <f t="shared" si="2"/>
        <v>334.37</v>
      </c>
      <c r="S12" s="253">
        <f t="shared" si="2"/>
        <v>468.12</v>
      </c>
      <c r="T12" s="253">
        <f t="shared" si="2"/>
        <v>280.37</v>
      </c>
      <c r="U12" s="253">
        <f t="shared" si="2"/>
        <v>334.37</v>
      </c>
    </row>
    <row r="13" spans="1:21" ht="19.350000000000001" customHeight="1" x14ac:dyDescent="0.2">
      <c r="A13" s="1718" t="s">
        <v>4412</v>
      </c>
      <c r="B13" s="1718"/>
      <c r="C13" s="1718"/>
      <c r="D13" s="1718"/>
      <c r="E13" s="1718"/>
      <c r="F13" s="253">
        <f t="shared" ref="F13:U13" si="3">F12*12</f>
        <v>20354.28</v>
      </c>
      <c r="G13" s="253">
        <f t="shared" si="3"/>
        <v>11913.84</v>
      </c>
      <c r="H13" s="253">
        <f t="shared" si="3"/>
        <v>8151.5999999999995</v>
      </c>
      <c r="I13" s="253">
        <f t="shared" si="3"/>
        <v>9167.880000000001</v>
      </c>
      <c r="J13" s="253">
        <f t="shared" si="3"/>
        <v>6600.36</v>
      </c>
      <c r="K13" s="253">
        <f t="shared" si="3"/>
        <v>5809.2</v>
      </c>
      <c r="L13" s="253">
        <f t="shared" si="3"/>
        <v>4012.44</v>
      </c>
      <c r="M13" s="253">
        <f t="shared" si="3"/>
        <v>5216.16</v>
      </c>
      <c r="N13" s="253">
        <f t="shared" si="3"/>
        <v>4373.6399999999994</v>
      </c>
      <c r="O13" s="253">
        <f t="shared" si="3"/>
        <v>5001.24</v>
      </c>
      <c r="P13" s="253">
        <f t="shared" si="3"/>
        <v>4506.84</v>
      </c>
      <c r="Q13" s="253">
        <f t="shared" si="3"/>
        <v>4012.44</v>
      </c>
      <c r="R13" s="253">
        <f t="shared" si="3"/>
        <v>4012.44</v>
      </c>
      <c r="S13" s="253">
        <f t="shared" si="3"/>
        <v>5617.4400000000005</v>
      </c>
      <c r="T13" s="253">
        <f t="shared" si="3"/>
        <v>3364.44</v>
      </c>
      <c r="U13" s="253">
        <f t="shared" si="3"/>
        <v>4012.44</v>
      </c>
    </row>
    <row r="14" spans="1:21" ht="19.350000000000001" customHeight="1" x14ac:dyDescent="0.2">
      <c r="A14" s="1168">
        <v>2</v>
      </c>
      <c r="B14" s="1169" t="s">
        <v>4413</v>
      </c>
      <c r="C14" s="1170"/>
      <c r="D14" s="1171"/>
      <c r="E14" s="1172"/>
      <c r="F14" s="1173"/>
      <c r="G14" s="1174"/>
      <c r="H14" s="1174"/>
      <c r="I14" s="1174"/>
      <c r="J14" s="1174"/>
      <c r="K14" s="1174"/>
      <c r="L14" s="1174" t="s">
        <v>389</v>
      </c>
      <c r="M14" s="1174"/>
      <c r="N14" s="1174"/>
      <c r="O14" s="1174"/>
      <c r="P14" s="1174"/>
      <c r="Q14" s="1175"/>
      <c r="R14" s="1175"/>
      <c r="S14" s="1175"/>
      <c r="T14" s="1175"/>
      <c r="U14" s="1175"/>
    </row>
    <row r="15" spans="1:21" ht="19.350000000000001" customHeight="1" x14ac:dyDescent="0.2">
      <c r="A15" s="1165" t="s">
        <v>4408</v>
      </c>
      <c r="B15" s="1708" t="s">
        <v>4377</v>
      </c>
      <c r="C15" s="1708"/>
      <c r="D15" s="1708"/>
      <c r="E15" s="1176"/>
      <c r="F15" s="1177">
        <f>Engenheiro!F23</f>
        <v>739.2</v>
      </c>
      <c r="G15" s="1178">
        <f>Lider!F23</f>
        <v>739.2</v>
      </c>
      <c r="H15" s="1178">
        <f>'Técnico Elet. Diurno'!F23</f>
        <v>520.79999999999995</v>
      </c>
      <c r="I15" s="1178">
        <f>'Técnico Elet. Noturno'!F23</f>
        <v>520.79999999999995</v>
      </c>
      <c r="J15" s="1178">
        <f>'Técnico Edif.'!F23</f>
        <v>739.2</v>
      </c>
      <c r="K15" s="1178">
        <f>'Assistente Eng.'!F23</f>
        <v>739.2</v>
      </c>
      <c r="L15" s="1178">
        <f>'Ofic. Eletrônico'!F23</f>
        <v>551.58000000000004</v>
      </c>
      <c r="M15" s="1178">
        <f>'Ofic. Eletricista'!F23</f>
        <v>551.58000000000004</v>
      </c>
      <c r="N15" s="1178">
        <f>'Ajud. Eletricista'!F23</f>
        <v>551.58000000000004</v>
      </c>
      <c r="O15" s="1178">
        <f>'Ofic. Encanador'!F23</f>
        <v>551.58000000000004</v>
      </c>
      <c r="P15" s="1178">
        <f>'Ofic Marceneiro'!F23</f>
        <v>551.58000000000004</v>
      </c>
      <c r="Q15" s="1178">
        <f>'Ofic. Pedreiro'!F23</f>
        <v>551.58000000000004</v>
      </c>
      <c r="R15" s="1178">
        <f>'Ofic. Serralheiro'!F23</f>
        <v>551.58000000000004</v>
      </c>
      <c r="S15" s="1178">
        <f>'Ofic. Manutenção'!F23</f>
        <v>551.58000000000004</v>
      </c>
      <c r="T15" s="1178">
        <f>'Ajud Manutenção'!F23</f>
        <v>551.58000000000004</v>
      </c>
      <c r="U15" s="1178">
        <f>'Ofic. Pintor'!F23</f>
        <v>551.58000000000004</v>
      </c>
    </row>
    <row r="16" spans="1:21" ht="19.350000000000001" customHeight="1" x14ac:dyDescent="0.2">
      <c r="A16" s="1165" t="s">
        <v>4414</v>
      </c>
      <c r="B16" s="1708" t="s">
        <v>4376</v>
      </c>
      <c r="C16" s="1708"/>
      <c r="D16" s="1708"/>
      <c r="E16" s="1176"/>
      <c r="F16" s="1177">
        <f>Engenheiro!F21</f>
        <v>0</v>
      </c>
      <c r="G16" s="1178">
        <f>Lider!F21</f>
        <v>415.48300000000006</v>
      </c>
      <c r="H16" s="1178">
        <f>'Técnico Elet. Diurno'!F21</f>
        <v>219.83300000000003</v>
      </c>
      <c r="I16" s="1178">
        <f>'Técnico Elet. Noturno'!F21</f>
        <v>219.83300000000003</v>
      </c>
      <c r="J16" s="1178">
        <f>'Técnico Edif.'!F21</f>
        <v>445.78420000000006</v>
      </c>
      <c r="K16" s="1178">
        <f>'Assistente Eng.'!F21</f>
        <v>433.63300000000004</v>
      </c>
      <c r="L16" s="1178">
        <f>'Ofic. Eletrônico'!F21</f>
        <v>504.32800000000009</v>
      </c>
      <c r="M16" s="1178">
        <f>'Ofic. Eletricista'!F21</f>
        <v>504.32800000000009</v>
      </c>
      <c r="N16" s="1178">
        <f>'Ajud. Eletricista'!F21</f>
        <v>529.82380000000012</v>
      </c>
      <c r="O16" s="1178">
        <f>'Ofic. Encanador'!F21</f>
        <v>504.32800000000009</v>
      </c>
      <c r="P16" s="1178">
        <f>'Ofic Marceneiro'!F21</f>
        <v>504.32800000000009</v>
      </c>
      <c r="Q16" s="1178">
        <f>'Ofic. Pedreiro'!F21</f>
        <v>504.32800000000009</v>
      </c>
      <c r="R16" s="1178">
        <f>'Ofic. Serralheiro'!F21</f>
        <v>504.32800000000009</v>
      </c>
      <c r="S16" s="1178">
        <f>'Ofic. Manutenção'!F21</f>
        <v>504.32800000000009</v>
      </c>
      <c r="T16" s="1178">
        <f>'Ajud Manutenção'!F21</f>
        <v>529.82380000000012</v>
      </c>
      <c r="U16" s="1178">
        <f>'Ofic. Pintor'!F21</f>
        <v>504.32800000000009</v>
      </c>
    </row>
    <row r="17" spans="1:21" ht="19.350000000000001" customHeight="1" x14ac:dyDescent="0.2">
      <c r="A17" s="1165" t="s">
        <v>4415</v>
      </c>
      <c r="B17" s="1179" t="s">
        <v>4416</v>
      </c>
      <c r="C17" s="1180"/>
      <c r="D17" s="1181"/>
      <c r="E17" s="1176"/>
      <c r="F17" s="1177">
        <v>0</v>
      </c>
      <c r="G17" s="1177">
        <v>0</v>
      </c>
      <c r="H17" s="1177">
        <v>0</v>
      </c>
      <c r="I17" s="1177">
        <v>0</v>
      </c>
      <c r="J17" s="1177">
        <v>0</v>
      </c>
      <c r="K17" s="1177">
        <v>0</v>
      </c>
      <c r="L17" s="1177">
        <v>0</v>
      </c>
      <c r="M17" s="1177">
        <v>0</v>
      </c>
      <c r="N17" s="1177">
        <v>0</v>
      </c>
      <c r="O17" s="1177">
        <v>0</v>
      </c>
      <c r="P17" s="1177">
        <v>0</v>
      </c>
      <c r="Q17" s="1177">
        <v>0</v>
      </c>
      <c r="R17" s="1177">
        <v>0</v>
      </c>
      <c r="S17" s="1177">
        <v>0</v>
      </c>
      <c r="T17" s="1177">
        <v>0</v>
      </c>
      <c r="U17" s="1177">
        <v>0</v>
      </c>
    </row>
    <row r="18" spans="1:21" ht="19.350000000000001" customHeight="1" x14ac:dyDescent="0.2">
      <c r="A18" s="1709" t="s">
        <v>4417</v>
      </c>
      <c r="B18" s="1709"/>
      <c r="C18" s="1709"/>
      <c r="D18" s="1709"/>
      <c r="E18" s="1709"/>
      <c r="F18" s="1182">
        <f t="shared" ref="F18:U19" si="4">SUM(F15:F17)</f>
        <v>739.2</v>
      </c>
      <c r="G18" s="1182">
        <f t="shared" si="4"/>
        <v>1154.683</v>
      </c>
      <c r="H18" s="1182">
        <f t="shared" si="4"/>
        <v>740.63300000000004</v>
      </c>
      <c r="I18" s="1182">
        <f t="shared" si="4"/>
        <v>740.63300000000004</v>
      </c>
      <c r="J18" s="1182">
        <f t="shared" si="4"/>
        <v>1184.9842000000001</v>
      </c>
      <c r="K18" s="1182">
        <f t="shared" si="4"/>
        <v>1172.8330000000001</v>
      </c>
      <c r="L18" s="1182">
        <f t="shared" si="4"/>
        <v>1055.9080000000001</v>
      </c>
      <c r="M18" s="1182">
        <f t="shared" si="4"/>
        <v>1055.9080000000001</v>
      </c>
      <c r="N18" s="1182">
        <f t="shared" si="4"/>
        <v>1081.4038</v>
      </c>
      <c r="O18" s="1182">
        <f t="shared" si="4"/>
        <v>1055.9080000000001</v>
      </c>
      <c r="P18" s="1182">
        <f t="shared" si="4"/>
        <v>1055.9080000000001</v>
      </c>
      <c r="Q18" s="1182">
        <f t="shared" si="4"/>
        <v>1055.9080000000001</v>
      </c>
      <c r="R18" s="1182">
        <f t="shared" si="4"/>
        <v>1055.9080000000001</v>
      </c>
      <c r="S18" s="1182">
        <f t="shared" si="4"/>
        <v>1055.9080000000001</v>
      </c>
      <c r="T18" s="1182">
        <f t="shared" si="4"/>
        <v>1081.4038</v>
      </c>
      <c r="U18" s="1182">
        <f t="shared" si="4"/>
        <v>1055.9080000000001</v>
      </c>
    </row>
    <row r="19" spans="1:21" ht="19.350000000000001" customHeight="1" x14ac:dyDescent="0.2">
      <c r="A19" s="1709" t="s">
        <v>4374</v>
      </c>
      <c r="B19" s="1709"/>
      <c r="C19" s="1709"/>
      <c r="D19" s="1709"/>
      <c r="E19" s="1709"/>
      <c r="F19" s="1182">
        <f t="shared" si="4"/>
        <v>739.2</v>
      </c>
      <c r="G19" s="1182">
        <f t="shared" si="4"/>
        <v>1570.1660000000002</v>
      </c>
      <c r="H19" s="1182">
        <f t="shared" si="4"/>
        <v>960.46600000000012</v>
      </c>
      <c r="I19" s="1182">
        <f t="shared" si="4"/>
        <v>960.46600000000012</v>
      </c>
      <c r="J19" s="1182">
        <f t="shared" si="4"/>
        <v>1630.7684000000002</v>
      </c>
      <c r="K19" s="1182">
        <f t="shared" si="4"/>
        <v>1606.4660000000001</v>
      </c>
      <c r="L19" s="1182">
        <f t="shared" si="4"/>
        <v>1560.2360000000003</v>
      </c>
      <c r="M19" s="1182">
        <f t="shared" si="4"/>
        <v>1560.2360000000003</v>
      </c>
      <c r="N19" s="1182">
        <f t="shared" si="4"/>
        <v>1611.2276000000002</v>
      </c>
      <c r="O19" s="1182">
        <f t="shared" si="4"/>
        <v>1560.2360000000003</v>
      </c>
      <c r="P19" s="1182">
        <f t="shared" si="4"/>
        <v>1560.2360000000003</v>
      </c>
      <c r="Q19" s="1182">
        <f t="shared" si="4"/>
        <v>1560.2360000000003</v>
      </c>
      <c r="R19" s="1182">
        <f t="shared" si="4"/>
        <v>1560.2360000000003</v>
      </c>
      <c r="S19" s="1182">
        <f t="shared" si="4"/>
        <v>1560.2360000000003</v>
      </c>
      <c r="T19" s="1182">
        <f t="shared" si="4"/>
        <v>1611.2276000000002</v>
      </c>
      <c r="U19" s="1182">
        <f t="shared" si="4"/>
        <v>1560.2360000000003</v>
      </c>
    </row>
    <row r="20" spans="1:21" ht="19.350000000000001" customHeight="1" x14ac:dyDescent="0.2">
      <c r="A20" s="1168">
        <v>5</v>
      </c>
      <c r="B20" s="1710" t="s">
        <v>4418</v>
      </c>
      <c r="C20" s="1710"/>
      <c r="D20" s="1710"/>
      <c r="E20" s="1183" t="s">
        <v>4384</v>
      </c>
      <c r="F20" s="1173"/>
      <c r="G20" s="1174"/>
      <c r="H20" s="1174"/>
      <c r="I20" s="1174"/>
      <c r="J20" s="1174"/>
      <c r="K20" s="1174"/>
      <c r="L20" s="1174" t="s">
        <v>389</v>
      </c>
      <c r="M20" s="1174"/>
      <c r="N20" s="1174"/>
      <c r="O20" s="1174"/>
      <c r="P20" s="1174"/>
      <c r="Q20" s="1175"/>
      <c r="R20" s="1175"/>
      <c r="S20" s="1175"/>
      <c r="T20" s="1175"/>
      <c r="U20" s="1175"/>
    </row>
    <row r="21" spans="1:21" ht="19.350000000000001" customHeight="1" x14ac:dyDescent="0.2">
      <c r="A21" s="1184" t="s">
        <v>4408</v>
      </c>
      <c r="B21" s="1706" t="s">
        <v>4419</v>
      </c>
      <c r="C21" s="1706"/>
      <c r="D21" s="1706"/>
      <c r="E21" s="1185">
        <f>Dados!G53</f>
        <v>0.05</v>
      </c>
      <c r="F21" s="1186">
        <f t="shared" ref="F21:U21" si="5">ROUND(($E$21*F34),2)</f>
        <v>1054.67</v>
      </c>
      <c r="G21" s="1186">
        <f t="shared" si="5"/>
        <v>653.42999999999995</v>
      </c>
      <c r="H21" s="1186">
        <f t="shared" si="5"/>
        <v>444.61</v>
      </c>
      <c r="I21" s="1186">
        <f t="shared" si="5"/>
        <v>495.43</v>
      </c>
      <c r="J21" s="1186">
        <f t="shared" si="5"/>
        <v>389.27</v>
      </c>
      <c r="K21" s="1186">
        <f t="shared" si="5"/>
        <v>349.1</v>
      </c>
      <c r="L21" s="1186">
        <f t="shared" si="5"/>
        <v>253.42</v>
      </c>
      <c r="M21" s="1186">
        <f t="shared" si="5"/>
        <v>313.60000000000002</v>
      </c>
      <c r="N21" s="1186">
        <f t="shared" si="5"/>
        <v>272.75</v>
      </c>
      <c r="O21" s="1186">
        <f t="shared" si="5"/>
        <v>302.86</v>
      </c>
      <c r="P21" s="1186">
        <f t="shared" si="5"/>
        <v>278.14</v>
      </c>
      <c r="Q21" s="1186">
        <f t="shared" si="5"/>
        <v>253.42</v>
      </c>
      <c r="R21" s="1186">
        <f t="shared" si="5"/>
        <v>253.42</v>
      </c>
      <c r="S21" s="1186">
        <f t="shared" si="5"/>
        <v>333.67</v>
      </c>
      <c r="T21" s="1186">
        <f t="shared" si="5"/>
        <v>222.29</v>
      </c>
      <c r="U21" s="1186">
        <f t="shared" si="5"/>
        <v>253.42</v>
      </c>
    </row>
    <row r="22" spans="1:21" ht="19.350000000000001" customHeight="1" x14ac:dyDescent="0.2">
      <c r="A22" s="1184" t="s">
        <v>4414</v>
      </c>
      <c r="B22" s="1706" t="s">
        <v>447</v>
      </c>
      <c r="C22" s="1706"/>
      <c r="D22" s="1706"/>
      <c r="E22" s="1185">
        <f>Dados!G54</f>
        <v>6.7900000000000002E-2</v>
      </c>
      <c r="F22" s="1186">
        <f t="shared" ref="F22:U22" si="6">ROUND(($E$22*(F21+F34)),2)</f>
        <v>1503.86</v>
      </c>
      <c r="G22" s="1186">
        <f t="shared" si="6"/>
        <v>931.72</v>
      </c>
      <c r="H22" s="1186">
        <f t="shared" si="6"/>
        <v>633.97</v>
      </c>
      <c r="I22" s="1186">
        <f t="shared" si="6"/>
        <v>706.43</v>
      </c>
      <c r="J22" s="1186">
        <f t="shared" si="6"/>
        <v>555.05999999999995</v>
      </c>
      <c r="K22" s="1186">
        <f t="shared" si="6"/>
        <v>497.78</v>
      </c>
      <c r="L22" s="1186">
        <f t="shared" si="6"/>
        <v>361.35</v>
      </c>
      <c r="M22" s="1186">
        <f t="shared" si="6"/>
        <v>447.17</v>
      </c>
      <c r="N22" s="1186">
        <f t="shared" si="6"/>
        <v>388.92</v>
      </c>
      <c r="O22" s="1186">
        <f t="shared" si="6"/>
        <v>431.84</v>
      </c>
      <c r="P22" s="1186">
        <f t="shared" si="6"/>
        <v>396.6</v>
      </c>
      <c r="Q22" s="1186">
        <f t="shared" si="6"/>
        <v>361.35</v>
      </c>
      <c r="R22" s="1186">
        <f t="shared" si="6"/>
        <v>361.35</v>
      </c>
      <c r="S22" s="1186">
        <f t="shared" si="6"/>
        <v>475.78</v>
      </c>
      <c r="T22" s="1186">
        <f t="shared" si="6"/>
        <v>316.97000000000003</v>
      </c>
      <c r="U22" s="1186">
        <f t="shared" si="6"/>
        <v>361.35</v>
      </c>
    </row>
    <row r="23" spans="1:21" ht="19.350000000000001" customHeight="1" x14ac:dyDescent="0.2">
      <c r="A23" s="1187" t="s">
        <v>4415</v>
      </c>
      <c r="B23" s="1707" t="s">
        <v>4420</v>
      </c>
      <c r="C23" s="1707"/>
      <c r="D23" s="1707"/>
      <c r="E23" s="1188">
        <f>SUM(E24:E27)</f>
        <v>6.1499999999999999E-2</v>
      </c>
      <c r="F23" s="1189">
        <f t="shared" ref="F23:U23" si="7">ROUND((((F34+F21+F22)/(1-$E$23))-(F34+F21+F22)),2)</f>
        <v>1549.92</v>
      </c>
      <c r="G23" s="1189">
        <f t="shared" si="7"/>
        <v>960.26</v>
      </c>
      <c r="H23" s="1189">
        <f t="shared" si="7"/>
        <v>653.39</v>
      </c>
      <c r="I23" s="1189">
        <f t="shared" si="7"/>
        <v>728.06</v>
      </c>
      <c r="J23" s="1189">
        <f t="shared" si="7"/>
        <v>572.05999999999995</v>
      </c>
      <c r="K23" s="1189">
        <f t="shared" si="7"/>
        <v>513.03</v>
      </c>
      <c r="L23" s="1189">
        <f t="shared" si="7"/>
        <v>372.42</v>
      </c>
      <c r="M23" s="1189">
        <f t="shared" si="7"/>
        <v>460.86</v>
      </c>
      <c r="N23" s="1189">
        <f t="shared" si="7"/>
        <v>400.83</v>
      </c>
      <c r="O23" s="1189">
        <f t="shared" si="7"/>
        <v>445.07</v>
      </c>
      <c r="P23" s="1189">
        <f t="shared" si="7"/>
        <v>408.74</v>
      </c>
      <c r="Q23" s="1189">
        <f t="shared" si="7"/>
        <v>372.42</v>
      </c>
      <c r="R23" s="1189">
        <f t="shared" si="7"/>
        <v>372.42</v>
      </c>
      <c r="S23" s="1189">
        <f t="shared" si="7"/>
        <v>490.35</v>
      </c>
      <c r="T23" s="1189">
        <f t="shared" si="7"/>
        <v>326.67</v>
      </c>
      <c r="U23" s="1189">
        <f t="shared" si="7"/>
        <v>372.42</v>
      </c>
    </row>
    <row r="24" spans="1:21" ht="19.350000000000001" customHeight="1" x14ac:dyDescent="0.2">
      <c r="A24" s="1190" t="s">
        <v>4421</v>
      </c>
      <c r="B24" s="1706" t="s">
        <v>4422</v>
      </c>
      <c r="C24" s="1706"/>
      <c r="D24" s="1706"/>
      <c r="E24" s="1185">
        <f>Dados!G61+Dados!G62</f>
        <v>3.6499999999999998E-2</v>
      </c>
      <c r="F24" s="1186">
        <f t="shared" ref="F24:U24" si="8">ROUND($E$24*F36,2)</f>
        <v>919.87</v>
      </c>
      <c r="G24" s="1186">
        <f t="shared" si="8"/>
        <v>569.91</v>
      </c>
      <c r="H24" s="1186">
        <f t="shared" si="8"/>
        <v>387.78</v>
      </c>
      <c r="I24" s="1186">
        <f t="shared" si="8"/>
        <v>432.1</v>
      </c>
      <c r="J24" s="1186">
        <f t="shared" si="8"/>
        <v>339.51</v>
      </c>
      <c r="K24" s="1186">
        <f t="shared" si="8"/>
        <v>304.48</v>
      </c>
      <c r="L24" s="1186">
        <f t="shared" si="8"/>
        <v>221.03</v>
      </c>
      <c r="M24" s="1186">
        <f t="shared" si="8"/>
        <v>273.52</v>
      </c>
      <c r="N24" s="1186">
        <f t="shared" si="8"/>
        <v>237.89</v>
      </c>
      <c r="O24" s="1186">
        <f t="shared" si="8"/>
        <v>264.14999999999998</v>
      </c>
      <c r="P24" s="1186">
        <f t="shared" si="8"/>
        <v>242.59</v>
      </c>
      <c r="Q24" s="1186">
        <f t="shared" si="8"/>
        <v>221.03</v>
      </c>
      <c r="R24" s="1186">
        <f t="shared" si="8"/>
        <v>221.03</v>
      </c>
      <c r="S24" s="1186">
        <f t="shared" si="8"/>
        <v>291.02</v>
      </c>
      <c r="T24" s="1186">
        <f t="shared" si="8"/>
        <v>193.88</v>
      </c>
      <c r="U24" s="1186">
        <f t="shared" si="8"/>
        <v>221.03</v>
      </c>
    </row>
    <row r="25" spans="1:21" ht="19.350000000000001" customHeight="1" x14ac:dyDescent="0.2">
      <c r="A25" s="1184" t="s">
        <v>4423</v>
      </c>
      <c r="B25" s="1706" t="s">
        <v>4424</v>
      </c>
      <c r="C25" s="1706"/>
      <c r="D25" s="1706"/>
      <c r="E25" s="1185">
        <v>0</v>
      </c>
      <c r="F25" s="1186">
        <f t="shared" ref="F25:U25" si="9">ROUND($E$25*F36,2)</f>
        <v>0</v>
      </c>
      <c r="G25" s="1186">
        <f t="shared" si="9"/>
        <v>0</v>
      </c>
      <c r="H25" s="1186">
        <f t="shared" si="9"/>
        <v>0</v>
      </c>
      <c r="I25" s="1186">
        <f t="shared" si="9"/>
        <v>0</v>
      </c>
      <c r="J25" s="1186">
        <f t="shared" si="9"/>
        <v>0</v>
      </c>
      <c r="K25" s="1186">
        <f t="shared" si="9"/>
        <v>0</v>
      </c>
      <c r="L25" s="1186">
        <f t="shared" si="9"/>
        <v>0</v>
      </c>
      <c r="M25" s="1186">
        <f t="shared" si="9"/>
        <v>0</v>
      </c>
      <c r="N25" s="1186">
        <f t="shared" si="9"/>
        <v>0</v>
      </c>
      <c r="O25" s="1186">
        <f t="shared" si="9"/>
        <v>0</v>
      </c>
      <c r="P25" s="1186">
        <f t="shared" si="9"/>
        <v>0</v>
      </c>
      <c r="Q25" s="1186">
        <f t="shared" si="9"/>
        <v>0</v>
      </c>
      <c r="R25" s="1186">
        <f t="shared" si="9"/>
        <v>0</v>
      </c>
      <c r="S25" s="1186">
        <f t="shared" si="9"/>
        <v>0</v>
      </c>
      <c r="T25" s="1186">
        <f t="shared" si="9"/>
        <v>0</v>
      </c>
      <c r="U25" s="1186">
        <f t="shared" si="9"/>
        <v>0</v>
      </c>
    </row>
    <row r="26" spans="1:21" ht="19.350000000000001" customHeight="1" x14ac:dyDescent="0.2">
      <c r="A26" s="1184" t="s">
        <v>4425</v>
      </c>
      <c r="B26" s="1706" t="s">
        <v>4426</v>
      </c>
      <c r="C26" s="1706"/>
      <c r="D26" s="1706"/>
      <c r="E26" s="1185">
        <f>Dados!G63</f>
        <v>2.5000000000000001E-2</v>
      </c>
      <c r="F26" s="1186">
        <f t="shared" ref="F26:U26" si="10">ROUND($E$26*F36,2)</f>
        <v>630.04999999999995</v>
      </c>
      <c r="G26" s="1186">
        <f t="shared" si="10"/>
        <v>390.35</v>
      </c>
      <c r="H26" s="1186">
        <f t="shared" si="10"/>
        <v>265.61</v>
      </c>
      <c r="I26" s="1186">
        <f t="shared" si="10"/>
        <v>295.95999999999998</v>
      </c>
      <c r="J26" s="1186">
        <f t="shared" si="10"/>
        <v>232.54</v>
      </c>
      <c r="K26" s="1186">
        <f t="shared" si="10"/>
        <v>208.55</v>
      </c>
      <c r="L26" s="1186">
        <f t="shared" si="10"/>
        <v>151.38999999999999</v>
      </c>
      <c r="M26" s="1186">
        <f t="shared" si="10"/>
        <v>187.34</v>
      </c>
      <c r="N26" s="1186">
        <f t="shared" si="10"/>
        <v>162.94</v>
      </c>
      <c r="O26" s="1186">
        <f t="shared" si="10"/>
        <v>180.92</v>
      </c>
      <c r="P26" s="1186">
        <f t="shared" si="10"/>
        <v>166.16</v>
      </c>
      <c r="Q26" s="1186">
        <f t="shared" si="10"/>
        <v>151.38999999999999</v>
      </c>
      <c r="R26" s="1186">
        <f t="shared" si="10"/>
        <v>151.38999999999999</v>
      </c>
      <c r="S26" s="1186">
        <f t="shared" si="10"/>
        <v>199.33</v>
      </c>
      <c r="T26" s="1186">
        <f t="shared" si="10"/>
        <v>132.79</v>
      </c>
      <c r="U26" s="1186">
        <f t="shared" si="10"/>
        <v>151.38999999999999</v>
      </c>
    </row>
    <row r="27" spans="1:21" ht="25.5" customHeight="1" x14ac:dyDescent="0.2">
      <c r="A27" s="1184" t="s">
        <v>4427</v>
      </c>
      <c r="B27" s="1706" t="str">
        <f>Dados!B64</f>
        <v>Outros (inserir somente com a justificativa legal) - não será permitido o uso da CPRB para a elaboração da proposta conforme consta no TR</v>
      </c>
      <c r="C27" s="1706"/>
      <c r="D27" s="1706"/>
      <c r="E27" s="1185">
        <f>Dados!G64</f>
        <v>0</v>
      </c>
      <c r="F27" s="1186">
        <f t="shared" ref="F27:U27" si="11">ROUND($E$27*F36,2)</f>
        <v>0</v>
      </c>
      <c r="G27" s="1186">
        <f t="shared" si="11"/>
        <v>0</v>
      </c>
      <c r="H27" s="1186">
        <f t="shared" si="11"/>
        <v>0</v>
      </c>
      <c r="I27" s="1186">
        <f t="shared" si="11"/>
        <v>0</v>
      </c>
      <c r="J27" s="1186">
        <f t="shared" si="11"/>
        <v>0</v>
      </c>
      <c r="K27" s="1186">
        <f t="shared" si="11"/>
        <v>0</v>
      </c>
      <c r="L27" s="1186">
        <f t="shared" si="11"/>
        <v>0</v>
      </c>
      <c r="M27" s="1186">
        <f t="shared" si="11"/>
        <v>0</v>
      </c>
      <c r="N27" s="1186">
        <f t="shared" si="11"/>
        <v>0</v>
      </c>
      <c r="O27" s="1186">
        <f t="shared" si="11"/>
        <v>0</v>
      </c>
      <c r="P27" s="1186">
        <f t="shared" si="11"/>
        <v>0</v>
      </c>
      <c r="Q27" s="1186">
        <f t="shared" si="11"/>
        <v>0</v>
      </c>
      <c r="R27" s="1186">
        <f t="shared" si="11"/>
        <v>0</v>
      </c>
      <c r="S27" s="1186">
        <f t="shared" si="11"/>
        <v>0</v>
      </c>
      <c r="T27" s="1186">
        <f t="shared" si="11"/>
        <v>0</v>
      </c>
      <c r="U27" s="1186">
        <f t="shared" si="11"/>
        <v>0</v>
      </c>
    </row>
    <row r="28" spans="1:21" ht="19.350000000000001" customHeight="1" x14ac:dyDescent="0.2">
      <c r="A28" s="1191" t="s">
        <v>4428</v>
      </c>
      <c r="B28" s="1192"/>
      <c r="C28" s="1192"/>
      <c r="D28" s="1193"/>
      <c r="E28" s="1194"/>
      <c r="F28" s="1195">
        <f t="shared" ref="F28:U28" si="12">SUM(F21:F23)</f>
        <v>4108.45</v>
      </c>
      <c r="G28" s="1195">
        <f t="shared" si="12"/>
        <v>2545.41</v>
      </c>
      <c r="H28" s="1195">
        <f t="shared" si="12"/>
        <v>1731.9699999999998</v>
      </c>
      <c r="I28" s="1195">
        <f t="shared" si="12"/>
        <v>1929.9199999999998</v>
      </c>
      <c r="J28" s="1195">
        <f t="shared" si="12"/>
        <v>1516.3899999999999</v>
      </c>
      <c r="K28" s="1195">
        <f t="shared" si="12"/>
        <v>1359.9099999999999</v>
      </c>
      <c r="L28" s="1195">
        <f t="shared" si="12"/>
        <v>987.19</v>
      </c>
      <c r="M28" s="1195">
        <f t="shared" si="12"/>
        <v>1221.6300000000001</v>
      </c>
      <c r="N28" s="1195">
        <f t="shared" si="12"/>
        <v>1062.5</v>
      </c>
      <c r="O28" s="1195">
        <f t="shared" si="12"/>
        <v>1179.77</v>
      </c>
      <c r="P28" s="1195">
        <f t="shared" si="12"/>
        <v>1083.48</v>
      </c>
      <c r="Q28" s="1195">
        <f t="shared" si="12"/>
        <v>987.19</v>
      </c>
      <c r="R28" s="1195">
        <f t="shared" si="12"/>
        <v>987.19</v>
      </c>
      <c r="S28" s="1195">
        <f t="shared" si="12"/>
        <v>1299.8000000000002</v>
      </c>
      <c r="T28" s="1195">
        <f t="shared" si="12"/>
        <v>865.93000000000006</v>
      </c>
      <c r="U28" s="1195">
        <f t="shared" si="12"/>
        <v>987.19</v>
      </c>
    </row>
    <row r="29" spans="1:21" ht="19.350000000000001" customHeight="1" x14ac:dyDescent="0.2">
      <c r="A29" s="1173"/>
      <c r="B29" s="1174"/>
      <c r="C29" s="1174"/>
      <c r="D29" s="1174"/>
      <c r="E29" s="1174"/>
      <c r="F29" s="1174"/>
      <c r="G29" s="1174"/>
      <c r="H29" s="1174"/>
      <c r="I29" s="1174"/>
      <c r="J29" s="1174" t="s">
        <v>4429</v>
      </c>
      <c r="K29" s="1174"/>
      <c r="L29" s="1174"/>
      <c r="M29" s="1174"/>
      <c r="N29" s="1174"/>
      <c r="O29" s="1174"/>
      <c r="P29" s="1174"/>
      <c r="Q29" s="1174"/>
      <c r="R29" s="1174"/>
      <c r="S29" s="1174"/>
      <c r="T29" s="1196"/>
      <c r="U29" s="1196"/>
    </row>
    <row r="30" spans="1:21" ht="19.350000000000001" customHeight="1" x14ac:dyDescent="0.2">
      <c r="A30" s="1197"/>
      <c r="B30" s="1197"/>
      <c r="C30" s="1197"/>
      <c r="D30" s="1197"/>
      <c r="E30" s="1197"/>
      <c r="F30" s="1197"/>
      <c r="G30" s="1197"/>
      <c r="H30" s="1197"/>
      <c r="I30" s="1197"/>
      <c r="J30" s="1197"/>
      <c r="K30" s="1197"/>
      <c r="L30" s="1197" t="s">
        <v>4430</v>
      </c>
      <c r="M30" s="1197"/>
      <c r="N30" s="1197"/>
      <c r="O30" s="1197"/>
      <c r="P30" s="1197"/>
      <c r="Q30" s="1197"/>
    </row>
    <row r="31" spans="1:21" ht="19.350000000000001" customHeight="1" x14ac:dyDescent="0.2">
      <c r="A31" s="1172" t="s">
        <v>4431</v>
      </c>
      <c r="B31" s="1172"/>
      <c r="C31" s="1172"/>
      <c r="D31" s="1172"/>
      <c r="E31" s="1172"/>
      <c r="F31" s="1173"/>
      <c r="G31" s="1174"/>
      <c r="H31" s="1174"/>
      <c r="I31" s="1174"/>
      <c r="J31" s="1174"/>
      <c r="K31" s="1174"/>
      <c r="L31" s="1174" t="s">
        <v>389</v>
      </c>
      <c r="M31" s="1174"/>
      <c r="N31" s="1174"/>
      <c r="O31" s="1174"/>
      <c r="P31" s="1174"/>
      <c r="Q31" s="1196"/>
      <c r="R31" s="1196"/>
      <c r="S31" s="1196"/>
      <c r="T31" s="1196"/>
      <c r="U31" s="1196"/>
    </row>
    <row r="32" spans="1:21" ht="19.350000000000001" customHeight="1" x14ac:dyDescent="0.2">
      <c r="A32" s="1184" t="s">
        <v>4408</v>
      </c>
      <c r="B32" s="1179" t="s">
        <v>4432</v>
      </c>
      <c r="C32" s="1180"/>
      <c r="D32" s="1181"/>
      <c r="E32" s="1176"/>
      <c r="F32" s="1198">
        <f t="shared" ref="F32:U32" si="13">F13</f>
        <v>20354.28</v>
      </c>
      <c r="G32" s="1198">
        <f t="shared" si="13"/>
        <v>11913.84</v>
      </c>
      <c r="H32" s="1198">
        <f t="shared" si="13"/>
        <v>8151.5999999999995</v>
      </c>
      <c r="I32" s="1198">
        <f t="shared" si="13"/>
        <v>9167.880000000001</v>
      </c>
      <c r="J32" s="1198">
        <f t="shared" si="13"/>
        <v>6600.36</v>
      </c>
      <c r="K32" s="1198">
        <f t="shared" si="13"/>
        <v>5809.2</v>
      </c>
      <c r="L32" s="1198">
        <f t="shared" si="13"/>
        <v>4012.44</v>
      </c>
      <c r="M32" s="1198">
        <f t="shared" si="13"/>
        <v>5216.16</v>
      </c>
      <c r="N32" s="1198">
        <f t="shared" si="13"/>
        <v>4373.6399999999994</v>
      </c>
      <c r="O32" s="1198">
        <f t="shared" si="13"/>
        <v>5001.24</v>
      </c>
      <c r="P32" s="1198">
        <f t="shared" si="13"/>
        <v>4506.84</v>
      </c>
      <c r="Q32" s="1198">
        <f t="shared" si="13"/>
        <v>4012.44</v>
      </c>
      <c r="R32" s="1198">
        <f t="shared" si="13"/>
        <v>4012.44</v>
      </c>
      <c r="S32" s="1198">
        <f t="shared" si="13"/>
        <v>5617.4400000000005</v>
      </c>
      <c r="T32" s="1198">
        <f t="shared" si="13"/>
        <v>3364.44</v>
      </c>
      <c r="U32" s="1198">
        <f t="shared" si="13"/>
        <v>4012.44</v>
      </c>
    </row>
    <row r="33" spans="1:21" ht="19.350000000000001" customHeight="1" x14ac:dyDescent="0.2">
      <c r="A33" s="1184" t="s">
        <v>4414</v>
      </c>
      <c r="B33" s="1179" t="s">
        <v>4413</v>
      </c>
      <c r="C33" s="1180"/>
      <c r="D33" s="1181"/>
      <c r="E33" s="1176"/>
      <c r="F33" s="1198">
        <f t="shared" ref="F33:U33" si="14">F18</f>
        <v>739.2</v>
      </c>
      <c r="G33" s="1198">
        <f t="shared" si="14"/>
        <v>1154.683</v>
      </c>
      <c r="H33" s="1198">
        <f t="shared" si="14"/>
        <v>740.63300000000004</v>
      </c>
      <c r="I33" s="1198">
        <f t="shared" si="14"/>
        <v>740.63300000000004</v>
      </c>
      <c r="J33" s="1198">
        <f t="shared" si="14"/>
        <v>1184.9842000000001</v>
      </c>
      <c r="K33" s="1198">
        <f t="shared" si="14"/>
        <v>1172.8330000000001</v>
      </c>
      <c r="L33" s="1198">
        <f t="shared" si="14"/>
        <v>1055.9080000000001</v>
      </c>
      <c r="M33" s="1198">
        <f t="shared" si="14"/>
        <v>1055.9080000000001</v>
      </c>
      <c r="N33" s="1198">
        <f t="shared" si="14"/>
        <v>1081.4038</v>
      </c>
      <c r="O33" s="1198">
        <f t="shared" si="14"/>
        <v>1055.9080000000001</v>
      </c>
      <c r="P33" s="1198">
        <f t="shared" si="14"/>
        <v>1055.9080000000001</v>
      </c>
      <c r="Q33" s="1198">
        <f t="shared" si="14"/>
        <v>1055.9080000000001</v>
      </c>
      <c r="R33" s="1198">
        <f t="shared" si="14"/>
        <v>1055.9080000000001</v>
      </c>
      <c r="S33" s="1198">
        <f t="shared" si="14"/>
        <v>1055.9080000000001</v>
      </c>
      <c r="T33" s="1198">
        <f t="shared" si="14"/>
        <v>1081.4038</v>
      </c>
      <c r="U33" s="1198">
        <f t="shared" si="14"/>
        <v>1055.9080000000001</v>
      </c>
    </row>
    <row r="34" spans="1:21" ht="19.350000000000001" customHeight="1" x14ac:dyDescent="0.2">
      <c r="A34" s="1705" t="s">
        <v>4433</v>
      </c>
      <c r="B34" s="1705"/>
      <c r="C34" s="1705"/>
      <c r="D34" s="1705"/>
      <c r="E34" s="1199"/>
      <c r="F34" s="1200">
        <f t="shared" ref="F34:U34" si="15">SUM(F32:F33)</f>
        <v>21093.48</v>
      </c>
      <c r="G34" s="1200">
        <f t="shared" si="15"/>
        <v>13068.523000000001</v>
      </c>
      <c r="H34" s="1200">
        <f t="shared" si="15"/>
        <v>8892.2330000000002</v>
      </c>
      <c r="I34" s="1200">
        <f t="shared" si="15"/>
        <v>9908.5130000000008</v>
      </c>
      <c r="J34" s="1200">
        <f t="shared" si="15"/>
        <v>7785.3441999999995</v>
      </c>
      <c r="K34" s="1200">
        <f t="shared" si="15"/>
        <v>6982.0329999999994</v>
      </c>
      <c r="L34" s="1200">
        <f t="shared" si="15"/>
        <v>5068.348</v>
      </c>
      <c r="M34" s="1200">
        <f t="shared" si="15"/>
        <v>6272.0680000000002</v>
      </c>
      <c r="N34" s="1200">
        <f t="shared" si="15"/>
        <v>5455.0437999999995</v>
      </c>
      <c r="O34" s="1200">
        <f t="shared" si="15"/>
        <v>6057.1480000000001</v>
      </c>
      <c r="P34" s="1200">
        <f t="shared" si="15"/>
        <v>5562.7480000000005</v>
      </c>
      <c r="Q34" s="1200">
        <f t="shared" si="15"/>
        <v>5068.348</v>
      </c>
      <c r="R34" s="1200">
        <f t="shared" si="15"/>
        <v>5068.348</v>
      </c>
      <c r="S34" s="1200">
        <f t="shared" si="15"/>
        <v>6673.3480000000009</v>
      </c>
      <c r="T34" s="1200">
        <f t="shared" si="15"/>
        <v>4445.8438000000006</v>
      </c>
      <c r="U34" s="1200">
        <f t="shared" si="15"/>
        <v>5068.348</v>
      </c>
    </row>
    <row r="35" spans="1:21" ht="19.350000000000001" customHeight="1" x14ac:dyDescent="0.2">
      <c r="A35" s="1184" t="s">
        <v>4434</v>
      </c>
      <c r="B35" s="1179" t="s">
        <v>4435</v>
      </c>
      <c r="C35" s="1180"/>
      <c r="D35" s="1181"/>
      <c r="E35" s="1176"/>
      <c r="F35" s="1198">
        <f t="shared" ref="F35:U35" si="16">F28</f>
        <v>4108.45</v>
      </c>
      <c r="G35" s="1198">
        <f t="shared" si="16"/>
        <v>2545.41</v>
      </c>
      <c r="H35" s="1198">
        <f t="shared" si="16"/>
        <v>1731.9699999999998</v>
      </c>
      <c r="I35" s="1198">
        <f t="shared" si="16"/>
        <v>1929.9199999999998</v>
      </c>
      <c r="J35" s="1198">
        <f t="shared" si="16"/>
        <v>1516.3899999999999</v>
      </c>
      <c r="K35" s="1198">
        <f t="shared" si="16"/>
        <v>1359.9099999999999</v>
      </c>
      <c r="L35" s="1198">
        <f t="shared" si="16"/>
        <v>987.19</v>
      </c>
      <c r="M35" s="1198">
        <f t="shared" si="16"/>
        <v>1221.6300000000001</v>
      </c>
      <c r="N35" s="1198">
        <f t="shared" si="16"/>
        <v>1062.5</v>
      </c>
      <c r="O35" s="1198">
        <f t="shared" si="16"/>
        <v>1179.77</v>
      </c>
      <c r="P35" s="1198">
        <f t="shared" si="16"/>
        <v>1083.48</v>
      </c>
      <c r="Q35" s="1198">
        <f t="shared" si="16"/>
        <v>987.19</v>
      </c>
      <c r="R35" s="1198">
        <f t="shared" si="16"/>
        <v>987.19</v>
      </c>
      <c r="S35" s="1198">
        <f t="shared" si="16"/>
        <v>1299.8000000000002</v>
      </c>
      <c r="T35" s="1198">
        <f t="shared" si="16"/>
        <v>865.93000000000006</v>
      </c>
      <c r="U35" s="1198">
        <f t="shared" si="16"/>
        <v>987.19</v>
      </c>
    </row>
    <row r="36" spans="1:21" ht="19.350000000000001" customHeight="1" x14ac:dyDescent="0.2">
      <c r="A36" s="1169" t="s">
        <v>4436</v>
      </c>
      <c r="B36" s="1170"/>
      <c r="C36" s="1170"/>
      <c r="D36" s="1171"/>
      <c r="E36" s="1172"/>
      <c r="F36" s="1201">
        <f t="shared" ref="F36:U36" si="17">SUM(F34:F35)</f>
        <v>25201.93</v>
      </c>
      <c r="G36" s="1201">
        <f t="shared" si="17"/>
        <v>15613.933000000001</v>
      </c>
      <c r="H36" s="1201">
        <f t="shared" si="17"/>
        <v>10624.203</v>
      </c>
      <c r="I36" s="1201">
        <f t="shared" si="17"/>
        <v>11838.433000000001</v>
      </c>
      <c r="J36" s="1201">
        <f t="shared" si="17"/>
        <v>9301.734199999999</v>
      </c>
      <c r="K36" s="1201">
        <f t="shared" si="17"/>
        <v>8341.9429999999993</v>
      </c>
      <c r="L36" s="1201">
        <f t="shared" si="17"/>
        <v>6055.5380000000005</v>
      </c>
      <c r="M36" s="1201">
        <f t="shared" si="17"/>
        <v>7493.6980000000003</v>
      </c>
      <c r="N36" s="1201">
        <f t="shared" si="17"/>
        <v>6517.5437999999995</v>
      </c>
      <c r="O36" s="1201">
        <f t="shared" si="17"/>
        <v>7236.9179999999997</v>
      </c>
      <c r="P36" s="1201">
        <f t="shared" si="17"/>
        <v>6646.228000000001</v>
      </c>
      <c r="Q36" s="1201">
        <f t="shared" si="17"/>
        <v>6055.5380000000005</v>
      </c>
      <c r="R36" s="1201">
        <f t="shared" si="17"/>
        <v>6055.5380000000005</v>
      </c>
      <c r="S36" s="1201">
        <f t="shared" si="17"/>
        <v>7973.148000000001</v>
      </c>
      <c r="T36" s="1201">
        <f t="shared" si="17"/>
        <v>5311.7738000000008</v>
      </c>
      <c r="U36" s="1201">
        <f t="shared" si="17"/>
        <v>6055.5380000000005</v>
      </c>
    </row>
  </sheetData>
  <sheetProtection sheet="1" objects="1" scenarios="1"/>
  <mergeCells count="24">
    <mergeCell ref="A12:D12"/>
    <mergeCell ref="A13:E13"/>
    <mergeCell ref="A5:U5"/>
    <mergeCell ref="A6:U6"/>
    <mergeCell ref="A7:D7"/>
    <mergeCell ref="E7:E8"/>
    <mergeCell ref="B8:D8"/>
    <mergeCell ref="B15:D15"/>
    <mergeCell ref="F8:Q8"/>
    <mergeCell ref="B9:E9"/>
    <mergeCell ref="B10:D10"/>
    <mergeCell ref="B11:D11"/>
    <mergeCell ref="B16:D16"/>
    <mergeCell ref="A18:E18"/>
    <mergeCell ref="B20:D20"/>
    <mergeCell ref="B21:D21"/>
    <mergeCell ref="A19:E19"/>
    <mergeCell ref="B27:D27"/>
    <mergeCell ref="A34:D34"/>
    <mergeCell ref="B22:D22"/>
    <mergeCell ref="B23:D23"/>
    <mergeCell ref="B24:D24"/>
    <mergeCell ref="B25:D25"/>
    <mergeCell ref="B26:D26"/>
  </mergeCells>
  <printOptions horizontalCentered="1"/>
  <pageMargins left="0.196527777777778" right="0.196527777777778" top="0.56041666666666701" bottom="0.56041666666666701" header="0.39374999999999999" footer="0.39374999999999999"/>
  <pageSetup paperSize="9" scale="59" orientation="landscape" r:id="rId1"/>
  <headerFooter>
    <oddHeader>&amp;C&amp;12&amp;A</oddHeader>
    <oddFooter>&amp;C&amp;12&amp;P</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5DB2-8E74-4DB3-BEA9-908EE2BA38E9}">
  <dimension ref="B2:AI19"/>
  <sheetViews>
    <sheetView zoomScale="75" zoomScaleNormal="75" workbookViewId="0"/>
  </sheetViews>
  <sheetFormatPr defaultRowHeight="12.75" customHeight="1" x14ac:dyDescent="0.2"/>
  <cols>
    <col min="1" max="1" width="1.6640625" style="254" customWidth="1"/>
    <col min="2" max="2" width="8.5" style="254" customWidth="1"/>
    <col min="3" max="3" width="5.1640625" style="254" customWidth="1"/>
    <col min="4" max="4" width="8.83203125" style="254" customWidth="1"/>
    <col min="5" max="5" width="6.33203125" style="254" customWidth="1"/>
    <col min="6" max="6" width="9.6640625" style="254" customWidth="1"/>
    <col min="7" max="7" width="8.6640625" style="254" customWidth="1"/>
    <col min="8" max="8" width="3.83203125" style="254" customWidth="1"/>
    <col min="9" max="9" width="8.5" style="254" customWidth="1"/>
    <col min="10" max="10" width="5.1640625" style="254" customWidth="1"/>
    <col min="11" max="11" width="8.83203125" style="254" customWidth="1"/>
    <col min="12" max="12" width="6.33203125" style="254" customWidth="1"/>
    <col min="13" max="13" width="9.6640625" style="254" customWidth="1"/>
    <col min="14" max="14" width="8.6640625" style="254" customWidth="1"/>
    <col min="15" max="15" width="3.5" style="254" customWidth="1"/>
    <col min="16" max="16" width="8.5" style="254" customWidth="1"/>
    <col min="17" max="17" width="5.1640625" style="254" customWidth="1"/>
    <col min="18" max="18" width="8.83203125" style="254" customWidth="1"/>
    <col min="19" max="19" width="6.33203125" style="254" customWidth="1"/>
    <col min="20" max="20" width="9.6640625" style="254" customWidth="1"/>
    <col min="21" max="21" width="8.6640625" style="254" customWidth="1"/>
    <col min="22" max="22" width="3.5" style="254" customWidth="1"/>
    <col min="23" max="23" width="8.5" style="254" customWidth="1"/>
    <col min="24" max="24" width="5.1640625" style="254" customWidth="1"/>
    <col min="25" max="25" width="8.83203125" style="254" customWidth="1"/>
    <col min="26" max="26" width="6.33203125" style="254" customWidth="1"/>
    <col min="27" max="27" width="9.6640625" style="254" customWidth="1"/>
    <col min="28" max="28" width="8.6640625" style="254" customWidth="1"/>
    <col min="29" max="29" width="3.5" style="254" customWidth="1"/>
    <col min="30" max="30" width="8.5" style="254" customWidth="1"/>
    <col min="31" max="31" width="5.1640625" style="254" customWidth="1"/>
    <col min="32" max="16384" width="9.33203125" style="254"/>
  </cols>
  <sheetData>
    <row r="2" spans="2:35" ht="15.75" customHeight="1" x14ac:dyDescent="0.2">
      <c r="B2" s="1722" t="s">
        <v>4437</v>
      </c>
      <c r="C2" s="1722"/>
      <c r="D2" s="1722"/>
      <c r="E2" s="1722"/>
      <c r="F2" s="1722"/>
      <c r="G2" s="1722"/>
      <c r="I2" s="1722" t="s">
        <v>4438</v>
      </c>
      <c r="J2" s="1722"/>
      <c r="K2" s="1722"/>
      <c r="L2" s="1722"/>
      <c r="M2" s="1722"/>
      <c r="N2" s="1722"/>
      <c r="P2" s="1722" t="s">
        <v>4439</v>
      </c>
      <c r="Q2" s="1722"/>
      <c r="R2" s="1722"/>
      <c r="S2" s="1722"/>
      <c r="T2" s="1722"/>
      <c r="U2" s="1722"/>
      <c r="W2" s="1722" t="s">
        <v>4440</v>
      </c>
      <c r="X2" s="1722"/>
      <c r="Y2" s="1722"/>
      <c r="Z2" s="1722"/>
      <c r="AA2" s="1722"/>
      <c r="AB2" s="1722"/>
      <c r="AD2" s="1722" t="s">
        <v>4441</v>
      </c>
      <c r="AE2" s="1722"/>
      <c r="AF2" s="1722"/>
      <c r="AG2" s="1722"/>
      <c r="AH2" s="1722"/>
      <c r="AI2" s="1722"/>
    </row>
    <row r="3" spans="2:35" x14ac:dyDescent="0.2">
      <c r="B3" s="255" t="s">
        <v>4442</v>
      </c>
      <c r="C3" s="1721"/>
      <c r="D3" s="1721"/>
      <c r="E3" s="1721"/>
      <c r="F3" s="1721"/>
      <c r="G3" s="1721"/>
      <c r="I3" s="255" t="s">
        <v>4442</v>
      </c>
      <c r="J3" s="1721"/>
      <c r="K3" s="1721"/>
      <c r="L3" s="1721"/>
      <c r="M3" s="1721"/>
      <c r="N3" s="1721"/>
      <c r="P3" s="255" t="s">
        <v>4442</v>
      </c>
      <c r="Q3" s="1721"/>
      <c r="R3" s="1721"/>
      <c r="S3" s="1721"/>
      <c r="T3" s="1721"/>
      <c r="U3" s="1721"/>
      <c r="W3" s="255" t="s">
        <v>4442</v>
      </c>
      <c r="X3" s="1721"/>
      <c r="Y3" s="1721"/>
      <c r="Z3" s="1721"/>
      <c r="AA3" s="1721"/>
      <c r="AB3" s="1721"/>
      <c r="AD3" s="255" t="s">
        <v>4442</v>
      </c>
      <c r="AE3" s="1721"/>
      <c r="AF3" s="1721"/>
      <c r="AG3" s="1721"/>
      <c r="AH3" s="1721"/>
      <c r="AI3" s="1721"/>
    </row>
    <row r="4" spans="2:35" ht="28.5" customHeight="1" x14ac:dyDescent="0.2">
      <c r="B4" s="1720" t="s">
        <v>4443</v>
      </c>
      <c r="C4" s="1720"/>
      <c r="D4" s="256" t="s">
        <v>4444</v>
      </c>
      <c r="E4" s="256" t="s">
        <v>4445</v>
      </c>
      <c r="F4" s="256" t="s">
        <v>4446</v>
      </c>
      <c r="G4" s="256" t="s">
        <v>4447</v>
      </c>
      <c r="I4" s="1720" t="s">
        <v>4443</v>
      </c>
      <c r="J4" s="1720"/>
      <c r="K4" s="256" t="s">
        <v>4444</v>
      </c>
      <c r="L4" s="256" t="s">
        <v>4445</v>
      </c>
      <c r="M4" s="256" t="s">
        <v>4446</v>
      </c>
      <c r="N4" s="256" t="s">
        <v>4447</v>
      </c>
      <c r="P4" s="1720" t="s">
        <v>4443</v>
      </c>
      <c r="Q4" s="1720"/>
      <c r="R4" s="256" t="s">
        <v>4444</v>
      </c>
      <c r="S4" s="256" t="s">
        <v>4445</v>
      </c>
      <c r="T4" s="256" t="s">
        <v>4446</v>
      </c>
      <c r="U4" s="256" t="s">
        <v>4447</v>
      </c>
      <c r="W4" s="1720" t="s">
        <v>4443</v>
      </c>
      <c r="X4" s="1720"/>
      <c r="Y4" s="256" t="s">
        <v>4444</v>
      </c>
      <c r="Z4" s="256" t="s">
        <v>4445</v>
      </c>
      <c r="AA4" s="256" t="s">
        <v>4446</v>
      </c>
      <c r="AB4" s="256" t="s">
        <v>4447</v>
      </c>
      <c r="AD4" s="1720" t="s">
        <v>4443</v>
      </c>
      <c r="AE4" s="1720"/>
      <c r="AF4" s="256" t="s">
        <v>4444</v>
      </c>
      <c r="AG4" s="256" t="s">
        <v>4445</v>
      </c>
      <c r="AH4" s="256" t="s">
        <v>4446</v>
      </c>
      <c r="AI4" s="256" t="s">
        <v>4447</v>
      </c>
    </row>
    <row r="5" spans="2:35" ht="15" x14ac:dyDescent="0.2">
      <c r="B5" s="257" t="s">
        <v>1052</v>
      </c>
      <c r="C5" s="257" t="s">
        <v>1001</v>
      </c>
      <c r="D5" s="257" t="s">
        <v>4448</v>
      </c>
      <c r="E5" s="257"/>
      <c r="F5" s="257" t="s">
        <v>914</v>
      </c>
      <c r="G5" s="258">
        <v>100</v>
      </c>
      <c r="I5" s="257" t="s">
        <v>1052</v>
      </c>
      <c r="J5" s="257" t="s">
        <v>1001</v>
      </c>
      <c r="K5" s="257" t="s">
        <v>4448</v>
      </c>
      <c r="L5" s="257"/>
      <c r="M5" s="257" t="s">
        <v>914</v>
      </c>
      <c r="N5" s="258">
        <v>100</v>
      </c>
      <c r="P5" s="257" t="s">
        <v>1052</v>
      </c>
      <c r="Q5" s="257" t="s">
        <v>1001</v>
      </c>
      <c r="R5" s="257" t="s">
        <v>4448</v>
      </c>
      <c r="S5" s="257"/>
      <c r="T5" s="257" t="s">
        <v>914</v>
      </c>
      <c r="U5" s="258">
        <v>100</v>
      </c>
      <c r="W5" s="257" t="s">
        <v>1052</v>
      </c>
      <c r="X5" s="257" t="s">
        <v>1001</v>
      </c>
      <c r="Y5" s="257" t="s">
        <v>4448</v>
      </c>
      <c r="Z5" s="257"/>
      <c r="AA5" s="257" t="s">
        <v>914</v>
      </c>
      <c r="AB5" s="258">
        <v>100</v>
      </c>
      <c r="AD5" s="257" t="s">
        <v>1052</v>
      </c>
      <c r="AE5" s="257" t="s">
        <v>1001</v>
      </c>
      <c r="AF5" s="257" t="s">
        <v>4448</v>
      </c>
      <c r="AG5" s="257"/>
      <c r="AH5" s="257" t="s">
        <v>914</v>
      </c>
      <c r="AI5" s="258">
        <v>100</v>
      </c>
    </row>
    <row r="6" spans="2:35" ht="16.5" customHeight="1" x14ac:dyDescent="0.3">
      <c r="B6" s="257">
        <v>2023</v>
      </c>
      <c r="C6" s="259" t="s">
        <v>4449</v>
      </c>
      <c r="D6" s="260"/>
      <c r="E6" s="261">
        <v>25</v>
      </c>
      <c r="F6" s="260">
        <f>D6/30*E6</f>
        <v>0</v>
      </c>
      <c r="G6" s="262">
        <f t="shared" ref="G6:G18" si="0">(G5*F6)+G5</f>
        <v>100</v>
      </c>
      <c r="I6" s="257">
        <f t="shared" ref="I6:I18" si="1">B6+1</f>
        <v>2024</v>
      </c>
      <c r="J6" s="259" t="str">
        <f t="shared" ref="J6:J18" si="2">C6</f>
        <v>AGO</v>
      </c>
      <c r="K6" s="260"/>
      <c r="L6" s="261">
        <f>$E$6</f>
        <v>25</v>
      </c>
      <c r="M6" s="260">
        <f>K6/30*L6</f>
        <v>0</v>
      </c>
      <c r="N6" s="262">
        <f t="shared" ref="N6:N18" si="3">(N5*M6)+N5</f>
        <v>100</v>
      </c>
      <c r="P6" s="257">
        <f t="shared" ref="P6:P18" si="4">I6+1</f>
        <v>2025</v>
      </c>
      <c r="Q6" s="259" t="s">
        <v>4449</v>
      </c>
      <c r="R6" s="260"/>
      <c r="S6" s="261">
        <f>$E$6</f>
        <v>25</v>
      </c>
      <c r="T6" s="260">
        <f>R6/30*S6</f>
        <v>0</v>
      </c>
      <c r="U6" s="262">
        <f t="shared" ref="U6:U18" si="5">(U5*T6)+U5</f>
        <v>100</v>
      </c>
      <c r="W6" s="257">
        <f t="shared" ref="W6:W18" si="6">P6+1</f>
        <v>2026</v>
      </c>
      <c r="X6" s="259" t="s">
        <v>4449</v>
      </c>
      <c r="Y6" s="260"/>
      <c r="Z6" s="261">
        <f>$E$6</f>
        <v>25</v>
      </c>
      <c r="AA6" s="260">
        <f>Y6/30*Z6</f>
        <v>0</v>
      </c>
      <c r="AB6" s="262">
        <f t="shared" ref="AB6:AB18" si="7">(AB5*AA6)+AB5</f>
        <v>100</v>
      </c>
      <c r="AD6" s="257">
        <f t="shared" ref="AD6:AD18" si="8">W6+1</f>
        <v>2027</v>
      </c>
      <c r="AE6" s="259" t="s">
        <v>4449</v>
      </c>
      <c r="AF6" s="260"/>
      <c r="AG6" s="261">
        <f>$E$6</f>
        <v>25</v>
      </c>
      <c r="AH6" s="260">
        <f>AF6/30*AG6</f>
        <v>0</v>
      </c>
      <c r="AI6" s="262">
        <f t="shared" ref="AI6:AI18" si="9">(AI5*AH6)+AI5</f>
        <v>100</v>
      </c>
    </row>
    <row r="7" spans="2:35" ht="16.5" x14ac:dyDescent="0.3">
      <c r="B7" s="257">
        <v>2023</v>
      </c>
      <c r="C7" s="259" t="s">
        <v>4450</v>
      </c>
      <c r="D7" s="260"/>
      <c r="E7" s="261"/>
      <c r="F7" s="260">
        <f t="shared" ref="F7:F17" si="10">D7</f>
        <v>0</v>
      </c>
      <c r="G7" s="262">
        <f t="shared" si="0"/>
        <v>100</v>
      </c>
      <c r="I7" s="257">
        <f t="shared" si="1"/>
        <v>2024</v>
      </c>
      <c r="J7" s="259" t="str">
        <f t="shared" si="2"/>
        <v>SET</v>
      </c>
      <c r="K7" s="260"/>
      <c r="L7" s="261"/>
      <c r="M7" s="260">
        <f t="shared" ref="M7:M17" si="11">K7</f>
        <v>0</v>
      </c>
      <c r="N7" s="262">
        <f t="shared" si="3"/>
        <v>100</v>
      </c>
      <c r="P7" s="257">
        <f t="shared" si="4"/>
        <v>2025</v>
      </c>
      <c r="Q7" s="259" t="s">
        <v>4450</v>
      </c>
      <c r="R7" s="260"/>
      <c r="S7" s="261"/>
      <c r="T7" s="260">
        <f t="shared" ref="T7:T17" si="12">R7</f>
        <v>0</v>
      </c>
      <c r="U7" s="262">
        <f t="shared" si="5"/>
        <v>100</v>
      </c>
      <c r="W7" s="257">
        <f t="shared" si="6"/>
        <v>2026</v>
      </c>
      <c r="X7" s="259" t="s">
        <v>4450</v>
      </c>
      <c r="Y7" s="260"/>
      <c r="Z7" s="261"/>
      <c r="AA7" s="260">
        <f t="shared" ref="AA7:AA17" si="13">Y7</f>
        <v>0</v>
      </c>
      <c r="AB7" s="262">
        <f t="shared" si="7"/>
        <v>100</v>
      </c>
      <c r="AD7" s="257">
        <f t="shared" si="8"/>
        <v>2027</v>
      </c>
      <c r="AE7" s="259" t="s">
        <v>4450</v>
      </c>
      <c r="AF7" s="260"/>
      <c r="AG7" s="261"/>
      <c r="AH7" s="260">
        <f t="shared" ref="AH7:AH17" si="14">AF7</f>
        <v>0</v>
      </c>
      <c r="AI7" s="262">
        <f t="shared" si="9"/>
        <v>100</v>
      </c>
    </row>
    <row r="8" spans="2:35" ht="16.5" x14ac:dyDescent="0.3">
      <c r="B8" s="257">
        <v>2023</v>
      </c>
      <c r="C8" s="259" t="s">
        <v>4451</v>
      </c>
      <c r="D8" s="260"/>
      <c r="E8" s="261"/>
      <c r="F8" s="260">
        <f t="shared" si="10"/>
        <v>0</v>
      </c>
      <c r="G8" s="262">
        <f t="shared" si="0"/>
        <v>100</v>
      </c>
      <c r="I8" s="257">
        <f t="shared" si="1"/>
        <v>2024</v>
      </c>
      <c r="J8" s="259" t="str">
        <f t="shared" si="2"/>
        <v>OUT</v>
      </c>
      <c r="K8" s="260"/>
      <c r="L8" s="261"/>
      <c r="M8" s="260">
        <f t="shared" si="11"/>
        <v>0</v>
      </c>
      <c r="N8" s="262">
        <f t="shared" si="3"/>
        <v>100</v>
      </c>
      <c r="P8" s="257">
        <f t="shared" si="4"/>
        <v>2025</v>
      </c>
      <c r="Q8" s="259" t="s">
        <v>4451</v>
      </c>
      <c r="R8" s="260"/>
      <c r="S8" s="261"/>
      <c r="T8" s="260">
        <f t="shared" si="12"/>
        <v>0</v>
      </c>
      <c r="U8" s="262">
        <f t="shared" si="5"/>
        <v>100</v>
      </c>
      <c r="W8" s="257">
        <f t="shared" si="6"/>
        <v>2026</v>
      </c>
      <c r="X8" s="259" t="s">
        <v>4451</v>
      </c>
      <c r="Y8" s="260"/>
      <c r="Z8" s="261"/>
      <c r="AA8" s="260">
        <f t="shared" si="13"/>
        <v>0</v>
      </c>
      <c r="AB8" s="262">
        <f t="shared" si="7"/>
        <v>100</v>
      </c>
      <c r="AD8" s="257">
        <f t="shared" si="8"/>
        <v>2027</v>
      </c>
      <c r="AE8" s="259" t="s">
        <v>4451</v>
      </c>
      <c r="AF8" s="260"/>
      <c r="AG8" s="261"/>
      <c r="AH8" s="260">
        <f t="shared" si="14"/>
        <v>0</v>
      </c>
      <c r="AI8" s="262">
        <f t="shared" si="9"/>
        <v>100</v>
      </c>
    </row>
    <row r="9" spans="2:35" ht="16.5" x14ac:dyDescent="0.3">
      <c r="B9" s="257">
        <v>2023</v>
      </c>
      <c r="C9" s="259" t="s">
        <v>4452</v>
      </c>
      <c r="D9" s="260"/>
      <c r="E9" s="261"/>
      <c r="F9" s="260">
        <f t="shared" si="10"/>
        <v>0</v>
      </c>
      <c r="G9" s="262">
        <f t="shared" si="0"/>
        <v>100</v>
      </c>
      <c r="I9" s="257">
        <f t="shared" si="1"/>
        <v>2024</v>
      </c>
      <c r="J9" s="259" t="str">
        <f t="shared" si="2"/>
        <v>NOV</v>
      </c>
      <c r="K9" s="260"/>
      <c r="L9" s="261"/>
      <c r="M9" s="260">
        <f t="shared" si="11"/>
        <v>0</v>
      </c>
      <c r="N9" s="262">
        <f t="shared" si="3"/>
        <v>100</v>
      </c>
      <c r="P9" s="257">
        <f t="shared" si="4"/>
        <v>2025</v>
      </c>
      <c r="Q9" s="259" t="s">
        <v>4452</v>
      </c>
      <c r="R9" s="260"/>
      <c r="S9" s="261"/>
      <c r="T9" s="260">
        <f t="shared" si="12"/>
        <v>0</v>
      </c>
      <c r="U9" s="262">
        <f t="shared" si="5"/>
        <v>100</v>
      </c>
      <c r="W9" s="257">
        <f t="shared" si="6"/>
        <v>2026</v>
      </c>
      <c r="X9" s="259" t="s">
        <v>4452</v>
      </c>
      <c r="Y9" s="260"/>
      <c r="Z9" s="261"/>
      <c r="AA9" s="260">
        <f t="shared" si="13"/>
        <v>0</v>
      </c>
      <c r="AB9" s="262">
        <f t="shared" si="7"/>
        <v>100</v>
      </c>
      <c r="AD9" s="257">
        <f t="shared" si="8"/>
        <v>2027</v>
      </c>
      <c r="AE9" s="259" t="s">
        <v>4452</v>
      </c>
      <c r="AF9" s="260"/>
      <c r="AG9" s="261"/>
      <c r="AH9" s="260">
        <f t="shared" si="14"/>
        <v>0</v>
      </c>
      <c r="AI9" s="262">
        <f t="shared" si="9"/>
        <v>100</v>
      </c>
    </row>
    <row r="10" spans="2:35" ht="16.5" x14ac:dyDescent="0.3">
      <c r="B10" s="257">
        <v>2023</v>
      </c>
      <c r="C10" s="259" t="s">
        <v>4453</v>
      </c>
      <c r="D10" s="260"/>
      <c r="E10" s="261"/>
      <c r="F10" s="260">
        <f t="shared" si="10"/>
        <v>0</v>
      </c>
      <c r="G10" s="262">
        <f t="shared" si="0"/>
        <v>100</v>
      </c>
      <c r="I10" s="257">
        <f t="shared" si="1"/>
        <v>2024</v>
      </c>
      <c r="J10" s="259" t="str">
        <f t="shared" si="2"/>
        <v>DEZ</v>
      </c>
      <c r="K10" s="260"/>
      <c r="L10" s="261"/>
      <c r="M10" s="260">
        <f t="shared" si="11"/>
        <v>0</v>
      </c>
      <c r="N10" s="262">
        <f t="shared" si="3"/>
        <v>100</v>
      </c>
      <c r="P10" s="257">
        <f t="shared" si="4"/>
        <v>2025</v>
      </c>
      <c r="Q10" s="259" t="s">
        <v>4453</v>
      </c>
      <c r="R10" s="260"/>
      <c r="S10" s="261"/>
      <c r="T10" s="260">
        <f t="shared" si="12"/>
        <v>0</v>
      </c>
      <c r="U10" s="262">
        <f t="shared" si="5"/>
        <v>100</v>
      </c>
      <c r="W10" s="257">
        <f t="shared" si="6"/>
        <v>2026</v>
      </c>
      <c r="X10" s="259" t="s">
        <v>4453</v>
      </c>
      <c r="Y10" s="260"/>
      <c r="Z10" s="261"/>
      <c r="AA10" s="260">
        <f t="shared" si="13"/>
        <v>0</v>
      </c>
      <c r="AB10" s="262">
        <f t="shared" si="7"/>
        <v>100</v>
      </c>
      <c r="AD10" s="257">
        <f t="shared" si="8"/>
        <v>2027</v>
      </c>
      <c r="AE10" s="259" t="s">
        <v>4453</v>
      </c>
      <c r="AF10" s="260"/>
      <c r="AG10" s="261"/>
      <c r="AH10" s="260">
        <f t="shared" si="14"/>
        <v>0</v>
      </c>
      <c r="AI10" s="262">
        <f t="shared" si="9"/>
        <v>100</v>
      </c>
    </row>
    <row r="11" spans="2:35" ht="16.5" x14ac:dyDescent="0.3">
      <c r="B11" s="257">
        <v>2023</v>
      </c>
      <c r="C11" s="259" t="s">
        <v>4453</v>
      </c>
      <c r="D11" s="260"/>
      <c r="E11" s="261"/>
      <c r="F11" s="260">
        <f t="shared" si="10"/>
        <v>0</v>
      </c>
      <c r="G11" s="262">
        <f t="shared" si="0"/>
        <v>100</v>
      </c>
      <c r="I11" s="257">
        <f t="shared" si="1"/>
        <v>2024</v>
      </c>
      <c r="J11" s="259" t="str">
        <f t="shared" si="2"/>
        <v>DEZ</v>
      </c>
      <c r="K11" s="260"/>
      <c r="L11" s="261"/>
      <c r="M11" s="260">
        <f t="shared" si="11"/>
        <v>0</v>
      </c>
      <c r="N11" s="262">
        <f t="shared" si="3"/>
        <v>100</v>
      </c>
      <c r="P11" s="257">
        <f t="shared" si="4"/>
        <v>2025</v>
      </c>
      <c r="Q11" s="259" t="s">
        <v>4453</v>
      </c>
      <c r="R11" s="260"/>
      <c r="S11" s="261"/>
      <c r="T11" s="260">
        <f t="shared" si="12"/>
        <v>0</v>
      </c>
      <c r="U11" s="262">
        <f t="shared" si="5"/>
        <v>100</v>
      </c>
      <c r="W11" s="257">
        <f t="shared" si="6"/>
        <v>2026</v>
      </c>
      <c r="X11" s="259" t="s">
        <v>4453</v>
      </c>
      <c r="Y11" s="260"/>
      <c r="Z11" s="261"/>
      <c r="AA11" s="260">
        <f t="shared" si="13"/>
        <v>0</v>
      </c>
      <c r="AB11" s="262">
        <f t="shared" si="7"/>
        <v>100</v>
      </c>
      <c r="AD11" s="257">
        <f t="shared" si="8"/>
        <v>2027</v>
      </c>
      <c r="AE11" s="259" t="s">
        <v>4453</v>
      </c>
      <c r="AF11" s="260"/>
      <c r="AG11" s="261"/>
      <c r="AH11" s="260">
        <f t="shared" si="14"/>
        <v>0</v>
      </c>
      <c r="AI11" s="262">
        <f t="shared" si="9"/>
        <v>100</v>
      </c>
    </row>
    <row r="12" spans="2:35" ht="16.5" customHeight="1" x14ac:dyDescent="0.3">
      <c r="B12" s="257">
        <v>2024</v>
      </c>
      <c r="C12" s="263" t="s">
        <v>4454</v>
      </c>
      <c r="D12" s="264"/>
      <c r="E12" s="265"/>
      <c r="F12" s="260">
        <f t="shared" si="10"/>
        <v>0</v>
      </c>
      <c r="G12" s="262">
        <f t="shared" si="0"/>
        <v>100</v>
      </c>
      <c r="I12" s="257">
        <f t="shared" si="1"/>
        <v>2025</v>
      </c>
      <c r="J12" s="259" t="str">
        <f t="shared" si="2"/>
        <v>JAN</v>
      </c>
      <c r="K12" s="264"/>
      <c r="L12" s="261"/>
      <c r="M12" s="260">
        <f t="shared" si="11"/>
        <v>0</v>
      </c>
      <c r="N12" s="262">
        <f t="shared" si="3"/>
        <v>100</v>
      </c>
      <c r="P12" s="257">
        <f t="shared" si="4"/>
        <v>2026</v>
      </c>
      <c r="Q12" s="263" t="s">
        <v>4454</v>
      </c>
      <c r="R12" s="264"/>
      <c r="S12" s="265"/>
      <c r="T12" s="260">
        <f t="shared" si="12"/>
        <v>0</v>
      </c>
      <c r="U12" s="262">
        <f t="shared" si="5"/>
        <v>100</v>
      </c>
      <c r="W12" s="257">
        <f t="shared" si="6"/>
        <v>2027</v>
      </c>
      <c r="X12" s="263" t="s">
        <v>4454</v>
      </c>
      <c r="Y12" s="264"/>
      <c r="Z12" s="265"/>
      <c r="AA12" s="260">
        <f t="shared" si="13"/>
        <v>0</v>
      </c>
      <c r="AB12" s="262">
        <f t="shared" si="7"/>
        <v>100</v>
      </c>
      <c r="AD12" s="257">
        <f t="shared" si="8"/>
        <v>2028</v>
      </c>
      <c r="AE12" s="263" t="s">
        <v>4454</v>
      </c>
      <c r="AF12" s="264"/>
      <c r="AG12" s="265"/>
      <c r="AH12" s="260">
        <f t="shared" si="14"/>
        <v>0</v>
      </c>
      <c r="AI12" s="262">
        <f t="shared" si="9"/>
        <v>100</v>
      </c>
    </row>
    <row r="13" spans="2:35" ht="16.5" x14ac:dyDescent="0.3">
      <c r="B13" s="257">
        <v>2024</v>
      </c>
      <c r="C13" s="259" t="s">
        <v>4455</v>
      </c>
      <c r="D13" s="260"/>
      <c r="E13" s="261"/>
      <c r="F13" s="260">
        <f t="shared" si="10"/>
        <v>0</v>
      </c>
      <c r="G13" s="262">
        <f t="shared" si="0"/>
        <v>100</v>
      </c>
      <c r="I13" s="257">
        <f t="shared" si="1"/>
        <v>2025</v>
      </c>
      <c r="J13" s="259" t="str">
        <f t="shared" si="2"/>
        <v>FEV</v>
      </c>
      <c r="K13" s="260"/>
      <c r="L13" s="261"/>
      <c r="M13" s="260">
        <f t="shared" si="11"/>
        <v>0</v>
      </c>
      <c r="N13" s="262">
        <f t="shared" si="3"/>
        <v>100</v>
      </c>
      <c r="P13" s="257">
        <f t="shared" si="4"/>
        <v>2026</v>
      </c>
      <c r="Q13" s="259" t="s">
        <v>4455</v>
      </c>
      <c r="R13" s="260"/>
      <c r="S13" s="261"/>
      <c r="T13" s="260">
        <f t="shared" si="12"/>
        <v>0</v>
      </c>
      <c r="U13" s="262">
        <f t="shared" si="5"/>
        <v>100</v>
      </c>
      <c r="W13" s="257">
        <f t="shared" si="6"/>
        <v>2027</v>
      </c>
      <c r="X13" s="259" t="s">
        <v>4455</v>
      </c>
      <c r="Y13" s="260"/>
      <c r="Z13" s="261"/>
      <c r="AA13" s="260">
        <f t="shared" si="13"/>
        <v>0</v>
      </c>
      <c r="AB13" s="262">
        <f t="shared" si="7"/>
        <v>100</v>
      </c>
      <c r="AD13" s="257">
        <f t="shared" si="8"/>
        <v>2028</v>
      </c>
      <c r="AE13" s="259" t="s">
        <v>4455</v>
      </c>
      <c r="AF13" s="260"/>
      <c r="AG13" s="261"/>
      <c r="AH13" s="260">
        <f t="shared" si="14"/>
        <v>0</v>
      </c>
      <c r="AI13" s="262">
        <f t="shared" si="9"/>
        <v>100</v>
      </c>
    </row>
    <row r="14" spans="2:35" ht="16.5" x14ac:dyDescent="0.3">
      <c r="B14" s="257">
        <v>2024</v>
      </c>
      <c r="C14" s="263" t="s">
        <v>4456</v>
      </c>
      <c r="D14" s="260"/>
      <c r="E14" s="261"/>
      <c r="F14" s="260">
        <f t="shared" si="10"/>
        <v>0</v>
      </c>
      <c r="G14" s="262">
        <f t="shared" si="0"/>
        <v>100</v>
      </c>
      <c r="I14" s="257">
        <f t="shared" si="1"/>
        <v>2025</v>
      </c>
      <c r="J14" s="259" t="str">
        <f t="shared" si="2"/>
        <v>MAR</v>
      </c>
      <c r="K14" s="260"/>
      <c r="L14" s="261"/>
      <c r="M14" s="260">
        <f t="shared" si="11"/>
        <v>0</v>
      </c>
      <c r="N14" s="262">
        <f t="shared" si="3"/>
        <v>100</v>
      </c>
      <c r="P14" s="257">
        <f t="shared" si="4"/>
        <v>2026</v>
      </c>
      <c r="Q14" s="263" t="s">
        <v>4456</v>
      </c>
      <c r="R14" s="260"/>
      <c r="S14" s="261"/>
      <c r="T14" s="260">
        <f t="shared" si="12"/>
        <v>0</v>
      </c>
      <c r="U14" s="262">
        <f t="shared" si="5"/>
        <v>100</v>
      </c>
      <c r="W14" s="257">
        <f t="shared" si="6"/>
        <v>2027</v>
      </c>
      <c r="X14" s="263" t="s">
        <v>4456</v>
      </c>
      <c r="Y14" s="260"/>
      <c r="Z14" s="261"/>
      <c r="AA14" s="260">
        <f t="shared" si="13"/>
        <v>0</v>
      </c>
      <c r="AB14" s="262">
        <f t="shared" si="7"/>
        <v>100</v>
      </c>
      <c r="AD14" s="257">
        <f t="shared" si="8"/>
        <v>2028</v>
      </c>
      <c r="AE14" s="263" t="s">
        <v>4456</v>
      </c>
      <c r="AF14" s="260"/>
      <c r="AG14" s="261"/>
      <c r="AH14" s="260">
        <f t="shared" si="14"/>
        <v>0</v>
      </c>
      <c r="AI14" s="262">
        <f t="shared" si="9"/>
        <v>100</v>
      </c>
    </row>
    <row r="15" spans="2:35" ht="16.5" x14ac:dyDescent="0.3">
      <c r="B15" s="257">
        <v>2024</v>
      </c>
      <c r="C15" s="259" t="s">
        <v>4457</v>
      </c>
      <c r="D15" s="260"/>
      <c r="E15" s="261"/>
      <c r="F15" s="260">
        <f t="shared" si="10"/>
        <v>0</v>
      </c>
      <c r="G15" s="262">
        <f t="shared" si="0"/>
        <v>100</v>
      </c>
      <c r="I15" s="257">
        <f t="shared" si="1"/>
        <v>2025</v>
      </c>
      <c r="J15" s="259" t="str">
        <f t="shared" si="2"/>
        <v>ABR</v>
      </c>
      <c r="K15" s="260"/>
      <c r="L15" s="261"/>
      <c r="M15" s="260">
        <f t="shared" si="11"/>
        <v>0</v>
      </c>
      <c r="N15" s="262">
        <f t="shared" si="3"/>
        <v>100</v>
      </c>
      <c r="P15" s="257">
        <f t="shared" si="4"/>
        <v>2026</v>
      </c>
      <c r="Q15" s="259" t="s">
        <v>4457</v>
      </c>
      <c r="R15" s="260"/>
      <c r="S15" s="261"/>
      <c r="T15" s="260">
        <f t="shared" si="12"/>
        <v>0</v>
      </c>
      <c r="U15" s="262">
        <f t="shared" si="5"/>
        <v>100</v>
      </c>
      <c r="W15" s="257">
        <f t="shared" si="6"/>
        <v>2027</v>
      </c>
      <c r="X15" s="259" t="s">
        <v>4457</v>
      </c>
      <c r="Y15" s="260"/>
      <c r="Z15" s="261"/>
      <c r="AA15" s="260">
        <f t="shared" si="13"/>
        <v>0</v>
      </c>
      <c r="AB15" s="262">
        <f t="shared" si="7"/>
        <v>100</v>
      </c>
      <c r="AD15" s="257">
        <f t="shared" si="8"/>
        <v>2028</v>
      </c>
      <c r="AE15" s="259" t="s">
        <v>4457</v>
      </c>
      <c r="AF15" s="260"/>
      <c r="AG15" s="261"/>
      <c r="AH15" s="260">
        <f t="shared" si="14"/>
        <v>0</v>
      </c>
      <c r="AI15" s="262">
        <f t="shared" si="9"/>
        <v>100</v>
      </c>
    </row>
    <row r="16" spans="2:35" ht="16.5" x14ac:dyDescent="0.3">
      <c r="B16" s="257">
        <v>2024</v>
      </c>
      <c r="C16" s="263" t="s">
        <v>4458</v>
      </c>
      <c r="D16" s="260"/>
      <c r="E16" s="261"/>
      <c r="F16" s="260">
        <f t="shared" si="10"/>
        <v>0</v>
      </c>
      <c r="G16" s="262">
        <f t="shared" si="0"/>
        <v>100</v>
      </c>
      <c r="I16" s="257">
        <f t="shared" si="1"/>
        <v>2025</v>
      </c>
      <c r="J16" s="259" t="str">
        <f t="shared" si="2"/>
        <v>MAI</v>
      </c>
      <c r="K16" s="260"/>
      <c r="L16" s="261"/>
      <c r="M16" s="260">
        <f t="shared" si="11"/>
        <v>0</v>
      </c>
      <c r="N16" s="262">
        <f t="shared" si="3"/>
        <v>100</v>
      </c>
      <c r="P16" s="257">
        <f t="shared" si="4"/>
        <v>2026</v>
      </c>
      <c r="Q16" s="263" t="s">
        <v>4458</v>
      </c>
      <c r="R16" s="260"/>
      <c r="S16" s="261"/>
      <c r="T16" s="260">
        <f t="shared" si="12"/>
        <v>0</v>
      </c>
      <c r="U16" s="262">
        <f t="shared" si="5"/>
        <v>100</v>
      </c>
      <c r="W16" s="257">
        <f t="shared" si="6"/>
        <v>2027</v>
      </c>
      <c r="X16" s="263" t="s">
        <v>4458</v>
      </c>
      <c r="Y16" s="260"/>
      <c r="Z16" s="261"/>
      <c r="AA16" s="260">
        <f t="shared" si="13"/>
        <v>0</v>
      </c>
      <c r="AB16" s="262">
        <f t="shared" si="7"/>
        <v>100</v>
      </c>
      <c r="AD16" s="257">
        <f t="shared" si="8"/>
        <v>2028</v>
      </c>
      <c r="AE16" s="263" t="s">
        <v>4458</v>
      </c>
      <c r="AF16" s="260"/>
      <c r="AG16" s="261"/>
      <c r="AH16" s="260">
        <f t="shared" si="14"/>
        <v>0</v>
      </c>
      <c r="AI16" s="262">
        <f t="shared" si="9"/>
        <v>100</v>
      </c>
    </row>
    <row r="17" spans="2:35" ht="16.5" x14ac:dyDescent="0.3">
      <c r="B17" s="257">
        <v>2024</v>
      </c>
      <c r="C17" s="259" t="s">
        <v>4459</v>
      </c>
      <c r="D17" s="260"/>
      <c r="E17" s="261"/>
      <c r="F17" s="260">
        <f t="shared" si="10"/>
        <v>0</v>
      </c>
      <c r="G17" s="262">
        <f t="shared" si="0"/>
        <v>100</v>
      </c>
      <c r="I17" s="257">
        <f t="shared" si="1"/>
        <v>2025</v>
      </c>
      <c r="J17" s="259" t="str">
        <f t="shared" si="2"/>
        <v>JUN</v>
      </c>
      <c r="K17" s="260"/>
      <c r="L17" s="261"/>
      <c r="M17" s="260">
        <f t="shared" si="11"/>
        <v>0</v>
      </c>
      <c r="N17" s="262">
        <f t="shared" si="3"/>
        <v>100</v>
      </c>
      <c r="P17" s="257">
        <f t="shared" si="4"/>
        <v>2026</v>
      </c>
      <c r="Q17" s="259" t="s">
        <v>4459</v>
      </c>
      <c r="R17" s="260"/>
      <c r="S17" s="261"/>
      <c r="T17" s="260">
        <f t="shared" si="12"/>
        <v>0</v>
      </c>
      <c r="U17" s="262">
        <f t="shared" si="5"/>
        <v>100</v>
      </c>
      <c r="W17" s="257">
        <f t="shared" si="6"/>
        <v>2027</v>
      </c>
      <c r="X17" s="259" t="s">
        <v>4459</v>
      </c>
      <c r="Y17" s="260"/>
      <c r="Z17" s="261"/>
      <c r="AA17" s="260">
        <f t="shared" si="13"/>
        <v>0</v>
      </c>
      <c r="AB17" s="262">
        <f t="shared" si="7"/>
        <v>100</v>
      </c>
      <c r="AD17" s="257">
        <f t="shared" si="8"/>
        <v>2028</v>
      </c>
      <c r="AE17" s="259" t="s">
        <v>4459</v>
      </c>
      <c r="AF17" s="260"/>
      <c r="AG17" s="261"/>
      <c r="AH17" s="260">
        <f t="shared" si="14"/>
        <v>0</v>
      </c>
      <c r="AI17" s="262">
        <f t="shared" si="9"/>
        <v>100</v>
      </c>
    </row>
    <row r="18" spans="2:35" ht="16.5" x14ac:dyDescent="0.3">
      <c r="B18" s="257">
        <v>2024</v>
      </c>
      <c r="C18" s="263" t="s">
        <v>4460</v>
      </c>
      <c r="D18" s="260"/>
      <c r="E18" s="261">
        <v>5</v>
      </c>
      <c r="F18" s="260">
        <f>D18/30*E18</f>
        <v>0</v>
      </c>
      <c r="G18" s="262">
        <f t="shared" si="0"/>
        <v>100</v>
      </c>
      <c r="I18" s="257">
        <f t="shared" si="1"/>
        <v>2025</v>
      </c>
      <c r="J18" s="259" t="str">
        <f t="shared" si="2"/>
        <v>JUL</v>
      </c>
      <c r="K18" s="260"/>
      <c r="L18" s="261">
        <f>$E$18</f>
        <v>5</v>
      </c>
      <c r="M18" s="260">
        <f>K18/30*L18</f>
        <v>0</v>
      </c>
      <c r="N18" s="262">
        <f t="shared" si="3"/>
        <v>100</v>
      </c>
      <c r="P18" s="257">
        <f t="shared" si="4"/>
        <v>2026</v>
      </c>
      <c r="Q18" s="263" t="s">
        <v>4460</v>
      </c>
      <c r="R18" s="260"/>
      <c r="S18" s="261">
        <f>$E$18</f>
        <v>5</v>
      </c>
      <c r="T18" s="260">
        <f>R18/30*S18</f>
        <v>0</v>
      </c>
      <c r="U18" s="262">
        <f t="shared" si="5"/>
        <v>100</v>
      </c>
      <c r="W18" s="257">
        <f t="shared" si="6"/>
        <v>2027</v>
      </c>
      <c r="X18" s="263" t="s">
        <v>4460</v>
      </c>
      <c r="Y18" s="260"/>
      <c r="Z18" s="261">
        <f>$E$18</f>
        <v>5</v>
      </c>
      <c r="AA18" s="260">
        <f>Y18/30*Z18</f>
        <v>0</v>
      </c>
      <c r="AB18" s="262">
        <f t="shared" si="7"/>
        <v>100</v>
      </c>
      <c r="AD18" s="257">
        <f t="shared" si="8"/>
        <v>2028</v>
      </c>
      <c r="AE18" s="263" t="s">
        <v>4460</v>
      </c>
      <c r="AF18" s="260"/>
      <c r="AG18" s="261">
        <f>$E$18</f>
        <v>5</v>
      </c>
      <c r="AH18" s="260">
        <f>AF18/30*AG18</f>
        <v>0</v>
      </c>
      <c r="AI18" s="262">
        <f t="shared" si="9"/>
        <v>100</v>
      </c>
    </row>
    <row r="19" spans="2:35" x14ac:dyDescent="0.2">
      <c r="B19" s="1719" t="s">
        <v>4461</v>
      </c>
      <c r="C19" s="1719"/>
      <c r="D19" s="1719"/>
      <c r="E19" s="1719"/>
      <c r="F19" s="1719"/>
      <c r="G19" s="266">
        <f>ROUND(((G18-G5)/G5),4)</f>
        <v>0</v>
      </c>
      <c r="I19" s="1719" t="s">
        <v>4461</v>
      </c>
      <c r="J19" s="1719"/>
      <c r="K19" s="1719"/>
      <c r="L19" s="1719"/>
      <c r="M19" s="1719"/>
      <c r="N19" s="266">
        <f>ROUND(((N18-N5)/N5),4)</f>
        <v>0</v>
      </c>
      <c r="P19" s="1719" t="s">
        <v>4461</v>
      </c>
      <c r="Q19" s="1719"/>
      <c r="R19" s="1719"/>
      <c r="S19" s="1719"/>
      <c r="T19" s="1719"/>
      <c r="U19" s="266">
        <f>ROUND(((U18-U5)/U5),4)</f>
        <v>0</v>
      </c>
      <c r="W19" s="1719" t="s">
        <v>4461</v>
      </c>
      <c r="X19" s="1719"/>
      <c r="Y19" s="1719"/>
      <c r="Z19" s="1719"/>
      <c r="AA19" s="1719"/>
      <c r="AB19" s="266">
        <f>ROUND(((AB18-AB5)/AB5),4)</f>
        <v>0</v>
      </c>
      <c r="AD19" s="1719" t="s">
        <v>4461</v>
      </c>
      <c r="AE19" s="1719"/>
      <c r="AF19" s="1719"/>
      <c r="AG19" s="1719"/>
      <c r="AH19" s="1719"/>
      <c r="AI19" s="266">
        <f>ROUND(((AI18-AI5)/AI5),4)</f>
        <v>0</v>
      </c>
    </row>
  </sheetData>
  <mergeCells count="20">
    <mergeCell ref="C3:G3"/>
    <mergeCell ref="J3:N3"/>
    <mergeCell ref="Q3:U3"/>
    <mergeCell ref="X3:AB3"/>
    <mergeCell ref="AE3:AI3"/>
    <mergeCell ref="B2:G2"/>
    <mergeCell ref="I2:N2"/>
    <mergeCell ref="P2:U2"/>
    <mergeCell ref="W2:AB2"/>
    <mergeCell ref="AD2:AI2"/>
    <mergeCell ref="B19:F19"/>
    <mergeCell ref="I19:M19"/>
    <mergeCell ref="P19:T19"/>
    <mergeCell ref="W19:AA19"/>
    <mergeCell ref="AD19:AH19"/>
    <mergeCell ref="B4:C4"/>
    <mergeCell ref="I4:J4"/>
    <mergeCell ref="P4:Q4"/>
    <mergeCell ref="W4:X4"/>
    <mergeCell ref="AD4:AE4"/>
  </mergeCells>
  <pageMargins left="0.51180555555555596" right="0.51180555555555596" top="0.78749999999999998" bottom="0.78749999999999998" header="0.511811023622047" footer="0.511811023622047"/>
  <pageSetup paperSize="9" scale="62"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2093-8C42-42E6-8B94-1BF781A96BE5}">
  <sheetPr>
    <pageSetUpPr fitToPage="1"/>
  </sheetPr>
  <dimension ref="A1:F25"/>
  <sheetViews>
    <sheetView view="pageBreakPreview" zoomScaleNormal="85" zoomScaleSheetLayoutView="100" workbookViewId="0">
      <selection activeCell="E21" sqref="E21"/>
    </sheetView>
  </sheetViews>
  <sheetFormatPr defaultRowHeight="12.75" x14ac:dyDescent="0.2"/>
  <cols>
    <col min="1" max="1" width="3" customWidth="1"/>
    <col min="2" max="2" width="32.1640625" customWidth="1"/>
    <col min="3" max="3" width="15.1640625" customWidth="1"/>
    <col min="4" max="4" width="23.5" customWidth="1"/>
    <col min="5" max="5" width="26.5" customWidth="1"/>
    <col min="6" max="6" width="24" customWidth="1"/>
    <col min="8" max="8" width="10.5" bestFit="1" customWidth="1"/>
  </cols>
  <sheetData>
    <row r="1" spans="1:6" ht="8.25" customHeight="1" x14ac:dyDescent="0.25">
      <c r="A1" s="948"/>
      <c r="B1" s="1048"/>
      <c r="C1" s="943"/>
      <c r="D1" s="891"/>
      <c r="E1" s="891"/>
      <c r="F1" s="944"/>
    </row>
    <row r="2" spans="1:6" ht="15.75" x14ac:dyDescent="0.25">
      <c r="A2" s="949"/>
      <c r="B2" s="1049"/>
      <c r="C2" s="945" t="s">
        <v>120</v>
      </c>
      <c r="D2" s="895"/>
      <c r="E2" s="895"/>
      <c r="F2" s="946"/>
    </row>
    <row r="3" spans="1:6" ht="15" x14ac:dyDescent="0.25">
      <c r="A3" s="949"/>
      <c r="B3" s="1050"/>
      <c r="C3" s="784" t="s">
        <v>1</v>
      </c>
      <c r="D3" s="895"/>
      <c r="E3" s="895"/>
      <c r="F3" s="946"/>
    </row>
    <row r="4" spans="1:6" ht="15" x14ac:dyDescent="0.25">
      <c r="A4" s="949"/>
      <c r="B4" s="1050"/>
      <c r="C4" s="784" t="s">
        <v>2</v>
      </c>
      <c r="D4" s="895"/>
      <c r="E4" s="895"/>
      <c r="F4" s="946"/>
    </row>
    <row r="5" spans="1:6" ht="15" x14ac:dyDescent="0.25">
      <c r="A5" s="949"/>
      <c r="B5" s="1050"/>
      <c r="C5" s="784" t="s">
        <v>223</v>
      </c>
      <c r="D5" s="895"/>
      <c r="E5" s="895"/>
      <c r="F5" s="946"/>
    </row>
    <row r="6" spans="1:6" ht="6" customHeight="1" x14ac:dyDescent="0.2">
      <c r="B6" s="1051"/>
      <c r="C6" s="1052"/>
      <c r="D6" s="1052"/>
      <c r="E6" s="1052"/>
      <c r="F6" s="1053"/>
    </row>
    <row r="7" spans="1:6" ht="30" customHeight="1" x14ac:dyDescent="0.2">
      <c r="B7" s="1058" t="s">
        <v>224</v>
      </c>
      <c r="C7" s="1059"/>
      <c r="D7" s="1052"/>
      <c r="E7" s="1052"/>
      <c r="F7" s="1053"/>
    </row>
    <row r="8" spans="1:6" ht="47.25" x14ac:dyDescent="0.2">
      <c r="B8" s="1074" t="s">
        <v>225</v>
      </c>
      <c r="C8" s="1074" t="s">
        <v>226</v>
      </c>
      <c r="D8" s="1074" t="s">
        <v>227</v>
      </c>
      <c r="E8" s="1074" t="s">
        <v>228</v>
      </c>
      <c r="F8" s="1074" t="s">
        <v>229</v>
      </c>
    </row>
    <row r="9" spans="1:6" ht="90" x14ac:dyDescent="0.2">
      <c r="B9" s="305" t="s">
        <v>230</v>
      </c>
      <c r="C9" s="1054" t="s">
        <v>231</v>
      </c>
      <c r="D9" s="305" t="s">
        <v>232</v>
      </c>
      <c r="E9" s="1055" t="s">
        <v>233</v>
      </c>
      <c r="F9" s="305" t="s">
        <v>234</v>
      </c>
    </row>
    <row r="10" spans="1:6" ht="60" x14ac:dyDescent="0.2">
      <c r="B10" s="305" t="s">
        <v>235</v>
      </c>
      <c r="C10" s="1054" t="s">
        <v>231</v>
      </c>
      <c r="D10" s="305" t="s">
        <v>236</v>
      </c>
      <c r="E10" s="1055" t="s">
        <v>237</v>
      </c>
      <c r="F10" s="305" t="s">
        <v>238</v>
      </c>
    </row>
    <row r="11" spans="1:6" ht="38.25" x14ac:dyDescent="0.2">
      <c r="B11" s="305" t="s">
        <v>239</v>
      </c>
      <c r="C11" s="1054" t="s">
        <v>231</v>
      </c>
      <c r="D11" s="305" t="s">
        <v>240</v>
      </c>
      <c r="E11" s="1055" t="s">
        <v>241</v>
      </c>
      <c r="F11" s="305" t="s">
        <v>242</v>
      </c>
    </row>
    <row r="12" spans="1:6" ht="60" x14ac:dyDescent="0.2">
      <c r="B12" s="305" t="s">
        <v>243</v>
      </c>
      <c r="C12" s="1054" t="s">
        <v>231</v>
      </c>
      <c r="D12" s="305" t="s">
        <v>236</v>
      </c>
      <c r="E12" s="1055" t="s">
        <v>244</v>
      </c>
      <c r="F12" s="305" t="s">
        <v>238</v>
      </c>
    </row>
    <row r="13" spans="1:6" ht="60" x14ac:dyDescent="0.2">
      <c r="B13" s="305" t="s">
        <v>245</v>
      </c>
      <c r="C13" s="1054" t="s">
        <v>231</v>
      </c>
      <c r="D13" s="305" t="s">
        <v>236</v>
      </c>
      <c r="E13" s="1055" t="s">
        <v>237</v>
      </c>
      <c r="F13" s="305" t="s">
        <v>238</v>
      </c>
    </row>
    <row r="14" spans="1:6" ht="60" x14ac:dyDescent="0.2">
      <c r="B14" s="305" t="s">
        <v>246</v>
      </c>
      <c r="C14" s="1054" t="s">
        <v>231</v>
      </c>
      <c r="D14" s="305" t="s">
        <v>236</v>
      </c>
      <c r="E14" s="1055" t="s">
        <v>237</v>
      </c>
      <c r="F14" s="305" t="s">
        <v>238</v>
      </c>
    </row>
    <row r="15" spans="1:6" ht="30" x14ac:dyDescent="0.2">
      <c r="B15" s="305" t="s">
        <v>247</v>
      </c>
      <c r="C15" s="1054" t="s">
        <v>248</v>
      </c>
      <c r="D15" s="305" t="s">
        <v>249</v>
      </c>
      <c r="E15" s="1055" t="s">
        <v>250</v>
      </c>
      <c r="F15" s="305" t="s">
        <v>242</v>
      </c>
    </row>
    <row r="16" spans="1:6" ht="30" x14ac:dyDescent="0.2">
      <c r="B16" s="305" t="s">
        <v>251</v>
      </c>
      <c r="C16" s="1054" t="s">
        <v>248</v>
      </c>
      <c r="D16" s="305" t="s">
        <v>252</v>
      </c>
      <c r="E16" s="1055" t="s">
        <v>253</v>
      </c>
      <c r="F16" s="305" t="s">
        <v>242</v>
      </c>
    </row>
    <row r="17" spans="2:6" ht="30" x14ac:dyDescent="0.2">
      <c r="B17" s="305" t="s">
        <v>254</v>
      </c>
      <c r="C17" s="1054" t="s">
        <v>248</v>
      </c>
      <c r="D17" s="305" t="s">
        <v>255</v>
      </c>
      <c r="E17" s="1055" t="s">
        <v>250</v>
      </c>
      <c r="F17" s="305" t="s">
        <v>242</v>
      </c>
    </row>
    <row r="18" spans="2:6" ht="30" x14ac:dyDescent="0.2">
      <c r="B18" s="305" t="s">
        <v>256</v>
      </c>
      <c r="C18" s="1054" t="s">
        <v>248</v>
      </c>
      <c r="D18" s="305" t="s">
        <v>252</v>
      </c>
      <c r="E18" s="1055" t="s">
        <v>253</v>
      </c>
      <c r="F18" s="305" t="s">
        <v>242</v>
      </c>
    </row>
    <row r="19" spans="2:6" ht="75" x14ac:dyDescent="0.2">
      <c r="B19" s="305" t="s">
        <v>257</v>
      </c>
      <c r="C19" s="1054" t="s">
        <v>248</v>
      </c>
      <c r="D19" s="305" t="s">
        <v>258</v>
      </c>
      <c r="E19" s="1055" t="s">
        <v>250</v>
      </c>
      <c r="F19" s="305" t="s">
        <v>242</v>
      </c>
    </row>
    <row r="20" spans="2:6" ht="75" x14ac:dyDescent="0.2">
      <c r="B20" s="305" t="s">
        <v>259</v>
      </c>
      <c r="C20" s="1054" t="s">
        <v>248</v>
      </c>
      <c r="D20" s="305" t="s">
        <v>258</v>
      </c>
      <c r="E20" s="1055" t="s">
        <v>260</v>
      </c>
      <c r="F20" s="305" t="s">
        <v>242</v>
      </c>
    </row>
    <row r="21" spans="2:6" ht="25.5" x14ac:dyDescent="0.2">
      <c r="B21" s="305" t="s">
        <v>261</v>
      </c>
      <c r="C21" s="1054" t="s">
        <v>248</v>
      </c>
      <c r="D21" s="305" t="s">
        <v>262</v>
      </c>
      <c r="E21" s="1055" t="s">
        <v>263</v>
      </c>
      <c r="F21" s="305" t="s">
        <v>242</v>
      </c>
    </row>
    <row r="22" spans="2:6" ht="25.5" x14ac:dyDescent="0.2">
      <c r="B22" s="305" t="s">
        <v>264</v>
      </c>
      <c r="C22" s="1054" t="s">
        <v>248</v>
      </c>
      <c r="D22" s="305" t="s">
        <v>264</v>
      </c>
      <c r="E22" s="1055" t="s">
        <v>265</v>
      </c>
      <c r="F22" s="305" t="s">
        <v>242</v>
      </c>
    </row>
    <row r="23" spans="2:6" ht="25.5" x14ac:dyDescent="0.2">
      <c r="B23" s="305" t="s">
        <v>266</v>
      </c>
      <c r="C23" s="1054" t="s">
        <v>248</v>
      </c>
      <c r="D23" s="305" t="s">
        <v>266</v>
      </c>
      <c r="E23" s="1055" t="s">
        <v>267</v>
      </c>
      <c r="F23" s="305" t="s">
        <v>242</v>
      </c>
    </row>
    <row r="24" spans="2:6" ht="15" x14ac:dyDescent="0.2">
      <c r="B24" s="305" t="s">
        <v>268</v>
      </c>
      <c r="C24" s="1054" t="s">
        <v>248</v>
      </c>
      <c r="D24" s="1056" t="s">
        <v>269</v>
      </c>
      <c r="E24" s="1055" t="s">
        <v>270</v>
      </c>
      <c r="F24" s="305" t="s">
        <v>242</v>
      </c>
    </row>
    <row r="25" spans="2:6" ht="15" x14ac:dyDescent="0.2">
      <c r="D25" s="1057"/>
      <c r="E25" s="1057"/>
    </row>
  </sheetData>
  <sheetProtection sheet="1" objects="1" scenarios="1"/>
  <protectedRanges>
    <protectedRange sqref="C9:C24" name="Intervalo2"/>
  </protectedRanges>
  <dataValidations count="1">
    <dataValidation type="list" allowBlank="1" showInputMessage="1" showErrorMessage="1" sqref="C9:C24" xr:uid="{EB2FA569-2684-415B-9939-78690AA9ED55}">
      <formula1>$B$13:$B$16</formula1>
    </dataValidation>
  </dataValidations>
  <pageMargins left="0.511811024" right="0.511811024" top="0.78740157499999996" bottom="0.78740157499999996" header="0.31496062000000002" footer="0.31496062000000002"/>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DA61-41A6-45A1-A214-1D680A2DBA2F}">
  <sheetPr>
    <pageSetUpPr fitToPage="1"/>
  </sheetPr>
  <dimension ref="B1:M24"/>
  <sheetViews>
    <sheetView view="pageBreakPreview" topLeftCell="B1" zoomScaleNormal="70" zoomScaleSheetLayoutView="100" workbookViewId="0">
      <selection activeCell="D19" sqref="D19"/>
    </sheetView>
  </sheetViews>
  <sheetFormatPr defaultRowHeight="12.75" x14ac:dyDescent="0.2"/>
  <cols>
    <col min="2" max="2" width="53" customWidth="1"/>
    <col min="3" max="4" width="18.5" customWidth="1"/>
    <col min="5" max="5" width="2.33203125" style="1073" customWidth="1"/>
    <col min="6" max="6" width="20.1640625" customWidth="1"/>
    <col min="7" max="7" width="22.33203125" customWidth="1"/>
    <col min="8" max="8" width="1.83203125" customWidth="1"/>
    <col min="9" max="9" width="32.83203125" customWidth="1"/>
    <col min="10" max="10" width="56.83203125" customWidth="1"/>
  </cols>
  <sheetData>
    <row r="1" spans="2:13" ht="15" x14ac:dyDescent="0.25">
      <c r="B1" s="1048"/>
      <c r="C1" s="891"/>
      <c r="D1" s="1047"/>
      <c r="E1" s="1047"/>
      <c r="F1" s="1047"/>
      <c r="G1" s="1047"/>
      <c r="H1" s="1047"/>
      <c r="I1" s="1047"/>
      <c r="J1" s="1060"/>
    </row>
    <row r="2" spans="2:13" ht="15.75" x14ac:dyDescent="0.2">
      <c r="B2" s="1049"/>
      <c r="C2" s="945" t="s">
        <v>120</v>
      </c>
      <c r="D2" s="886"/>
      <c r="E2" s="886"/>
      <c r="F2" s="886"/>
      <c r="G2" s="886"/>
      <c r="H2" s="886"/>
      <c r="I2" s="886"/>
      <c r="J2" s="1061"/>
    </row>
    <row r="3" spans="2:13" x14ac:dyDescent="0.2">
      <c r="B3" s="1050"/>
      <c r="C3" s="784" t="s">
        <v>1</v>
      </c>
      <c r="D3" s="886"/>
      <c r="E3" s="886"/>
      <c r="F3" s="886"/>
      <c r="G3" s="886"/>
      <c r="H3" s="886"/>
      <c r="I3" s="886"/>
      <c r="J3" s="1061"/>
    </row>
    <row r="4" spans="2:13" x14ac:dyDescent="0.2">
      <c r="B4" s="1050"/>
      <c r="C4" s="784" t="s">
        <v>2</v>
      </c>
      <c r="D4" s="886"/>
      <c r="E4" s="886"/>
      <c r="F4" s="886"/>
      <c r="G4" s="886"/>
      <c r="H4" s="886"/>
      <c r="I4" s="886"/>
      <c r="J4" s="1061"/>
    </row>
    <row r="5" spans="2:13" x14ac:dyDescent="0.2">
      <c r="B5" s="1050"/>
      <c r="C5" s="784" t="s">
        <v>223</v>
      </c>
      <c r="D5" s="886"/>
      <c r="E5" s="886"/>
      <c r="F5" s="886"/>
      <c r="G5" s="886"/>
      <c r="H5" s="886"/>
      <c r="I5" s="886"/>
      <c r="J5" s="1061"/>
    </row>
    <row r="6" spans="2:13" x14ac:dyDescent="0.2">
      <c r="B6" s="1051"/>
      <c r="C6" s="1052"/>
      <c r="D6" s="1052"/>
      <c r="E6" s="1052"/>
      <c r="F6" s="1052"/>
      <c r="G6" s="1052"/>
      <c r="H6" s="1052"/>
      <c r="I6" s="1052"/>
      <c r="J6" s="1053"/>
    </row>
    <row r="7" spans="2:13" ht="39" customHeight="1" x14ac:dyDescent="0.2">
      <c r="B7" s="1075" t="s">
        <v>271</v>
      </c>
      <c r="C7" s="1058" t="s">
        <v>272</v>
      </c>
      <c r="D7" s="1052"/>
      <c r="E7" s="886"/>
      <c r="F7" s="1052"/>
      <c r="G7" s="1052"/>
      <c r="H7" s="886"/>
      <c r="I7" s="1052"/>
      <c r="J7" s="1053"/>
    </row>
    <row r="8" spans="2:13" ht="36" customHeight="1" x14ac:dyDescent="0.2">
      <c r="B8" s="1062" t="s">
        <v>273</v>
      </c>
      <c r="C8" s="1063" t="s">
        <v>274</v>
      </c>
      <c r="D8" s="1063" t="s">
        <v>275</v>
      </c>
      <c r="E8" s="1064"/>
      <c r="F8" s="1063" t="s">
        <v>276</v>
      </c>
      <c r="G8" s="1065" t="s">
        <v>277</v>
      </c>
      <c r="I8" s="1066" t="s">
        <v>278</v>
      </c>
      <c r="J8" s="1067"/>
    </row>
    <row r="9" spans="2:13" ht="38.25" x14ac:dyDescent="0.2">
      <c r="B9" s="305" t="s">
        <v>230</v>
      </c>
      <c r="C9" s="1068">
        <v>13347.64</v>
      </c>
      <c r="D9" s="1041">
        <v>10312</v>
      </c>
      <c r="E9"/>
      <c r="F9" s="1068">
        <v>13347.64</v>
      </c>
      <c r="G9" s="1041" t="s">
        <v>279</v>
      </c>
      <c r="I9" s="1268" t="s">
        <v>280</v>
      </c>
      <c r="J9" s="1069" t="s">
        <v>281</v>
      </c>
      <c r="M9" s="1084"/>
    </row>
    <row r="10" spans="2:13" ht="51" x14ac:dyDescent="0.2">
      <c r="B10" s="305" t="s">
        <v>235</v>
      </c>
      <c r="C10" s="1042">
        <v>4111.95</v>
      </c>
      <c r="D10" s="1042">
        <v>2840.75</v>
      </c>
      <c r="E10"/>
      <c r="F10" s="1042">
        <v>4111.95</v>
      </c>
      <c r="G10" s="1041" t="s">
        <v>279</v>
      </c>
      <c r="I10" s="1268"/>
      <c r="J10" s="1069" t="s">
        <v>282</v>
      </c>
      <c r="M10" s="1084"/>
    </row>
    <row r="11" spans="2:13" ht="51" x14ac:dyDescent="0.2">
      <c r="B11" s="305" t="s">
        <v>239</v>
      </c>
      <c r="C11" s="1068">
        <v>3809.45</v>
      </c>
      <c r="D11" s="1041">
        <v>3285.15</v>
      </c>
      <c r="E11"/>
      <c r="F11" s="1068">
        <v>3809.45</v>
      </c>
      <c r="G11" s="1041" t="s">
        <v>279</v>
      </c>
      <c r="I11" s="1268"/>
      <c r="J11" s="1069" t="s">
        <v>282</v>
      </c>
      <c r="M11" s="1084"/>
    </row>
    <row r="12" spans="2:13" ht="51" x14ac:dyDescent="0.2">
      <c r="B12" s="305" t="s">
        <v>243</v>
      </c>
      <c r="C12" s="1068">
        <v>3606.93</v>
      </c>
      <c r="D12" s="1042">
        <v>2840.75</v>
      </c>
      <c r="E12"/>
      <c r="F12" s="1068">
        <v>3606.93</v>
      </c>
      <c r="G12" s="1041" t="s">
        <v>279</v>
      </c>
      <c r="I12" s="1268"/>
      <c r="J12" s="1069" t="s">
        <v>282</v>
      </c>
      <c r="M12" s="1084"/>
    </row>
    <row r="13" spans="2:13" ht="51" x14ac:dyDescent="0.2">
      <c r="B13" s="305" t="s">
        <v>245</v>
      </c>
      <c r="C13" s="1068">
        <v>4111.95</v>
      </c>
      <c r="D13" s="1042">
        <v>2840.75</v>
      </c>
      <c r="E13"/>
      <c r="F13" s="1068">
        <v>4111.95</v>
      </c>
      <c r="G13" s="1041" t="s">
        <v>279</v>
      </c>
      <c r="I13" s="1268"/>
      <c r="J13" s="1069" t="s">
        <v>282</v>
      </c>
      <c r="M13" s="1084"/>
    </row>
    <row r="14" spans="2:13" ht="51" x14ac:dyDescent="0.2">
      <c r="B14" s="305" t="s">
        <v>246</v>
      </c>
      <c r="C14" s="1068">
        <v>4111.95</v>
      </c>
      <c r="D14" s="1042">
        <v>2840.75</v>
      </c>
      <c r="E14"/>
      <c r="F14" s="1068">
        <v>4111.95</v>
      </c>
      <c r="G14" s="1041" t="s">
        <v>279</v>
      </c>
      <c r="I14" s="1268"/>
      <c r="J14" s="1069" t="s">
        <v>282</v>
      </c>
      <c r="M14" s="1084"/>
    </row>
    <row r="15" spans="2:13" ht="51" x14ac:dyDescent="0.2">
      <c r="B15" s="305" t="s">
        <v>247</v>
      </c>
      <c r="C15" s="1070">
        <v>2631.2</v>
      </c>
      <c r="D15" s="1041">
        <v>2224.12</v>
      </c>
      <c r="E15"/>
      <c r="F15" s="1070">
        <v>2631.2</v>
      </c>
      <c r="G15" s="1041" t="s">
        <v>279</v>
      </c>
      <c r="I15" s="1268"/>
      <c r="J15" s="1069" t="s">
        <v>282</v>
      </c>
      <c r="M15" s="1084"/>
    </row>
    <row r="16" spans="2:13" ht="63.75" x14ac:dyDescent="0.2">
      <c r="B16" s="305" t="s">
        <v>283</v>
      </c>
      <c r="C16" s="1068">
        <v>2206.27</v>
      </c>
      <c r="D16" s="1068">
        <v>1772.8</v>
      </c>
      <c r="E16"/>
      <c r="F16" s="1068">
        <v>2206.27</v>
      </c>
      <c r="G16" s="1041" t="s">
        <v>279</v>
      </c>
      <c r="I16" s="1268"/>
      <c r="J16" s="1071" t="s">
        <v>284</v>
      </c>
      <c r="M16" s="1084"/>
    </row>
    <row r="17" spans="2:13" ht="51" x14ac:dyDescent="0.2">
      <c r="B17" s="305" t="s">
        <v>254</v>
      </c>
      <c r="C17" s="1070">
        <v>2631.2</v>
      </c>
      <c r="D17" s="1041">
        <v>2144.9</v>
      </c>
      <c r="E17"/>
      <c r="F17" s="1070">
        <v>2631.2</v>
      </c>
      <c r="G17" s="1041" t="s">
        <v>279</v>
      </c>
      <c r="I17" s="1268"/>
      <c r="J17" s="1069" t="s">
        <v>282</v>
      </c>
      <c r="M17" s="1084"/>
    </row>
    <row r="18" spans="2:13" ht="63.75" x14ac:dyDescent="0.2">
      <c r="B18" s="305" t="s">
        <v>256</v>
      </c>
      <c r="C18" s="1042">
        <v>2206.27</v>
      </c>
      <c r="D18" s="1041">
        <v>1772.8</v>
      </c>
      <c r="E18"/>
      <c r="F18" s="1042">
        <v>2206.27</v>
      </c>
      <c r="G18" s="1041" t="s">
        <v>279</v>
      </c>
      <c r="I18" s="1268"/>
      <c r="J18" s="1071" t="s">
        <v>284</v>
      </c>
      <c r="M18" s="1084"/>
    </row>
    <row r="19" spans="2:13" ht="51" x14ac:dyDescent="0.2">
      <c r="B19" s="305" t="s">
        <v>257</v>
      </c>
      <c r="C19" s="1070">
        <v>2631.2</v>
      </c>
      <c r="D19" s="1041">
        <v>2616.61</v>
      </c>
      <c r="E19"/>
      <c r="F19" s="1070">
        <v>2631.2</v>
      </c>
      <c r="G19" s="1041" t="s">
        <v>279</v>
      </c>
      <c r="I19" s="1268"/>
      <c r="J19" s="1069" t="s">
        <v>282</v>
      </c>
      <c r="M19" s="1084"/>
    </row>
    <row r="20" spans="2:13" ht="51" x14ac:dyDescent="0.2">
      <c r="B20" s="305" t="s">
        <v>259</v>
      </c>
      <c r="C20" s="1070">
        <v>2631.2</v>
      </c>
      <c r="D20" s="1041">
        <v>2616.61</v>
      </c>
      <c r="E20"/>
      <c r="F20" s="1070">
        <v>2631.2</v>
      </c>
      <c r="G20" s="1041" t="s">
        <v>279</v>
      </c>
      <c r="I20" s="1268"/>
      <c r="J20" s="1069" t="s">
        <v>282</v>
      </c>
      <c r="M20" s="1084"/>
    </row>
    <row r="21" spans="2:13" ht="51" x14ac:dyDescent="0.2">
      <c r="B21" s="305" t="s">
        <v>261</v>
      </c>
      <c r="C21" s="1070">
        <v>2631.2</v>
      </c>
      <c r="D21" s="1041">
        <v>2616.61</v>
      </c>
      <c r="E21"/>
      <c r="F21" s="1070">
        <v>2631.2</v>
      </c>
      <c r="G21" s="1041" t="s">
        <v>279</v>
      </c>
      <c r="I21" s="1268"/>
      <c r="J21" s="1069" t="s">
        <v>282</v>
      </c>
      <c r="M21" s="1084"/>
    </row>
    <row r="22" spans="2:13" ht="51" x14ac:dyDescent="0.2">
      <c r="B22" s="305" t="s">
        <v>264</v>
      </c>
      <c r="C22" s="1070">
        <v>2631.2</v>
      </c>
      <c r="D22" s="1041">
        <v>2616.61</v>
      </c>
      <c r="E22"/>
      <c r="F22" s="1070">
        <v>2631.2</v>
      </c>
      <c r="G22" s="1041" t="s">
        <v>279</v>
      </c>
      <c r="I22" s="1268"/>
      <c r="J22" s="1069" t="s">
        <v>282</v>
      </c>
      <c r="M22" s="1084"/>
    </row>
    <row r="23" spans="2:13" ht="51" x14ac:dyDescent="0.2">
      <c r="B23" s="305" t="s">
        <v>266</v>
      </c>
      <c r="C23" s="1070">
        <v>2631.2</v>
      </c>
      <c r="D23" s="1041">
        <v>2616.61</v>
      </c>
      <c r="E23"/>
      <c r="F23" s="1070">
        <v>2631.2</v>
      </c>
      <c r="G23" s="1041" t="s">
        <v>279</v>
      </c>
      <c r="I23" s="1268"/>
      <c r="J23" s="1069" t="s">
        <v>282</v>
      </c>
      <c r="M23" s="1084"/>
    </row>
    <row r="24" spans="2:13" ht="51" x14ac:dyDescent="0.2">
      <c r="B24" s="305" t="s">
        <v>268</v>
      </c>
      <c r="C24" s="1070">
        <v>2631.2</v>
      </c>
      <c r="D24" s="1041">
        <v>2354.9499999999998</v>
      </c>
      <c r="E24"/>
      <c r="F24" s="1070">
        <v>2631.2</v>
      </c>
      <c r="G24" s="1041" t="s">
        <v>279</v>
      </c>
      <c r="I24" s="1269"/>
      <c r="J24" s="1072" t="s">
        <v>282</v>
      </c>
      <c r="M24" s="1084"/>
    </row>
  </sheetData>
  <sheetProtection sheet="1" objects="1" scenarios="1"/>
  <mergeCells count="1">
    <mergeCell ref="I9:I24"/>
  </mergeCells>
  <pageMargins left="0.511811024" right="0.511811024" top="0.78740157499999996" bottom="0.78740157499999996" header="0.31496062000000002" footer="0.31496062000000002"/>
  <pageSetup paperSize="9"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0B3C9-F34B-4EB5-BC07-0251407A767D}">
  <sheetPr>
    <tabColor rgb="FF83CAFF"/>
    <pageSetUpPr fitToPage="1"/>
  </sheetPr>
  <dimension ref="A1:AJ56"/>
  <sheetViews>
    <sheetView view="pageBreakPreview" topLeftCell="A26" zoomScale="70" zoomScaleNormal="55" zoomScaleSheetLayoutView="70" workbookViewId="0">
      <selection activeCell="E28" sqref="E28"/>
    </sheetView>
  </sheetViews>
  <sheetFormatPr defaultRowHeight="14.25" customHeight="1" x14ac:dyDescent="0.2"/>
  <cols>
    <col min="1" max="1" width="11" style="58" customWidth="1"/>
    <col min="2" max="2" width="43.5" style="58" customWidth="1"/>
    <col min="3" max="3" width="8.33203125" style="58" customWidth="1"/>
    <col min="4" max="4" width="8" style="58" customWidth="1"/>
    <col min="5" max="5" width="19.6640625" style="58" customWidth="1"/>
    <col min="6" max="6" width="20" style="58" customWidth="1"/>
    <col min="7" max="7" width="12.5" style="58" customWidth="1"/>
    <col min="8" max="8" width="11.6640625" style="58" customWidth="1"/>
    <col min="9" max="9" width="12.83203125" style="58" customWidth="1"/>
    <col min="10" max="10" width="14.1640625" style="58" customWidth="1"/>
    <col min="11" max="11" width="10.83203125" style="58" customWidth="1"/>
    <col min="12" max="12" width="12.83203125" style="58" customWidth="1"/>
    <col min="13" max="13" width="14.1640625" style="58" customWidth="1"/>
    <col min="14" max="14" width="8.83203125" style="58" customWidth="1"/>
    <col min="15" max="21" width="12.83203125" style="58" customWidth="1"/>
    <col min="22" max="22" width="16.33203125" style="58" customWidth="1"/>
    <col min="23" max="35" width="18.33203125" style="58" customWidth="1"/>
    <col min="36" max="36" width="9.33203125" style="58" customWidth="1"/>
    <col min="37" max="37" width="14.33203125" style="58" customWidth="1"/>
    <col min="38" max="39" width="16.6640625" style="58" customWidth="1"/>
    <col min="40" max="40" width="15.6640625" style="58" customWidth="1"/>
    <col min="41" max="41" width="13.33203125" style="58" customWidth="1"/>
    <col min="42" max="42" width="15.1640625" style="58" customWidth="1"/>
    <col min="43" max="44" width="13.33203125" style="58" customWidth="1"/>
    <col min="45" max="45" width="14.33203125" style="58" customWidth="1"/>
    <col min="46" max="16384" width="9.33203125" style="58"/>
  </cols>
  <sheetData>
    <row r="1" spans="1:36" ht="20.65" customHeight="1" x14ac:dyDescent="0.3">
      <c r="A1" s="889"/>
      <c r="B1" s="1312"/>
      <c r="C1" s="864" t="s">
        <v>120</v>
      </c>
      <c r="D1" s="890"/>
      <c r="E1" s="890"/>
      <c r="F1" s="890"/>
      <c r="G1" s="890"/>
      <c r="H1" s="890"/>
      <c r="I1" s="890"/>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59"/>
    </row>
    <row r="2" spans="1:36" ht="20.65" customHeight="1" x14ac:dyDescent="0.25">
      <c r="A2" s="892"/>
      <c r="B2" s="1312"/>
      <c r="C2" s="893" t="s">
        <v>1</v>
      </c>
      <c r="D2" s="894"/>
      <c r="E2" s="894"/>
      <c r="F2" s="894"/>
      <c r="G2" s="894"/>
      <c r="H2" s="894"/>
      <c r="I2" s="894"/>
      <c r="J2" s="895"/>
      <c r="K2" s="895"/>
      <c r="L2" s="895"/>
      <c r="M2" s="895"/>
      <c r="N2" s="895"/>
      <c r="O2" s="895"/>
      <c r="P2" s="895"/>
      <c r="Q2" s="895"/>
      <c r="R2" s="895"/>
      <c r="S2" s="895"/>
      <c r="T2" s="895"/>
      <c r="U2" s="895"/>
      <c r="V2" s="895"/>
      <c r="W2" s="895"/>
      <c r="X2" s="895"/>
      <c r="Y2" s="895"/>
      <c r="Z2" s="895"/>
      <c r="AA2" s="895"/>
      <c r="AB2" s="895"/>
      <c r="AC2" s="895"/>
      <c r="AD2" s="895"/>
      <c r="AE2" s="895"/>
      <c r="AF2" s="895"/>
      <c r="AG2" s="895"/>
      <c r="AH2" s="895"/>
      <c r="AI2" s="895"/>
      <c r="AJ2" s="59"/>
    </row>
    <row r="3" spans="1:36" ht="20.65" customHeight="1" x14ac:dyDescent="0.25">
      <c r="A3" s="892"/>
      <c r="B3" s="1312"/>
      <c r="C3" s="893" t="s">
        <v>2</v>
      </c>
      <c r="D3" s="894"/>
      <c r="E3" s="894"/>
      <c r="F3" s="894"/>
      <c r="G3" s="894"/>
      <c r="H3" s="894"/>
      <c r="I3" s="894"/>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59"/>
    </row>
    <row r="4" spans="1:36" ht="20.65" customHeight="1" x14ac:dyDescent="0.25">
      <c r="A4" s="896"/>
      <c r="B4" s="1312"/>
      <c r="C4" s="897" t="s">
        <v>223</v>
      </c>
      <c r="D4" s="898"/>
      <c r="E4" s="898"/>
      <c r="F4" s="898"/>
      <c r="G4" s="898"/>
      <c r="H4" s="898"/>
      <c r="I4" s="898"/>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59"/>
    </row>
    <row r="5" spans="1:36" s="61" customFormat="1" ht="30.75" customHeight="1" x14ac:dyDescent="0.2">
      <c r="A5" s="1313" t="s">
        <v>285</v>
      </c>
      <c r="B5" s="1313"/>
      <c r="C5" s="1313"/>
      <c r="D5" s="1313"/>
      <c r="E5" s="1313"/>
      <c r="F5" s="1313"/>
      <c r="G5" s="1313"/>
      <c r="H5" s="1313"/>
      <c r="I5" s="1313"/>
      <c r="J5" s="1313"/>
      <c r="K5" s="1313"/>
      <c r="L5" s="1313"/>
      <c r="M5" s="1313"/>
      <c r="N5" s="1313"/>
      <c r="O5" s="1313"/>
      <c r="P5" s="1313"/>
      <c r="Q5" s="1313"/>
      <c r="R5" s="1313"/>
      <c r="S5" s="1313"/>
      <c r="T5" s="1313"/>
      <c r="U5" s="1313"/>
      <c r="V5" s="1313"/>
      <c r="W5" s="1313"/>
      <c r="X5" s="1313"/>
      <c r="Y5" s="1313"/>
      <c r="Z5" s="1313"/>
      <c r="AA5" s="1313"/>
      <c r="AB5" s="1313"/>
      <c r="AC5" s="1313"/>
      <c r="AD5" s="1313"/>
      <c r="AE5" s="1313"/>
      <c r="AF5" s="1313"/>
      <c r="AG5" s="1313"/>
      <c r="AH5" s="1313"/>
      <c r="AI5" s="1313"/>
    </row>
    <row r="6" spans="1:36" s="61" customFormat="1" ht="30.75" customHeight="1" x14ac:dyDescent="0.2">
      <c r="A6" s="1314" t="s">
        <v>286</v>
      </c>
      <c r="B6" s="1314"/>
      <c r="C6" s="1314"/>
      <c r="D6" s="1314"/>
      <c r="E6" s="1314"/>
      <c r="F6" s="1314"/>
      <c r="G6" s="1314"/>
      <c r="H6" s="1314"/>
      <c r="I6" s="1314"/>
      <c r="J6" s="1314"/>
      <c r="K6" s="1314"/>
      <c r="L6" s="1314"/>
      <c r="M6" s="1314"/>
      <c r="N6" s="1314"/>
      <c r="O6" s="1314"/>
      <c r="P6" s="1314"/>
      <c r="Q6" s="1314"/>
      <c r="R6" s="1314"/>
      <c r="S6" s="1314"/>
      <c r="T6" s="1314"/>
      <c r="U6" s="1314"/>
      <c r="V6" s="1314"/>
      <c r="W6" s="1314"/>
      <c r="X6" s="1314"/>
      <c r="Y6" s="1314"/>
      <c r="Z6" s="1314"/>
      <c r="AA6" s="1314"/>
      <c r="AB6" s="1314"/>
      <c r="AC6" s="1314"/>
      <c r="AD6" s="1314"/>
      <c r="AE6" s="1314"/>
      <c r="AF6" s="1314"/>
      <c r="AG6" s="1314"/>
      <c r="AH6" s="1314"/>
      <c r="AI6" s="1314"/>
    </row>
    <row r="7" spans="1:36" s="61" customFormat="1" ht="21.75" customHeight="1" x14ac:dyDescent="0.2">
      <c r="A7" s="1315" t="s">
        <v>287</v>
      </c>
      <c r="B7" s="1315"/>
      <c r="C7" s="1315"/>
      <c r="D7" s="1315"/>
      <c r="E7" s="1315"/>
      <c r="F7" s="1315"/>
      <c r="G7" s="1315"/>
      <c r="H7" s="1315"/>
      <c r="I7" s="1315"/>
      <c r="J7" s="1316"/>
      <c r="K7" s="1316"/>
      <c r="L7" s="1316"/>
      <c r="M7" s="1316"/>
      <c r="N7" s="1316"/>
      <c r="O7" s="1316"/>
      <c r="P7" s="1316"/>
      <c r="Q7" s="1316"/>
      <c r="R7" s="1316"/>
      <c r="S7" s="1316"/>
      <c r="T7" s="1316"/>
      <c r="U7" s="1316"/>
      <c r="V7" s="1316"/>
      <c r="W7" s="1316"/>
      <c r="X7" s="1316"/>
      <c r="Y7" s="1316"/>
      <c r="Z7" s="1316"/>
      <c r="AA7" s="1316"/>
      <c r="AB7" s="1316"/>
      <c r="AC7" s="1316"/>
      <c r="AD7" s="1316"/>
      <c r="AE7" s="1316"/>
      <c r="AF7" s="1316"/>
      <c r="AG7" s="1316"/>
      <c r="AH7" s="1316"/>
      <c r="AI7" s="1316"/>
    </row>
    <row r="8" spans="1:36" s="61" customFormat="1" ht="42.75" customHeight="1" x14ac:dyDescent="0.2">
      <c r="A8" s="1043"/>
      <c r="B8" s="1044"/>
      <c r="C8" s="1046"/>
      <c r="D8" s="1044"/>
      <c r="E8" s="1044"/>
      <c r="F8" s="1046"/>
      <c r="G8" s="1044"/>
      <c r="H8" s="1044"/>
      <c r="I8" s="1045"/>
      <c r="J8" s="62"/>
      <c r="K8" s="63"/>
      <c r="L8" s="63"/>
      <c r="M8" s="63"/>
      <c r="N8" s="63"/>
      <c r="O8" s="64"/>
      <c r="P8" s="63"/>
      <c r="Q8" s="63"/>
      <c r="R8" s="63"/>
      <c r="S8" s="63"/>
      <c r="T8" s="63"/>
      <c r="U8" s="63"/>
      <c r="V8" s="1317" t="s">
        <v>288</v>
      </c>
      <c r="W8" s="1317"/>
      <c r="X8" s="451"/>
      <c r="Y8" s="451"/>
      <c r="Z8" s="451"/>
      <c r="AA8" s="451"/>
      <c r="AB8" s="451"/>
      <c r="AC8" s="451"/>
      <c r="AD8" s="451"/>
      <c r="AE8" s="451"/>
      <c r="AF8" s="451"/>
      <c r="AG8" s="451"/>
      <c r="AH8" s="451"/>
      <c r="AI8" s="865"/>
    </row>
    <row r="9" spans="1:36" s="61" customFormat="1" ht="12.75" customHeight="1" x14ac:dyDescent="0.2">
      <c r="A9" s="1325" t="s">
        <v>289</v>
      </c>
      <c r="B9" s="1327" t="s">
        <v>290</v>
      </c>
      <c r="C9" s="1327"/>
      <c r="D9" s="1329" t="s">
        <v>45</v>
      </c>
      <c r="E9" s="1329"/>
      <c r="F9" s="1329"/>
      <c r="G9" s="1329"/>
      <c r="H9" s="1329"/>
      <c r="I9" s="1329"/>
      <c r="J9" s="1330"/>
      <c r="K9" s="1330"/>
      <c r="L9" s="1330"/>
      <c r="M9" s="1330"/>
      <c r="N9" s="1330"/>
      <c r="O9" s="1330"/>
      <c r="P9" s="1330"/>
      <c r="Q9" s="1330"/>
      <c r="R9" s="1330"/>
      <c r="S9" s="1330"/>
      <c r="T9" s="1330"/>
      <c r="U9" s="1330"/>
      <c r="V9" s="1330"/>
      <c r="W9" s="1324" t="s">
        <v>291</v>
      </c>
      <c r="X9" s="1318" t="s">
        <v>292</v>
      </c>
      <c r="Y9" s="1319"/>
      <c r="Z9" s="1319"/>
      <c r="AA9" s="1319"/>
      <c r="AB9" s="1319"/>
      <c r="AC9" s="1319"/>
      <c r="AD9" s="1319"/>
      <c r="AE9" s="1319"/>
      <c r="AF9" s="1319"/>
      <c r="AG9" s="1319"/>
      <c r="AH9" s="1307" t="s">
        <v>293</v>
      </c>
      <c r="AI9" s="1308" t="s">
        <v>294</v>
      </c>
    </row>
    <row r="10" spans="1:36" s="61" customFormat="1" ht="15" customHeight="1" x14ac:dyDescent="0.2">
      <c r="A10" s="1326"/>
      <c r="B10" s="1328"/>
      <c r="C10" s="1328"/>
      <c r="D10" s="1331" t="s">
        <v>295</v>
      </c>
      <c r="E10" s="1331"/>
      <c r="F10" s="1331"/>
      <c r="G10" s="1289" t="s">
        <v>296</v>
      </c>
      <c r="H10" s="1289"/>
      <c r="I10" s="1289"/>
      <c r="J10" s="1289" t="s">
        <v>297</v>
      </c>
      <c r="K10" s="1289"/>
      <c r="L10" s="1289"/>
      <c r="M10" s="1289"/>
      <c r="N10" s="1289"/>
      <c r="O10" s="1289"/>
      <c r="P10" s="1290" t="s">
        <v>298</v>
      </c>
      <c r="Q10" s="1291"/>
      <c r="R10" s="1291"/>
      <c r="S10" s="1291"/>
      <c r="T10" s="1291"/>
      <c r="U10" s="1292"/>
      <c r="V10" s="65"/>
      <c r="W10" s="1324"/>
      <c r="X10" s="1320"/>
      <c r="Y10" s="1321"/>
      <c r="Z10" s="1321"/>
      <c r="AA10" s="1321"/>
      <c r="AB10" s="1321"/>
      <c r="AC10" s="1321"/>
      <c r="AD10" s="1321"/>
      <c r="AE10" s="1321"/>
      <c r="AF10" s="1321"/>
      <c r="AG10" s="1321"/>
      <c r="AH10" s="1307"/>
      <c r="AI10" s="1308"/>
    </row>
    <row r="11" spans="1:36" s="61" customFormat="1" ht="29.25" customHeight="1" thickBot="1" x14ac:dyDescent="0.25">
      <c r="A11" s="1326"/>
      <c r="B11" s="1328"/>
      <c r="C11" s="1328"/>
      <c r="D11" s="1303" t="s">
        <v>299</v>
      </c>
      <c r="E11" s="1303"/>
      <c r="F11" s="1303"/>
      <c r="G11" s="1304" t="s">
        <v>300</v>
      </c>
      <c r="H11" s="1305" t="s">
        <v>301</v>
      </c>
      <c r="I11" s="1305"/>
      <c r="J11" s="1335" t="s">
        <v>302</v>
      </c>
      <c r="K11" s="1335"/>
      <c r="L11" s="1335"/>
      <c r="M11" s="1336" t="s">
        <v>303</v>
      </c>
      <c r="N11" s="1336"/>
      <c r="O11" s="1336"/>
      <c r="P11" s="1301" t="s">
        <v>304</v>
      </c>
      <c r="Q11" s="1301"/>
      <c r="R11" s="1301"/>
      <c r="S11" s="1337" t="s">
        <v>305</v>
      </c>
      <c r="T11" s="1338"/>
      <c r="U11" s="1339"/>
      <c r="V11" s="1302" t="s">
        <v>306</v>
      </c>
      <c r="W11" s="1324"/>
      <c r="X11" s="1322"/>
      <c r="Y11" s="1323"/>
      <c r="Z11" s="1323"/>
      <c r="AA11" s="1323"/>
      <c r="AB11" s="1323"/>
      <c r="AC11" s="1323"/>
      <c r="AD11" s="1323"/>
      <c r="AE11" s="1323"/>
      <c r="AF11" s="1323"/>
      <c r="AG11" s="1323"/>
      <c r="AH11" s="1307"/>
      <c r="AI11" s="1308"/>
    </row>
    <row r="12" spans="1:36" s="61" customFormat="1" ht="84" customHeight="1" thickBot="1" x14ac:dyDescent="0.25">
      <c r="A12" s="1326"/>
      <c r="B12" s="66" t="s">
        <v>26</v>
      </c>
      <c r="C12" s="67" t="s">
        <v>27</v>
      </c>
      <c r="D12" s="68" t="s">
        <v>25</v>
      </c>
      <c r="E12" s="69" t="s">
        <v>307</v>
      </c>
      <c r="F12" s="70" t="s">
        <v>308</v>
      </c>
      <c r="G12" s="1304"/>
      <c r="H12" s="71" t="s">
        <v>309</v>
      </c>
      <c r="I12" s="70" t="s">
        <v>310</v>
      </c>
      <c r="J12" s="72" t="s">
        <v>311</v>
      </c>
      <c r="K12" s="69" t="s">
        <v>34</v>
      </c>
      <c r="L12" s="73" t="s">
        <v>312</v>
      </c>
      <c r="M12" s="72" t="s">
        <v>313</v>
      </c>
      <c r="N12" s="69" t="s">
        <v>35</v>
      </c>
      <c r="O12" s="74" t="s">
        <v>314</v>
      </c>
      <c r="P12" s="75" t="s">
        <v>315</v>
      </c>
      <c r="Q12" s="76" t="s">
        <v>316</v>
      </c>
      <c r="R12" s="77" t="s">
        <v>317</v>
      </c>
      <c r="S12" s="1038" t="s">
        <v>318</v>
      </c>
      <c r="T12" s="1039" t="s">
        <v>319</v>
      </c>
      <c r="U12" s="1040" t="s">
        <v>320</v>
      </c>
      <c r="V12" s="1302"/>
      <c r="W12" s="1324"/>
      <c r="X12" s="455" t="s">
        <v>65</v>
      </c>
      <c r="Y12" s="455" t="s">
        <v>66</v>
      </c>
      <c r="Z12" s="455" t="s">
        <v>67</v>
      </c>
      <c r="AA12" s="455" t="s">
        <v>68</v>
      </c>
      <c r="AB12" s="455" t="s">
        <v>69</v>
      </c>
      <c r="AC12" s="455" t="s">
        <v>70</v>
      </c>
      <c r="AD12" s="455" t="s">
        <v>71</v>
      </c>
      <c r="AE12" s="455" t="s">
        <v>72</v>
      </c>
      <c r="AF12" s="455" t="s">
        <v>73</v>
      </c>
      <c r="AG12" s="456" t="s">
        <v>74</v>
      </c>
      <c r="AH12" s="1307"/>
      <c r="AI12" s="1308"/>
    </row>
    <row r="13" spans="1:36" s="61" customFormat="1" ht="34.5" customHeight="1" x14ac:dyDescent="0.2">
      <c r="A13" s="1332" t="s">
        <v>85</v>
      </c>
      <c r="B13" s="78" t="str">
        <f>Dados!B11</f>
        <v>Engenheiro de Manutenção (Pleno)</v>
      </c>
      <c r="C13" s="79">
        <f>Dados!C11</f>
        <v>220</v>
      </c>
      <c r="D13" s="80">
        <f>Dados!D11</f>
        <v>1</v>
      </c>
      <c r="E13" s="81">
        <f>Engenheiro!F46</f>
        <v>29342.02</v>
      </c>
      <c r="F13" s="82">
        <f>ROUND(D13*E13,2)</f>
        <v>29342.02</v>
      </c>
      <c r="G13" s="83">
        <f>Engenheiro!I46</f>
        <v>0</v>
      </c>
      <c r="H13" s="84">
        <f>'Ocorrências Mensais - FAT'!F13+'Ocorrências Mensais - FAT'!H13</f>
        <v>0</v>
      </c>
      <c r="I13" s="85">
        <f>(ROUND(G13/CCT!O15*H13,2)-(G13/'Ocorrências Mensais - FAT'!$E$7*'Ocorrências Mensais - FAT'!H13))</f>
        <v>0</v>
      </c>
      <c r="J13" s="86">
        <f>Engenheiro!F46-Engenheiro!H46</f>
        <v>29342.02</v>
      </c>
      <c r="K13" s="87">
        <f>'Ocorrências Mensais - FAT'!K13</f>
        <v>0</v>
      </c>
      <c r="L13" s="88">
        <f>J13/'Ocorrências Mensais - FAT'!$E$7*K13</f>
        <v>0</v>
      </c>
      <c r="M13" s="89">
        <f>'Custo Estimativo Substituto'!F36</f>
        <v>25201.93</v>
      </c>
      <c r="N13" s="90">
        <f>'Ocorrências Mensais - FAT'!L13</f>
        <v>0</v>
      </c>
      <c r="O13" s="91">
        <f>ROUND((M13/'Ocorrências Mensais - FAT'!$E$7*N13),2)</f>
        <v>0</v>
      </c>
      <c r="P13" s="92">
        <f>Engenheiro!G45</f>
        <v>883.18</v>
      </c>
      <c r="Q13" s="93">
        <f>'Ocorrências Mensais - FAT'!M13</f>
        <v>0</v>
      </c>
      <c r="R13" s="94">
        <f>ROUND((P13/CCT!O15*Q13),2)</f>
        <v>0</v>
      </c>
      <c r="S13" s="92">
        <f>Engenheiro!F24</f>
        <v>0</v>
      </c>
      <c r="T13" s="93">
        <f>'Ocorrências Mensais - FAT'!N13</f>
        <v>0</v>
      </c>
      <c r="U13" s="94">
        <f>ROUND(S13*T13,2)</f>
        <v>0</v>
      </c>
      <c r="V13" s="95">
        <f t="shared" ref="V13:V28" si="0">I13+L13+O13+R13+U13</f>
        <v>0</v>
      </c>
      <c r="W13" s="100">
        <f t="shared" ref="W13:W28" si="1">(((F13-V13)))</f>
        <v>29342.02</v>
      </c>
      <c r="X13" s="457">
        <f>'Ocorrências Mensais - FAT'!C41</f>
        <v>2</v>
      </c>
      <c r="Y13" s="458">
        <f>'Ocorrências Mensais - FAT'!D41</f>
        <v>76.72</v>
      </c>
      <c r="Z13" s="459">
        <f>'Ocorrências Mensais - FAT'!E41</f>
        <v>2</v>
      </c>
      <c r="AA13" s="458">
        <f>'Ocorrências Mensais - FAT'!F41</f>
        <v>460.32</v>
      </c>
      <c r="AB13" s="459">
        <f>'Ocorrências Mensais - FAT'!G41</f>
        <v>2</v>
      </c>
      <c r="AC13" s="458">
        <f>'Ocorrências Mensais - FAT'!H41</f>
        <v>613.76</v>
      </c>
      <c r="AD13" s="460">
        <f>'Ocorrências Mensais - FAT'!I41</f>
        <v>1</v>
      </c>
      <c r="AE13" s="458">
        <f>'Ocorrências Mensais - FAT'!J41</f>
        <v>50.18</v>
      </c>
      <c r="AF13" s="460">
        <f>'Ocorrências Mensais - FAT'!K41</f>
        <v>1</v>
      </c>
      <c r="AG13" s="461">
        <f>'Ocorrências Mensais - FAT'!L41</f>
        <v>35.97</v>
      </c>
      <c r="AH13" s="462">
        <f>+Y13+AA13+AC13+AE13+AG13</f>
        <v>1236.95</v>
      </c>
      <c r="AI13" s="1309">
        <f>W29+AH29</f>
        <v>311963.64</v>
      </c>
    </row>
    <row r="14" spans="1:36" s="61" customFormat="1" ht="34.15" customHeight="1" x14ac:dyDescent="0.2">
      <c r="A14" s="1333"/>
      <c r="B14" s="96" t="str">
        <f>Dados!B12</f>
        <v>Líder Técnico</v>
      </c>
      <c r="C14" s="97">
        <f>Dados!C12</f>
        <v>220</v>
      </c>
      <c r="D14" s="80">
        <f>Dados!D12</f>
        <v>1</v>
      </c>
      <c r="E14" s="81">
        <f>Lider!F46</f>
        <v>18218.52</v>
      </c>
      <c r="F14" s="82">
        <f t="shared" ref="F14:F27" si="2">ROUND(D14*E14,2)</f>
        <v>18218.52</v>
      </c>
      <c r="G14" s="83">
        <f>Lider!I46</f>
        <v>496.4</v>
      </c>
      <c r="H14" s="84">
        <f>'Ocorrências Mensais - FAT'!F14+'Ocorrências Mensais - FAT'!H14</f>
        <v>0</v>
      </c>
      <c r="I14" s="85">
        <f>(ROUND(G14/CCT!O16*H14,2)-(G14/'Ocorrências Mensais - FAT'!$E$7*'Ocorrências Mensais - FAT'!H14))</f>
        <v>0</v>
      </c>
      <c r="J14" s="86">
        <f>Lider!F46-Lider!H46</f>
        <v>18218.52</v>
      </c>
      <c r="K14" s="87">
        <f>'Ocorrências Mensais - FAT'!K14</f>
        <v>0</v>
      </c>
      <c r="L14" s="88">
        <f>J14/'Ocorrências Mensais - FAT'!$E$7*K14</f>
        <v>0</v>
      </c>
      <c r="M14" s="89">
        <f>'Custo Estimativo Substituto'!G36</f>
        <v>15613.933000000001</v>
      </c>
      <c r="N14" s="90">
        <f>'Ocorrências Mensais - FAT'!L14</f>
        <v>0</v>
      </c>
      <c r="O14" s="91">
        <f>ROUND((M14/'Ocorrências Mensais - FAT'!$E$7*N14),2)</f>
        <v>0</v>
      </c>
      <c r="P14" s="98">
        <f>Lider!G45</f>
        <v>883.18</v>
      </c>
      <c r="Q14" s="99">
        <f>'Ocorrências Mensais - FAT'!M14</f>
        <v>0</v>
      </c>
      <c r="R14" s="393">
        <f>ROUND((P14/CCT!O16*Q14),2)</f>
        <v>0</v>
      </c>
      <c r="S14" s="98">
        <f>Lider!F24</f>
        <v>0</v>
      </c>
      <c r="T14" s="99">
        <f>'Ocorrências Mensais - FAT'!N14</f>
        <v>0</v>
      </c>
      <c r="U14" s="393">
        <f t="shared" ref="U14:U28" si="3">ROUND(S14*T14,2)</f>
        <v>0</v>
      </c>
      <c r="V14" s="95">
        <f t="shared" si="0"/>
        <v>0</v>
      </c>
      <c r="W14" s="100">
        <f t="shared" si="1"/>
        <v>18218.52</v>
      </c>
      <c r="X14" s="463">
        <f>'Ocorrências Mensais - FAT'!C42</f>
        <v>2</v>
      </c>
      <c r="Y14" s="433">
        <f>'Ocorrências Mensais - FAT'!D42</f>
        <v>35.9</v>
      </c>
      <c r="Z14" s="452">
        <f>'Ocorrências Mensais - FAT'!E42</f>
        <v>2</v>
      </c>
      <c r="AA14" s="433">
        <f>'Ocorrências Mensais - FAT'!F42</f>
        <v>269.44</v>
      </c>
      <c r="AB14" s="452">
        <f>'Ocorrências Mensais - FAT'!G42</f>
        <v>2</v>
      </c>
      <c r="AC14" s="433">
        <f>'Ocorrências Mensais - FAT'!H42</f>
        <v>359.22</v>
      </c>
      <c r="AD14" s="453">
        <f>'Ocorrências Mensais - FAT'!I42</f>
        <v>1</v>
      </c>
      <c r="AE14" s="433">
        <f>'Ocorrências Mensais - FAT'!J42</f>
        <v>50.18</v>
      </c>
      <c r="AF14" s="453">
        <f>'Ocorrências Mensais - FAT'!K42</f>
        <v>1</v>
      </c>
      <c r="AG14" s="454">
        <f>'Ocorrências Mensais - FAT'!L42</f>
        <v>35.97</v>
      </c>
      <c r="AH14" s="100">
        <f t="shared" ref="AH14:AH28" si="4">+Y14+AA14+AC14+AE14+AG14</f>
        <v>750.70999999999992</v>
      </c>
      <c r="AI14" s="1310"/>
    </row>
    <row r="15" spans="1:36" ht="31.9" customHeight="1" x14ac:dyDescent="0.25">
      <c r="A15" s="1333"/>
      <c r="B15" s="96" t="s">
        <v>239</v>
      </c>
      <c r="C15" s="105">
        <f>Dados!C13</f>
        <v>220</v>
      </c>
      <c r="D15" s="106">
        <f>Dados!D13</f>
        <v>1</v>
      </c>
      <c r="E15" s="107">
        <f>'Assistente Eng.'!F46</f>
        <v>9765.85</v>
      </c>
      <c r="F15" s="112">
        <f>ROUND(D15*E15,2)</f>
        <v>9765.85</v>
      </c>
      <c r="G15" s="109">
        <f>'Assistente Eng.'!I46</f>
        <v>518.1</v>
      </c>
      <c r="H15" s="84">
        <f>'Ocorrências Mensais - FAT'!F15+'Ocorrências Mensais - FAT'!H15</f>
        <v>0</v>
      </c>
      <c r="I15" s="85">
        <f>(ROUND(G15/CCT!O17*H15,2)-(G15/'Ocorrências Mensais - FAT'!$E$7*'Ocorrências Mensais - FAT'!H15))</f>
        <v>0</v>
      </c>
      <c r="J15" s="113">
        <f>'Assistente Eng.'!F46-'Assistente Eng.'!H46</f>
        <v>9765.85</v>
      </c>
      <c r="K15" s="87">
        <f>'Ocorrências Mensais - FAT'!K15</f>
        <v>0</v>
      </c>
      <c r="L15" s="88">
        <f>J15/'Ocorrências Mensais - FAT'!$E$7*K15</f>
        <v>0</v>
      </c>
      <c r="M15" s="114">
        <f>'Custo Estimativo Substituto'!K36</f>
        <v>8341.9429999999993</v>
      </c>
      <c r="N15" s="90">
        <f>'Ocorrências Mensais - FAT'!L19</f>
        <v>0</v>
      </c>
      <c r="O15" s="91">
        <f>ROUND((M15/'Ocorrências Mensais - FAT'!$E$7*N15),2)</f>
        <v>0</v>
      </c>
      <c r="P15" s="98">
        <f>'Assistente Eng.'!G45</f>
        <v>883.18</v>
      </c>
      <c r="Q15" s="115">
        <f>'Ocorrências Mensais - FAT'!M18</f>
        <v>0</v>
      </c>
      <c r="R15" s="393">
        <f>ROUND((P15/CCT!O17*Q15),2)</f>
        <v>0</v>
      </c>
      <c r="S15" s="98">
        <f>'Assistente Eng.'!F24</f>
        <v>0</v>
      </c>
      <c r="T15" s="115">
        <f>'Ocorrências Mensais - FAT'!N15</f>
        <v>0</v>
      </c>
      <c r="U15" s="393">
        <f t="shared" si="3"/>
        <v>0</v>
      </c>
      <c r="V15" s="95">
        <f t="shared" si="0"/>
        <v>0</v>
      </c>
      <c r="W15" s="100">
        <f t="shared" si="1"/>
        <v>9765.85</v>
      </c>
      <c r="X15" s="463">
        <f>'Ocorrências Mensais - FAT'!C43</f>
        <v>2</v>
      </c>
      <c r="Y15" s="433">
        <f>'Ocorrências Mensais - FAT'!D43</f>
        <v>17.5</v>
      </c>
      <c r="Z15" s="452">
        <f>'Ocorrências Mensais - FAT'!E43</f>
        <v>2</v>
      </c>
      <c r="AA15" s="433">
        <f>'Ocorrências Mensais - FAT'!F43</f>
        <v>131.36000000000001</v>
      </c>
      <c r="AB15" s="452">
        <f>'Ocorrências Mensais - FAT'!G43</f>
        <v>2</v>
      </c>
      <c r="AC15" s="433">
        <f>'Ocorrências Mensais - FAT'!H43</f>
        <v>175.2</v>
      </c>
      <c r="AD15" s="453">
        <f>'Ocorrências Mensais - FAT'!I43</f>
        <v>1</v>
      </c>
      <c r="AE15" s="433">
        <f>'Ocorrências Mensais - FAT'!J43</f>
        <v>50.18</v>
      </c>
      <c r="AF15" s="453">
        <f>'Ocorrências Mensais - FAT'!K43</f>
        <v>1</v>
      </c>
      <c r="AG15" s="454">
        <f>'Ocorrências Mensais - FAT'!L43</f>
        <v>35.97</v>
      </c>
      <c r="AH15" s="100">
        <f t="shared" si="4"/>
        <v>410.21000000000004</v>
      </c>
      <c r="AI15" s="1310"/>
      <c r="AJ15" s="59"/>
    </row>
    <row r="16" spans="1:36" ht="31.9" customHeight="1" x14ac:dyDescent="0.25">
      <c r="A16" s="1333"/>
      <c r="B16" s="96" t="str">
        <f>Dados!B14</f>
        <v>Técnico em Edificações</v>
      </c>
      <c r="C16" s="105">
        <f>Dados!C14</f>
        <v>220</v>
      </c>
      <c r="D16" s="106">
        <f>Dados!D14</f>
        <v>1</v>
      </c>
      <c r="E16" s="107">
        <f>'Técnico Edif.'!F46</f>
        <v>10873.93</v>
      </c>
      <c r="F16" s="112">
        <f>ROUND(D16*E16,2)</f>
        <v>10873.93</v>
      </c>
      <c r="G16" s="109">
        <f>'Técnico Edif.'!I46</f>
        <v>532.61</v>
      </c>
      <c r="H16" s="84">
        <f>'Ocorrências Mensais - FAT'!F16+'Ocorrências Mensais - FAT'!H16</f>
        <v>0</v>
      </c>
      <c r="I16" s="85">
        <f>(ROUND(G16/CCT!O18*H16,2)-(G16/'Ocorrências Mensais - FAT'!$E$7*'Ocorrências Mensais - FAT'!H16))</f>
        <v>0</v>
      </c>
      <c r="J16" s="113">
        <f>'Técnico Edif.'!F46-'Técnico Edif.'!H46</f>
        <v>10873.93</v>
      </c>
      <c r="K16" s="87">
        <f>'Ocorrências Mensais - FAT'!K16</f>
        <v>0</v>
      </c>
      <c r="L16" s="88">
        <f>J16/'Ocorrências Mensais - FAT'!$E$7*K16</f>
        <v>0</v>
      </c>
      <c r="M16" s="114">
        <f>'Custo Estimativo Substituto'!J36</f>
        <v>9301.734199999999</v>
      </c>
      <c r="N16" s="90">
        <f>'Ocorrências Mensais - FAT'!L17</f>
        <v>0</v>
      </c>
      <c r="O16" s="91">
        <f>ROUND((M16/'Ocorrências Mensais - FAT'!$E$7*N16),2)</f>
        <v>0</v>
      </c>
      <c r="P16" s="98">
        <f>'Técnico Edif.'!G45</f>
        <v>883.18</v>
      </c>
      <c r="Q16" s="99">
        <f>'Ocorrências Mensais - FAT'!M17</f>
        <v>0</v>
      </c>
      <c r="R16" s="393">
        <f>ROUND((P16/CCT!O18*Q16),2)</f>
        <v>0</v>
      </c>
      <c r="S16" s="98">
        <f>'Técnico Edif.'!F24</f>
        <v>0</v>
      </c>
      <c r="T16" s="99">
        <f>'Ocorrências Mensais - FAT'!N16</f>
        <v>0</v>
      </c>
      <c r="U16" s="393">
        <f t="shared" si="3"/>
        <v>0</v>
      </c>
      <c r="V16" s="95">
        <f t="shared" si="0"/>
        <v>0</v>
      </c>
      <c r="W16" s="100">
        <f t="shared" si="1"/>
        <v>10873.93</v>
      </c>
      <c r="X16" s="463">
        <f>'Ocorrências Mensais - FAT'!C44</f>
        <v>2</v>
      </c>
      <c r="Y16" s="433">
        <f>'Ocorrências Mensais - FAT'!D44</f>
        <v>19.899999999999999</v>
      </c>
      <c r="Z16" s="452">
        <f>'Ocorrências Mensais - FAT'!E44</f>
        <v>2</v>
      </c>
      <c r="AA16" s="433">
        <f>'Ocorrências Mensais - FAT'!F44</f>
        <v>149.24</v>
      </c>
      <c r="AB16" s="452">
        <f>'Ocorrências Mensais - FAT'!G44</f>
        <v>2</v>
      </c>
      <c r="AC16" s="433">
        <f>'Ocorrências Mensais - FAT'!H44</f>
        <v>199.04</v>
      </c>
      <c r="AD16" s="453">
        <f>'Ocorrências Mensais - FAT'!I44</f>
        <v>1</v>
      </c>
      <c r="AE16" s="433">
        <f>'Ocorrências Mensais - FAT'!J44</f>
        <v>50.18</v>
      </c>
      <c r="AF16" s="453">
        <f>'Ocorrências Mensais - FAT'!K44</f>
        <v>1</v>
      </c>
      <c r="AG16" s="454">
        <f>'Ocorrências Mensais - FAT'!L44</f>
        <v>35.97</v>
      </c>
      <c r="AH16" s="100">
        <f t="shared" si="4"/>
        <v>454.33000000000004</v>
      </c>
      <c r="AI16" s="1310"/>
      <c r="AJ16" s="59"/>
    </row>
    <row r="17" spans="1:36" s="61" customFormat="1" ht="34.15" customHeight="1" x14ac:dyDescent="0.2">
      <c r="A17" s="1333"/>
      <c r="B17" s="96" t="str">
        <f>Dados!B15</f>
        <v>Técnico Eletrotécnico (12x36 diurno) - (EPI Eletricista)</v>
      </c>
      <c r="C17" s="97">
        <f>Dados!C15</f>
        <v>220</v>
      </c>
      <c r="D17" s="80">
        <f>Dados!D15</f>
        <v>2</v>
      </c>
      <c r="E17" s="101">
        <f>'Técnico Elet. Diurno'!F46</f>
        <v>12760.99</v>
      </c>
      <c r="F17" s="82">
        <f t="shared" si="2"/>
        <v>25521.98</v>
      </c>
      <c r="G17" s="102">
        <f>'Técnico Elet. Diurno'!I46</f>
        <v>262.64999999999998</v>
      </c>
      <c r="H17" s="84">
        <f>'Ocorrências Mensais - FAT'!F17+'Ocorrências Mensais - FAT'!H17</f>
        <v>0</v>
      </c>
      <c r="I17" s="85">
        <f>(ROUND(G17/CCT!O19*H17,2)-(G17/'Ocorrências Mensais - FAT'!$E$7*'Ocorrências Mensais - FAT'!H17))</f>
        <v>0</v>
      </c>
      <c r="J17" s="103">
        <f>'Técnico Elet. Diurno'!F46-'Técnico Elet. Diurno'!H46</f>
        <v>12760.99</v>
      </c>
      <c r="K17" s="87">
        <f>'Ocorrências Mensais - FAT'!K17</f>
        <v>0</v>
      </c>
      <c r="L17" s="88">
        <f>J17/'Ocorrências Mensais - FAT'!$E$7*K17</f>
        <v>0</v>
      </c>
      <c r="M17" s="104">
        <f>'Custo Estimativo Substituto'!H36</f>
        <v>10624.203</v>
      </c>
      <c r="N17" s="90">
        <f>'Ocorrências Mensais - FAT'!L15</f>
        <v>0</v>
      </c>
      <c r="O17" s="91">
        <f>ROUND((M17/'Ocorrências Mensais - FAT'!$E$7*N17),2)</f>
        <v>0</v>
      </c>
      <c r="P17" s="98">
        <f>'Técnico Elet. Diurno'!G45</f>
        <v>622.24</v>
      </c>
      <c r="Q17" s="99">
        <f>'Ocorrências Mensais - FAT'!M15</f>
        <v>0</v>
      </c>
      <c r="R17" s="393">
        <f>ROUND((P17/CCT!O19*Q17),2)</f>
        <v>0</v>
      </c>
      <c r="S17" s="98">
        <f>'Técnico Elet. Diurno'!F24</f>
        <v>0</v>
      </c>
      <c r="T17" s="99">
        <f>'Ocorrências Mensais - FAT'!N17</f>
        <v>0</v>
      </c>
      <c r="U17" s="393">
        <f t="shared" si="3"/>
        <v>0</v>
      </c>
      <c r="V17" s="95">
        <f t="shared" si="0"/>
        <v>0</v>
      </c>
      <c r="W17" s="100">
        <f t="shared" si="1"/>
        <v>25521.98</v>
      </c>
      <c r="X17" s="463">
        <f>'Ocorrências Mensais - FAT'!C45</f>
        <v>2</v>
      </c>
      <c r="Y17" s="433">
        <f>'Ocorrências Mensais - FAT'!D45</f>
        <v>24.56</v>
      </c>
      <c r="Z17" s="452">
        <f>'Ocorrências Mensais - FAT'!E45</f>
        <v>2</v>
      </c>
      <c r="AA17" s="433">
        <f>'Ocorrências Mensais - FAT'!F45</f>
        <v>184.38</v>
      </c>
      <c r="AB17" s="452">
        <f>'Ocorrências Mensais - FAT'!G45</f>
        <v>2</v>
      </c>
      <c r="AC17" s="433">
        <f>'Ocorrências Mensais - FAT'!H45</f>
        <v>245.82</v>
      </c>
      <c r="AD17" s="453">
        <f>'Ocorrências Mensais - FAT'!I45</f>
        <v>1</v>
      </c>
      <c r="AE17" s="433">
        <f>'Ocorrências Mensais - FAT'!J45</f>
        <v>50.18</v>
      </c>
      <c r="AF17" s="453">
        <f>'Ocorrências Mensais - FAT'!K45</f>
        <v>1</v>
      </c>
      <c r="AG17" s="454">
        <f>'Ocorrências Mensais - FAT'!L45</f>
        <v>35.97</v>
      </c>
      <c r="AH17" s="100">
        <f t="shared" si="4"/>
        <v>540.91</v>
      </c>
      <c r="AI17" s="1310"/>
    </row>
    <row r="18" spans="1:36" ht="31.9" customHeight="1" x14ac:dyDescent="0.25">
      <c r="A18" s="1333"/>
      <c r="B18" s="96" t="str">
        <f>Dados!B16</f>
        <v>Técnico Eletrotécnico (12x36 noturno) - (EPI Eletricista)</v>
      </c>
      <c r="C18" s="105">
        <f>Dados!C16</f>
        <v>220</v>
      </c>
      <c r="D18" s="106">
        <f>Dados!D16</f>
        <v>2</v>
      </c>
      <c r="E18" s="107">
        <f>'Técnico Elet. Noturno'!F46</f>
        <v>14165.62</v>
      </c>
      <c r="F18" s="108">
        <f t="shared" si="2"/>
        <v>28331.24</v>
      </c>
      <c r="G18" s="109">
        <f>'Técnico Elet. Noturno'!I46</f>
        <v>262.64999999999998</v>
      </c>
      <c r="H18" s="84">
        <f>'Ocorrências Mensais - FAT'!F18+'Ocorrências Mensais - FAT'!H18</f>
        <v>0</v>
      </c>
      <c r="I18" s="85">
        <f>(ROUND(G18/CCT!O20*H18,2)-(G18/'Ocorrências Mensais - FAT'!$E$7*'Ocorrências Mensais - FAT'!H18))</f>
        <v>0</v>
      </c>
      <c r="J18" s="110">
        <f>'Técnico Elet. Noturno'!F46-'Técnico Elet. Noturno'!H46</f>
        <v>14165.62</v>
      </c>
      <c r="K18" s="87">
        <f>'Ocorrências Mensais - FAT'!K18</f>
        <v>0</v>
      </c>
      <c r="L18" s="88">
        <f>J18/'Ocorrências Mensais - FAT'!$E$7*K18</f>
        <v>0</v>
      </c>
      <c r="M18" s="111">
        <f>'Custo Estimativo Substituto'!I36</f>
        <v>11838.433000000001</v>
      </c>
      <c r="N18" s="90">
        <f>'Ocorrências Mensais - FAT'!L16</f>
        <v>0</v>
      </c>
      <c r="O18" s="91">
        <f>ROUND((M18/'Ocorrências Mensais - FAT'!$E$7*N18),2)</f>
        <v>0</v>
      </c>
      <c r="P18" s="98">
        <f>'Técnico Elet. Noturno'!G45</f>
        <v>622.24</v>
      </c>
      <c r="Q18" s="99">
        <f>'Ocorrências Mensais - FAT'!M16</f>
        <v>0</v>
      </c>
      <c r="R18" s="393">
        <f>ROUND((P18/CCT!O20*Q18),2)</f>
        <v>0</v>
      </c>
      <c r="S18" s="98">
        <f>'Técnico Elet. Noturno'!F24</f>
        <v>0</v>
      </c>
      <c r="T18" s="99">
        <f>'Ocorrências Mensais - FAT'!N18</f>
        <v>0</v>
      </c>
      <c r="U18" s="393">
        <f t="shared" si="3"/>
        <v>0</v>
      </c>
      <c r="V18" s="95">
        <f t="shared" si="0"/>
        <v>0</v>
      </c>
      <c r="W18" s="100">
        <f t="shared" si="1"/>
        <v>28331.24</v>
      </c>
      <c r="X18" s="463">
        <f>'Ocorrências Mensais - FAT'!C46</f>
        <v>2</v>
      </c>
      <c r="Y18" s="433">
        <f>'Ocorrências Mensais - FAT'!D46</f>
        <v>27.66</v>
      </c>
      <c r="Z18" s="452">
        <f>'Ocorrências Mensais - FAT'!E46</f>
        <v>2</v>
      </c>
      <c r="AA18" s="433">
        <f>'Ocorrências Mensais - FAT'!F46</f>
        <v>207.36</v>
      </c>
      <c r="AB18" s="452">
        <f>'Ocorrências Mensais - FAT'!G46</f>
        <v>2</v>
      </c>
      <c r="AC18" s="433">
        <f>'Ocorrências Mensais - FAT'!H46</f>
        <v>276.42</v>
      </c>
      <c r="AD18" s="453">
        <f>'Ocorrências Mensais - FAT'!I46</f>
        <v>1</v>
      </c>
      <c r="AE18" s="433">
        <f>'Ocorrências Mensais - FAT'!J46</f>
        <v>50.18</v>
      </c>
      <c r="AF18" s="453">
        <f>'Ocorrências Mensais - FAT'!K46</f>
        <v>1</v>
      </c>
      <c r="AG18" s="454">
        <f>'Ocorrências Mensais - FAT'!L46</f>
        <v>35.97</v>
      </c>
      <c r="AH18" s="100">
        <f t="shared" si="4"/>
        <v>597.59</v>
      </c>
      <c r="AI18" s="1310"/>
      <c r="AJ18" s="59"/>
    </row>
    <row r="19" spans="1:36" ht="32.25" customHeight="1" x14ac:dyDescent="0.25">
      <c r="A19" s="1333"/>
      <c r="B19" s="96" t="str">
        <f>Dados!B17</f>
        <v>Oficial Eletricista - (EPI Eletricista)</v>
      </c>
      <c r="C19" s="105">
        <f>Dados!C17</f>
        <v>220</v>
      </c>
      <c r="D19" s="106">
        <f>Dados!D17</f>
        <v>3</v>
      </c>
      <c r="E19" s="116">
        <f>'Ofic. Eletricista'!F46</f>
        <v>9206.4699999999993</v>
      </c>
      <c r="F19" s="112">
        <f>ROUND(D19*E19,2)</f>
        <v>27619.41</v>
      </c>
      <c r="G19" s="113">
        <f>'Ofic. Eletricista'!I46</f>
        <v>602.57000000000005</v>
      </c>
      <c r="H19" s="84">
        <f>'Ocorrências Mensais - FAT'!F19+'Ocorrências Mensais - FAT'!H19</f>
        <v>0</v>
      </c>
      <c r="I19" s="85">
        <f>(ROUND(G19/CCT!O21*H19,2)-(G19/'Ocorrências Mensais - FAT'!$E$7*'Ocorrências Mensais - FAT'!H19))</f>
        <v>0</v>
      </c>
      <c r="J19" s="113">
        <f>'Ofic. Eletricista'!F46-'Ofic. Eletricista'!H46</f>
        <v>9206.4699999999993</v>
      </c>
      <c r="K19" s="87">
        <f>'Ocorrências Mensais - FAT'!K19</f>
        <v>0</v>
      </c>
      <c r="L19" s="88">
        <f>J19/'Ocorrências Mensais - FAT'!$E$7*K19</f>
        <v>0</v>
      </c>
      <c r="M19" s="114">
        <f>'Custo Estimativo Substituto'!M36</f>
        <v>7493.6980000000003</v>
      </c>
      <c r="N19" s="90">
        <f>'Ocorrências Mensais - FAT'!L20</f>
        <v>0</v>
      </c>
      <c r="O19" s="91">
        <f>ROUND((M19/'Ocorrências Mensais - FAT'!$E$7*N19),2)</f>
        <v>0</v>
      </c>
      <c r="P19" s="98">
        <f>'Ofic. Eletricista'!G45</f>
        <v>659.01</v>
      </c>
      <c r="Q19" s="99">
        <f>'Ocorrências Mensais - FAT'!M20</f>
        <v>0</v>
      </c>
      <c r="R19" s="393">
        <f>ROUND((P19/CCT!O21*Q19),2)</f>
        <v>0</v>
      </c>
      <c r="S19" s="98">
        <f>'Ofic. Eletricista'!F24</f>
        <v>200</v>
      </c>
      <c r="T19" s="99">
        <f>'Ocorrências Mensais - FAT'!N19</f>
        <v>0</v>
      </c>
      <c r="U19" s="393">
        <f t="shared" si="3"/>
        <v>0</v>
      </c>
      <c r="V19" s="95">
        <f t="shared" si="0"/>
        <v>0</v>
      </c>
      <c r="W19" s="100">
        <f t="shared" si="1"/>
        <v>27619.41</v>
      </c>
      <c r="X19" s="463">
        <f>'Ocorrências Mensais - FAT'!C47</f>
        <v>2</v>
      </c>
      <c r="Y19" s="433">
        <f>'Ocorrências Mensais - FAT'!D47</f>
        <v>30.64</v>
      </c>
      <c r="Z19" s="452">
        <f>'Ocorrências Mensais - FAT'!E47</f>
        <v>2</v>
      </c>
      <c r="AA19" s="433">
        <f>'Ocorrências Mensais - FAT'!F47</f>
        <v>117.94</v>
      </c>
      <c r="AB19" s="452">
        <f>'Ocorrências Mensais - FAT'!G47</f>
        <v>2</v>
      </c>
      <c r="AC19" s="433">
        <f>'Ocorrências Mensais - FAT'!H47</f>
        <v>157.30000000000001</v>
      </c>
      <c r="AD19" s="453">
        <f>'Ocorrências Mensais - FAT'!I47</f>
        <v>1</v>
      </c>
      <c r="AE19" s="433">
        <f>'Ocorrências Mensais - FAT'!J47</f>
        <v>37.44</v>
      </c>
      <c r="AF19" s="453">
        <f>'Ocorrências Mensais - FAT'!K47</f>
        <v>1</v>
      </c>
      <c r="AG19" s="454">
        <f>'Ocorrências Mensais - FAT'!L47</f>
        <v>35.97</v>
      </c>
      <c r="AH19" s="100">
        <f t="shared" si="4"/>
        <v>379.28999999999996</v>
      </c>
      <c r="AI19" s="1310"/>
      <c r="AJ19" s="59"/>
    </row>
    <row r="20" spans="1:36" ht="32.25" customHeight="1" x14ac:dyDescent="0.25">
      <c r="A20" s="1333"/>
      <c r="B20" s="96" t="str">
        <f>Dados!B18</f>
        <v>Ajudante de Eletricista - (EPI Eletricista)</v>
      </c>
      <c r="C20" s="105">
        <f>Dados!C18</f>
        <v>220</v>
      </c>
      <c r="D20" s="106">
        <f>Dados!D18</f>
        <v>3</v>
      </c>
      <c r="E20" s="116">
        <f>'Ajud. Eletricista'!F46</f>
        <v>7994.12</v>
      </c>
      <c r="F20" s="112">
        <f>ROUND(D20*E20,2)</f>
        <v>23982.36</v>
      </c>
      <c r="G20" s="113">
        <f>'Ajud. Eletricista'!I46</f>
        <v>633.01</v>
      </c>
      <c r="H20" s="84">
        <f>'Ocorrências Mensais - FAT'!F20+'Ocorrências Mensais - FAT'!H20</f>
        <v>0</v>
      </c>
      <c r="I20" s="85">
        <f>(ROUND(G20/CCT!O22*H20,2)-(G20/'Ocorrências Mensais - FAT'!$E$7*'Ocorrências Mensais - FAT'!H20))</f>
        <v>0</v>
      </c>
      <c r="J20" s="113">
        <f>'Ajud. Eletricista'!F46-'Ajud. Eletricista'!H46</f>
        <v>7994.12</v>
      </c>
      <c r="K20" s="87">
        <f>'Ocorrências Mensais - FAT'!K20</f>
        <v>0</v>
      </c>
      <c r="L20" s="88">
        <f>J20/'Ocorrências Mensais - FAT'!$E$7*K20</f>
        <v>0</v>
      </c>
      <c r="M20" s="114">
        <f>'Custo Estimativo Substituto'!N36</f>
        <v>6517.5437999999995</v>
      </c>
      <c r="N20" s="90">
        <f>'Ocorrências Mensais - FAT'!L21</f>
        <v>0</v>
      </c>
      <c r="O20" s="91">
        <f>ROUND((M20/'Ocorrências Mensais - FAT'!$E$7*N20),2)</f>
        <v>0</v>
      </c>
      <c r="P20" s="98">
        <f>'Ajud. Eletricista'!G45</f>
        <v>659.01</v>
      </c>
      <c r="Q20" s="99">
        <f>'Ocorrências Mensais - FAT'!M21</f>
        <v>0</v>
      </c>
      <c r="R20" s="393">
        <f>ROUND((P20/CCT!O22*Q20),2)</f>
        <v>0</v>
      </c>
      <c r="S20" s="98">
        <f>'Ajud. Eletricista'!F24</f>
        <v>200</v>
      </c>
      <c r="T20" s="99">
        <f>'Ocorrências Mensais - FAT'!N20</f>
        <v>0</v>
      </c>
      <c r="U20" s="393">
        <f t="shared" si="3"/>
        <v>0</v>
      </c>
      <c r="V20" s="95">
        <f t="shared" si="0"/>
        <v>0</v>
      </c>
      <c r="W20" s="100">
        <f t="shared" si="1"/>
        <v>23982.36</v>
      </c>
      <c r="X20" s="463">
        <f>'Ocorrências Mensais - FAT'!C48</f>
        <v>2</v>
      </c>
      <c r="Y20" s="433">
        <f>'Ocorrências Mensais - FAT'!D48</f>
        <v>25.72</v>
      </c>
      <c r="Z20" s="452">
        <f>'Ocorrências Mensais - FAT'!E48</f>
        <v>2</v>
      </c>
      <c r="AA20" s="433">
        <f>'Ocorrências Mensais - FAT'!F48</f>
        <v>98.92</v>
      </c>
      <c r="AB20" s="452">
        <f>'Ocorrências Mensais - FAT'!G48</f>
        <v>2</v>
      </c>
      <c r="AC20" s="433">
        <f>'Ocorrências Mensais - FAT'!H48</f>
        <v>131.84</v>
      </c>
      <c r="AD20" s="453">
        <f>'Ocorrências Mensais - FAT'!I48</f>
        <v>1</v>
      </c>
      <c r="AE20" s="433">
        <f>'Ocorrências Mensais - FAT'!J48</f>
        <v>37.44</v>
      </c>
      <c r="AF20" s="453">
        <f>'Ocorrências Mensais - FAT'!K48</f>
        <v>1</v>
      </c>
      <c r="AG20" s="454">
        <f>'Ocorrências Mensais - FAT'!L48</f>
        <v>35.97</v>
      </c>
      <c r="AH20" s="100">
        <f t="shared" si="4"/>
        <v>329.89</v>
      </c>
      <c r="AI20" s="1310"/>
      <c r="AJ20" s="59"/>
    </row>
    <row r="21" spans="1:36" ht="32.25" customHeight="1" x14ac:dyDescent="0.25">
      <c r="A21" s="1333"/>
      <c r="B21" s="96" t="str">
        <f>Dados!B19</f>
        <v>Oficial de Manutenção - (EPI Eletricista)</v>
      </c>
      <c r="C21" s="105">
        <f>Dados!C19</f>
        <v>220</v>
      </c>
      <c r="D21" s="106">
        <f>Dados!D19</f>
        <v>2</v>
      </c>
      <c r="E21" s="117">
        <f>'Ofic. Manutenção'!F46</f>
        <v>9682.44</v>
      </c>
      <c r="F21" s="118">
        <f>ROUND(D21*E21,2)</f>
        <v>19364.88</v>
      </c>
      <c r="G21" s="117">
        <f>'Ofic. Manutenção'!I46</f>
        <v>602.57000000000005</v>
      </c>
      <c r="H21" s="84">
        <f>'Ocorrências Mensais - FAT'!F21+'Ocorrências Mensais - FAT'!H21</f>
        <v>0</v>
      </c>
      <c r="I21" s="85">
        <f>(ROUND(G21/CCT!O23*H21,2)-(G21/'Ocorrências Mensais - FAT'!$E$7*'Ocorrências Mensais - FAT'!H21))</f>
        <v>0</v>
      </c>
      <c r="J21" s="119">
        <f>'Ofic. Manutenção'!F46-'Ofic. Manutenção'!H46</f>
        <v>9682.44</v>
      </c>
      <c r="K21" s="87">
        <f>'Ocorrências Mensais - FAT'!K21</f>
        <v>0</v>
      </c>
      <c r="L21" s="88">
        <f>J21/'Ocorrências Mensais - FAT'!$E$7*K21</f>
        <v>0</v>
      </c>
      <c r="M21" s="120">
        <f>'Custo Estimativo Substituto'!S36</f>
        <v>7973.148000000001</v>
      </c>
      <c r="N21" s="90">
        <f>'Ocorrências Mensais - FAT'!L26</f>
        <v>0</v>
      </c>
      <c r="O21" s="91">
        <f>ROUND((M21/'Ocorrências Mensais - FAT'!$E$7*N21),2)</f>
        <v>0</v>
      </c>
      <c r="P21" s="98">
        <f>'Ofic. Manutenção'!G45</f>
        <v>659.01</v>
      </c>
      <c r="Q21" s="99">
        <f>'Ocorrências Mensais - FAT'!M26</f>
        <v>0</v>
      </c>
      <c r="R21" s="393">
        <f>ROUND((P21/CCT!O23*Q21),2)</f>
        <v>0</v>
      </c>
      <c r="S21" s="98">
        <f>'Ofic. Manutenção'!D24</f>
        <v>200</v>
      </c>
      <c r="T21" s="99">
        <f>'Ocorrências Mensais - FAT'!N21</f>
        <v>0</v>
      </c>
      <c r="U21" s="393">
        <f t="shared" si="3"/>
        <v>0</v>
      </c>
      <c r="V21" s="95">
        <f t="shared" si="0"/>
        <v>0</v>
      </c>
      <c r="W21" s="100">
        <f t="shared" si="1"/>
        <v>19364.88</v>
      </c>
      <c r="X21" s="463">
        <f>'Ocorrências Mensais - FAT'!C49</f>
        <v>2</v>
      </c>
      <c r="Y21" s="433">
        <f>'Ocorrências Mensais - FAT'!D49</f>
        <v>33.06</v>
      </c>
      <c r="Z21" s="452">
        <f>'Ocorrências Mensais - FAT'!E49</f>
        <v>2</v>
      </c>
      <c r="AA21" s="433">
        <f>'Ocorrências Mensais - FAT'!F49</f>
        <v>127.04</v>
      </c>
      <c r="AB21" s="452">
        <f>'Ocorrências Mensais - FAT'!G49</f>
        <v>2</v>
      </c>
      <c r="AC21" s="433">
        <f>'Ocorrências Mensais - FAT'!H49</f>
        <v>169.38</v>
      </c>
      <c r="AD21" s="453">
        <f>'Ocorrências Mensais - FAT'!I49</f>
        <v>1</v>
      </c>
      <c r="AE21" s="433">
        <f>'Ocorrências Mensais - FAT'!J49</f>
        <v>37.44</v>
      </c>
      <c r="AF21" s="453">
        <f>'Ocorrências Mensais - FAT'!K49</f>
        <v>1</v>
      </c>
      <c r="AG21" s="454">
        <f>'Ocorrências Mensais - FAT'!L49</f>
        <v>35.97</v>
      </c>
      <c r="AH21" s="100">
        <f t="shared" si="4"/>
        <v>402.89</v>
      </c>
      <c r="AI21" s="1310"/>
      <c r="AJ21" s="59"/>
    </row>
    <row r="22" spans="1:36" ht="32.25" customHeight="1" x14ac:dyDescent="0.25">
      <c r="A22" s="1333"/>
      <c r="B22" s="96" t="str">
        <f>Dados!B20</f>
        <v>Ajudante de Manutenção (meio oficial)</v>
      </c>
      <c r="C22" s="105">
        <f>Dados!C20</f>
        <v>220</v>
      </c>
      <c r="D22" s="106">
        <f>Dados!D20</f>
        <v>4</v>
      </c>
      <c r="E22" s="117">
        <f>'Ajud Manutenção'!F46</f>
        <v>6510.33</v>
      </c>
      <c r="F22" s="118">
        <f>ROUND(D22*E22,2)</f>
        <v>26041.32</v>
      </c>
      <c r="G22" s="117">
        <f>'Ajud Manutenção'!I46</f>
        <v>633.01</v>
      </c>
      <c r="H22" s="84">
        <f>'Ocorrências Mensais - FAT'!F22+'Ocorrências Mensais - FAT'!H22</f>
        <v>0</v>
      </c>
      <c r="I22" s="85">
        <f>(ROUND(G22/CCT!O24*H22,2)-(G22/'Ocorrências Mensais - FAT'!$E$7*'Ocorrências Mensais - FAT'!H22))</f>
        <v>0</v>
      </c>
      <c r="J22" s="119">
        <f>'Ajud Manutenção'!F46-'Ajud Manutenção'!H46</f>
        <v>6510.33</v>
      </c>
      <c r="K22" s="87">
        <f>'Ocorrências Mensais - FAT'!K22</f>
        <v>0</v>
      </c>
      <c r="L22" s="88">
        <f>J22/'Ocorrências Mensais - FAT'!$E$7*K22</f>
        <v>0</v>
      </c>
      <c r="M22" s="120">
        <f>'Custo Estimativo Substituto'!T36</f>
        <v>5311.7738000000008</v>
      </c>
      <c r="N22" s="90">
        <f>'Ocorrências Mensais - FAT'!L27</f>
        <v>0</v>
      </c>
      <c r="O22" s="91">
        <f>ROUND((M22/'Ocorrências Mensais - FAT'!$E$7*N22),2)</f>
        <v>0</v>
      </c>
      <c r="P22" s="98">
        <f>'Ajud Manutenção'!G45</f>
        <v>659.01</v>
      </c>
      <c r="Q22" s="99">
        <f>'Ocorrências Mensais - FAT'!M27</f>
        <v>0</v>
      </c>
      <c r="R22" s="393">
        <f>ROUND((P22/CCT!O24*Q22),2)</f>
        <v>0</v>
      </c>
      <c r="S22" s="98">
        <f>'Ajud Manutenção'!D24</f>
        <v>200</v>
      </c>
      <c r="T22" s="99">
        <f>'Ocorrências Mensais - FAT'!N22</f>
        <v>0</v>
      </c>
      <c r="U22" s="393">
        <f t="shared" si="3"/>
        <v>0</v>
      </c>
      <c r="V22" s="95">
        <f t="shared" si="0"/>
        <v>0</v>
      </c>
      <c r="W22" s="100">
        <f t="shared" si="1"/>
        <v>26041.32</v>
      </c>
      <c r="X22" s="463">
        <f>'Ocorrências Mensais - FAT'!C50</f>
        <v>2</v>
      </c>
      <c r="Y22" s="433">
        <f>'Ocorrências Mensais - FAT'!D50</f>
        <v>19.760000000000002</v>
      </c>
      <c r="Z22" s="452">
        <f>'Ocorrências Mensais - FAT'!E50</f>
        <v>2</v>
      </c>
      <c r="AA22" s="433">
        <f>'Ocorrências Mensais - FAT'!F50</f>
        <v>76.08</v>
      </c>
      <c r="AB22" s="452">
        <f>'Ocorrências Mensais - FAT'!G50</f>
        <v>2</v>
      </c>
      <c r="AC22" s="433">
        <f>'Ocorrências Mensais - FAT'!H50</f>
        <v>101.46</v>
      </c>
      <c r="AD22" s="453">
        <f>'Ocorrências Mensais - FAT'!I50</f>
        <v>1</v>
      </c>
      <c r="AE22" s="433">
        <f>'Ocorrências Mensais - FAT'!J50</f>
        <v>37.44</v>
      </c>
      <c r="AF22" s="453">
        <f>'Ocorrências Mensais - FAT'!K50</f>
        <v>1</v>
      </c>
      <c r="AG22" s="454">
        <f>'Ocorrências Mensais - FAT'!L50</f>
        <v>35.97</v>
      </c>
      <c r="AH22" s="100">
        <f t="shared" si="4"/>
        <v>270.71000000000004</v>
      </c>
      <c r="AI22" s="1310"/>
      <c r="AJ22" s="59"/>
    </row>
    <row r="23" spans="1:36" ht="32.25" customHeight="1" x14ac:dyDescent="0.25">
      <c r="A23" s="1333"/>
      <c r="B23" s="96" t="str">
        <f>Dados!B21</f>
        <v>Oficial em Telecom / Eletrônica</v>
      </c>
      <c r="C23" s="105">
        <f>Dados!C21</f>
        <v>220</v>
      </c>
      <c r="D23" s="106">
        <f>Dados!D21</f>
        <v>2</v>
      </c>
      <c r="E23" s="116">
        <f>'Ofic. Eletrônico'!F46</f>
        <v>7375.44</v>
      </c>
      <c r="F23" s="112">
        <f>ROUND(D23*E23,2)</f>
        <v>14750.88</v>
      </c>
      <c r="G23" s="113">
        <f>'Ofic. Eletrônico'!I46</f>
        <v>602.57000000000005</v>
      </c>
      <c r="H23" s="84">
        <f>'Ocorrências Mensais - FAT'!F23+'Ocorrências Mensais - FAT'!H23</f>
        <v>0</v>
      </c>
      <c r="I23" s="85">
        <f>(ROUND(G23/CCT!O25*H23,2)-(G23/'Ocorrências Mensais - FAT'!$E$7*'Ocorrências Mensais - FAT'!H23))</f>
        <v>0</v>
      </c>
      <c r="J23" s="113">
        <f>'Ofic. Eletrônico'!F46-'Ofic. Eletrônico'!H46</f>
        <v>7375.44</v>
      </c>
      <c r="K23" s="87">
        <f>'Ocorrências Mensais - FAT'!K23</f>
        <v>0</v>
      </c>
      <c r="L23" s="88">
        <f>J23/'Ocorrências Mensais - FAT'!$E$7*K23</f>
        <v>0</v>
      </c>
      <c r="M23" s="114">
        <f>'Custo Estimativo Substituto'!L36</f>
        <v>6055.5380000000005</v>
      </c>
      <c r="N23" s="90">
        <f>'Ocorrências Mensais - FAT'!L19</f>
        <v>0</v>
      </c>
      <c r="O23" s="91">
        <f>ROUND((M23/'Ocorrências Mensais - FAT'!$E$7*N23),2)</f>
        <v>0</v>
      </c>
      <c r="P23" s="98">
        <f>'Ofic. Eletrônico'!G45</f>
        <v>659.01</v>
      </c>
      <c r="Q23" s="99">
        <f>'Ocorrências Mensais - FAT'!M19</f>
        <v>0</v>
      </c>
      <c r="R23" s="393">
        <f>ROUND((P23/CCT!O25*Q23),2)</f>
        <v>0</v>
      </c>
      <c r="S23" s="98">
        <f>'Ofic. Eletrônico'!D24</f>
        <v>200</v>
      </c>
      <c r="T23" s="99">
        <f>'Ocorrências Mensais - FAT'!N23</f>
        <v>0</v>
      </c>
      <c r="U23" s="393">
        <f t="shared" si="3"/>
        <v>0</v>
      </c>
      <c r="V23" s="95">
        <f t="shared" si="0"/>
        <v>0</v>
      </c>
      <c r="W23" s="100">
        <f t="shared" si="1"/>
        <v>14750.88</v>
      </c>
      <c r="X23" s="463">
        <f>'Ocorrências Mensais - FAT'!C51</f>
        <v>2</v>
      </c>
      <c r="Y23" s="433">
        <f>'Ocorrências Mensais - FAT'!D51</f>
        <v>23.54</v>
      </c>
      <c r="Z23" s="452">
        <f>'Ocorrências Mensais - FAT'!E51</f>
        <v>2</v>
      </c>
      <c r="AA23" s="433">
        <f>'Ocorrências Mensais - FAT'!F51</f>
        <v>90.76</v>
      </c>
      <c r="AB23" s="452">
        <f>'Ocorrências Mensais - FAT'!G51</f>
        <v>2</v>
      </c>
      <c r="AC23" s="433">
        <f>'Ocorrências Mensais - FAT'!H51</f>
        <v>120.98</v>
      </c>
      <c r="AD23" s="453">
        <f>'Ocorrências Mensais - FAT'!I51</f>
        <v>1</v>
      </c>
      <c r="AE23" s="433">
        <f>'Ocorrências Mensais - FAT'!J51</f>
        <v>37.44</v>
      </c>
      <c r="AF23" s="453">
        <f>'Ocorrências Mensais - FAT'!K51</f>
        <v>1</v>
      </c>
      <c r="AG23" s="454">
        <f>'Ocorrências Mensais - FAT'!L51</f>
        <v>35.97</v>
      </c>
      <c r="AH23" s="100">
        <f t="shared" si="4"/>
        <v>308.69000000000005</v>
      </c>
      <c r="AI23" s="1310"/>
      <c r="AJ23" s="59"/>
    </row>
    <row r="24" spans="1:36" ht="32.25" customHeight="1" x14ac:dyDescent="0.25">
      <c r="A24" s="1333"/>
      <c r="B24" s="96" t="str">
        <f>Dados!B22</f>
        <v>Oficial Encanador / Bombeiro</v>
      </c>
      <c r="C24" s="105">
        <f>Dados!C22</f>
        <v>220</v>
      </c>
      <c r="D24" s="106">
        <f>Dados!D22</f>
        <v>2</v>
      </c>
      <c r="E24" s="116">
        <f>'Ofic. Encanador'!F46</f>
        <v>8799.7800000000007</v>
      </c>
      <c r="F24" s="112">
        <f t="shared" si="2"/>
        <v>17599.560000000001</v>
      </c>
      <c r="G24" s="113">
        <f>'Ofic. Encanador'!I46</f>
        <v>602.57000000000005</v>
      </c>
      <c r="H24" s="84">
        <f>'Ocorrências Mensais - FAT'!F24+'Ocorrências Mensais - FAT'!H24</f>
        <v>0</v>
      </c>
      <c r="I24" s="85">
        <f>(ROUND(G24/CCT!O26*H24,2)-(G24/'Ocorrências Mensais - FAT'!$E$7*'Ocorrências Mensais - FAT'!H24))</f>
        <v>0</v>
      </c>
      <c r="J24" s="113">
        <f>'Ofic. Encanador'!F46-'Ofic. Encanador'!H46</f>
        <v>8799.7800000000007</v>
      </c>
      <c r="K24" s="87">
        <f>'Ocorrências Mensais - FAT'!K24</f>
        <v>0</v>
      </c>
      <c r="L24" s="88">
        <f>J24/'Ocorrências Mensais - FAT'!$E$7*K24</f>
        <v>0</v>
      </c>
      <c r="M24" s="114">
        <f>'Custo Estimativo Substituto'!O36</f>
        <v>7236.9179999999997</v>
      </c>
      <c r="N24" s="90">
        <f>'Ocorrências Mensais - FAT'!L22</f>
        <v>0</v>
      </c>
      <c r="O24" s="91">
        <f>ROUND((M24/'Ocorrências Mensais - FAT'!$E$7*N24),2)</f>
        <v>0</v>
      </c>
      <c r="P24" s="98">
        <f>'Ofic. Encanador'!G45</f>
        <v>659.01</v>
      </c>
      <c r="Q24" s="99">
        <f>'Ocorrências Mensais - FAT'!M22</f>
        <v>0</v>
      </c>
      <c r="R24" s="393">
        <f>ROUND((P24/CCT!O26*Q24),2)</f>
        <v>0</v>
      </c>
      <c r="S24" s="98">
        <f>'Ofic. Encanador'!D24</f>
        <v>200</v>
      </c>
      <c r="T24" s="99">
        <f>'Ocorrências Mensais - FAT'!N24</f>
        <v>0</v>
      </c>
      <c r="U24" s="393">
        <f t="shared" si="3"/>
        <v>0</v>
      </c>
      <c r="V24" s="95">
        <f t="shared" si="0"/>
        <v>0</v>
      </c>
      <c r="W24" s="100">
        <f t="shared" si="1"/>
        <v>17599.560000000001</v>
      </c>
      <c r="X24" s="463">
        <f>'Ocorrências Mensais - FAT'!C52</f>
        <v>2</v>
      </c>
      <c r="Y24" s="433">
        <f>'Ocorrências Mensais - FAT'!D52</f>
        <v>29.38</v>
      </c>
      <c r="Z24" s="452">
        <f>'Ocorrências Mensais - FAT'!E52</f>
        <v>2</v>
      </c>
      <c r="AA24" s="433">
        <f>'Ocorrências Mensais - FAT'!F52</f>
        <v>113.1</v>
      </c>
      <c r="AB24" s="452">
        <f>'Ocorrências Mensais - FAT'!G52</f>
        <v>2</v>
      </c>
      <c r="AC24" s="433">
        <f>'Ocorrências Mensais - FAT'!H52</f>
        <v>150.76</v>
      </c>
      <c r="AD24" s="453">
        <f>'Ocorrências Mensais - FAT'!I52</f>
        <v>1</v>
      </c>
      <c r="AE24" s="433">
        <f>'Ocorrências Mensais - FAT'!J52</f>
        <v>37.44</v>
      </c>
      <c r="AF24" s="453">
        <f>'Ocorrências Mensais - FAT'!K52</f>
        <v>1</v>
      </c>
      <c r="AG24" s="454">
        <f>'Ocorrências Mensais - FAT'!L52</f>
        <v>35.97</v>
      </c>
      <c r="AH24" s="100">
        <f t="shared" si="4"/>
        <v>366.65</v>
      </c>
      <c r="AI24" s="1310"/>
      <c r="AJ24" s="59"/>
    </row>
    <row r="25" spans="1:36" ht="32.25" customHeight="1" x14ac:dyDescent="0.25">
      <c r="A25" s="1333"/>
      <c r="B25" s="96" t="str">
        <f>Dados!B23</f>
        <v>Oficial Marceneiro</v>
      </c>
      <c r="C25" s="105">
        <f>Dados!C23</f>
        <v>220</v>
      </c>
      <c r="D25" s="106">
        <f>Dados!D23</f>
        <v>2</v>
      </c>
      <c r="E25" s="116">
        <f>'Ofic Marceneiro'!F46</f>
        <v>8165.6</v>
      </c>
      <c r="F25" s="112">
        <f t="shared" si="2"/>
        <v>16331.2</v>
      </c>
      <c r="G25" s="113">
        <f>'Ofic Marceneiro'!I46</f>
        <v>602.57000000000005</v>
      </c>
      <c r="H25" s="84">
        <f>'Ocorrências Mensais - FAT'!F25+'Ocorrências Mensais - FAT'!H25</f>
        <v>0</v>
      </c>
      <c r="I25" s="85">
        <f>(ROUND(G25/CCT!O27*H25,2)-(G25/'Ocorrências Mensais - FAT'!$E$7*'Ocorrências Mensais - FAT'!H25))</f>
        <v>0</v>
      </c>
      <c r="J25" s="113">
        <f>'Ofic Marceneiro'!F46-'Ofic Marceneiro'!H46</f>
        <v>8165.6</v>
      </c>
      <c r="K25" s="87">
        <f>'Ocorrências Mensais - FAT'!K25</f>
        <v>0</v>
      </c>
      <c r="L25" s="88">
        <f>J25/'Ocorrências Mensais - FAT'!$E$7*K25</f>
        <v>0</v>
      </c>
      <c r="M25" s="114">
        <f>'Custo Estimativo Substituto'!P36</f>
        <v>6646.228000000001</v>
      </c>
      <c r="N25" s="90">
        <f>'Ocorrências Mensais - FAT'!L23</f>
        <v>0</v>
      </c>
      <c r="O25" s="91">
        <f>ROUND((M25/'Ocorrências Mensais - FAT'!$E$7*N25),2)</f>
        <v>0</v>
      </c>
      <c r="P25" s="98">
        <f>'Ofic Marceneiro'!G45</f>
        <v>659.01</v>
      </c>
      <c r="Q25" s="99">
        <f>'Ocorrências Mensais - FAT'!M23</f>
        <v>0</v>
      </c>
      <c r="R25" s="393">
        <f>ROUND((P25/CCT!O27*Q25),2)</f>
        <v>0</v>
      </c>
      <c r="S25" s="98">
        <f>'Ofic Marceneiro'!D24</f>
        <v>200</v>
      </c>
      <c r="T25" s="99">
        <f>'Ocorrências Mensais - FAT'!N25</f>
        <v>0</v>
      </c>
      <c r="U25" s="393">
        <f t="shared" si="3"/>
        <v>0</v>
      </c>
      <c r="V25" s="95">
        <f t="shared" si="0"/>
        <v>0</v>
      </c>
      <c r="W25" s="100">
        <f t="shared" si="1"/>
        <v>16331.2</v>
      </c>
      <c r="X25" s="463">
        <f>'Ocorrências Mensais - FAT'!C53</f>
        <v>2</v>
      </c>
      <c r="Y25" s="433">
        <f>'Ocorrências Mensais - FAT'!D53</f>
        <v>26.5</v>
      </c>
      <c r="Z25" s="452">
        <f>'Ocorrências Mensais - FAT'!E53</f>
        <v>2</v>
      </c>
      <c r="AA25" s="433">
        <f>'Ocorrências Mensais - FAT'!F53</f>
        <v>101.92</v>
      </c>
      <c r="AB25" s="452">
        <f>'Ocorrências Mensais - FAT'!G53</f>
        <v>2</v>
      </c>
      <c r="AC25" s="433">
        <f>'Ocorrências Mensais - FAT'!H53</f>
        <v>135.88</v>
      </c>
      <c r="AD25" s="453">
        <f>'Ocorrências Mensais - FAT'!I53</f>
        <v>1</v>
      </c>
      <c r="AE25" s="433">
        <f>'Ocorrências Mensais - FAT'!J53</f>
        <v>37.44</v>
      </c>
      <c r="AF25" s="453">
        <f>'Ocorrências Mensais - FAT'!K53</f>
        <v>1</v>
      </c>
      <c r="AG25" s="454">
        <f>'Ocorrências Mensais - FAT'!L53</f>
        <v>35.97</v>
      </c>
      <c r="AH25" s="100">
        <f t="shared" si="4"/>
        <v>337.71000000000004</v>
      </c>
      <c r="AI25" s="1310"/>
      <c r="AJ25" s="59"/>
    </row>
    <row r="26" spans="1:36" ht="32.25" customHeight="1" x14ac:dyDescent="0.25">
      <c r="A26" s="1333"/>
      <c r="B26" s="96" t="str">
        <f>Dados!B24</f>
        <v>Pedreiro</v>
      </c>
      <c r="C26" s="105">
        <f>Dados!C24</f>
        <v>220</v>
      </c>
      <c r="D26" s="106">
        <f>Dados!D24</f>
        <v>2</v>
      </c>
      <c r="E26" s="117">
        <f>'Ofic. Pedreiro'!F46</f>
        <v>7380.47</v>
      </c>
      <c r="F26" s="118">
        <f t="shared" si="2"/>
        <v>14760.94</v>
      </c>
      <c r="G26" s="119">
        <f>'Ofic. Pedreiro'!I46</f>
        <v>602.57000000000005</v>
      </c>
      <c r="H26" s="84">
        <f>'Ocorrências Mensais - FAT'!F26+'Ocorrências Mensais - FAT'!H26</f>
        <v>0</v>
      </c>
      <c r="I26" s="85">
        <f>(ROUND(G26/CCT!O28*H26,2)-(G26/'Ocorrências Mensais - FAT'!$E$7*'Ocorrências Mensais - FAT'!H26))</f>
        <v>0</v>
      </c>
      <c r="J26" s="119">
        <f>'Ofic. Pedreiro'!F46-'Ofic. Pedreiro'!H46</f>
        <v>7380.47</v>
      </c>
      <c r="K26" s="87">
        <f>'Ocorrências Mensais - FAT'!K26</f>
        <v>0</v>
      </c>
      <c r="L26" s="88">
        <f>J26/'Ocorrências Mensais - FAT'!$E$7*K26</f>
        <v>0</v>
      </c>
      <c r="M26" s="120">
        <f>'Custo Estimativo Substituto'!Q36</f>
        <v>6055.5380000000005</v>
      </c>
      <c r="N26" s="90">
        <f>'Ocorrências Mensais - FAT'!L24</f>
        <v>0</v>
      </c>
      <c r="O26" s="91">
        <f>ROUND((M26/'Ocorrências Mensais - FAT'!$E$7*N26),2)</f>
        <v>0</v>
      </c>
      <c r="P26" s="98">
        <f>'Ofic. Pedreiro'!G45</f>
        <v>659.01</v>
      </c>
      <c r="Q26" s="99">
        <f>'Ocorrências Mensais - FAT'!M24</f>
        <v>0</v>
      </c>
      <c r="R26" s="393">
        <f>ROUND((P26/CCT!O28*Q26),2)</f>
        <v>0</v>
      </c>
      <c r="S26" s="98">
        <f>'Ofic. Pedreiro'!D24</f>
        <v>200</v>
      </c>
      <c r="T26" s="99">
        <f>'Ocorrências Mensais - FAT'!N26</f>
        <v>0</v>
      </c>
      <c r="U26" s="393">
        <f t="shared" si="3"/>
        <v>0</v>
      </c>
      <c r="V26" s="95">
        <f t="shared" si="0"/>
        <v>0</v>
      </c>
      <c r="W26" s="100">
        <f t="shared" si="1"/>
        <v>14760.94</v>
      </c>
      <c r="X26" s="463">
        <f>'Ocorrências Mensais - FAT'!C54</f>
        <v>2</v>
      </c>
      <c r="Y26" s="433">
        <f>'Ocorrências Mensais - FAT'!D54</f>
        <v>23.54</v>
      </c>
      <c r="Z26" s="452">
        <f>'Ocorrências Mensais - FAT'!E54</f>
        <v>2</v>
      </c>
      <c r="AA26" s="433">
        <f>'Ocorrências Mensais - FAT'!F54</f>
        <v>90.76</v>
      </c>
      <c r="AB26" s="452">
        <f>'Ocorrências Mensais - FAT'!G54</f>
        <v>2</v>
      </c>
      <c r="AC26" s="433">
        <f>'Ocorrências Mensais - FAT'!H54</f>
        <v>120.98</v>
      </c>
      <c r="AD26" s="453">
        <f>'Ocorrências Mensais - FAT'!I54</f>
        <v>1</v>
      </c>
      <c r="AE26" s="433">
        <f>'Ocorrências Mensais - FAT'!J54</f>
        <v>37.44</v>
      </c>
      <c r="AF26" s="453">
        <f>'Ocorrências Mensais - FAT'!K54</f>
        <v>1</v>
      </c>
      <c r="AG26" s="454">
        <f>'Ocorrências Mensais - FAT'!L54</f>
        <v>35.97</v>
      </c>
      <c r="AH26" s="100">
        <f t="shared" si="4"/>
        <v>308.69000000000005</v>
      </c>
      <c r="AI26" s="1310"/>
      <c r="AJ26" s="59"/>
    </row>
    <row r="27" spans="1:36" ht="32.25" customHeight="1" x14ac:dyDescent="0.25">
      <c r="A27" s="1333"/>
      <c r="B27" s="96" t="str">
        <f>Dados!B25</f>
        <v>Serralheiro</v>
      </c>
      <c r="C27" s="105">
        <f>Dados!C25</f>
        <v>220</v>
      </c>
      <c r="D27" s="106">
        <f>Dados!D25</f>
        <v>1</v>
      </c>
      <c r="E27" s="117">
        <f>'Ofic. Serralheiro'!F46</f>
        <v>7396.07</v>
      </c>
      <c r="F27" s="118">
        <f t="shared" si="2"/>
        <v>7396.07</v>
      </c>
      <c r="G27" s="117">
        <f>'Ofic. Serralheiro'!I46</f>
        <v>602.57000000000005</v>
      </c>
      <c r="H27" s="84">
        <f>'Ocorrências Mensais - FAT'!F27+'Ocorrências Mensais - FAT'!H27</f>
        <v>0</v>
      </c>
      <c r="I27" s="85">
        <f>(ROUND(G27/CCT!O29*H27,2)-(G27/'Ocorrências Mensais - FAT'!$E$7*'Ocorrências Mensais - FAT'!H27))</f>
        <v>0</v>
      </c>
      <c r="J27" s="119">
        <f>'Ofic. Serralheiro'!F46-'Ofic. Serralheiro'!H46</f>
        <v>7396.07</v>
      </c>
      <c r="K27" s="87">
        <f>'Ocorrências Mensais - FAT'!K27</f>
        <v>0</v>
      </c>
      <c r="L27" s="88">
        <f>J27/'Ocorrências Mensais - FAT'!$E$7*K27</f>
        <v>0</v>
      </c>
      <c r="M27" s="120">
        <f>'Custo Estimativo Substituto'!R36</f>
        <v>6055.5380000000005</v>
      </c>
      <c r="N27" s="90">
        <f>'Ocorrências Mensais - FAT'!L25</f>
        <v>0</v>
      </c>
      <c r="O27" s="91">
        <f>ROUND((M27/'Ocorrências Mensais - FAT'!$E$7*N27),2)</f>
        <v>0</v>
      </c>
      <c r="P27" s="98">
        <f>'Ofic. Serralheiro'!G45</f>
        <v>659.01</v>
      </c>
      <c r="Q27" s="99">
        <f>'Ocorrências Mensais - FAT'!M25</f>
        <v>0</v>
      </c>
      <c r="R27" s="393">
        <f>ROUND((P27/CCT!O29*Q27),2)</f>
        <v>0</v>
      </c>
      <c r="S27" s="98">
        <f>'Ofic. Serralheiro'!D24</f>
        <v>200</v>
      </c>
      <c r="T27" s="99">
        <f>'Ocorrências Mensais - FAT'!N27</f>
        <v>0</v>
      </c>
      <c r="U27" s="393">
        <f t="shared" si="3"/>
        <v>0</v>
      </c>
      <c r="V27" s="95">
        <f t="shared" si="0"/>
        <v>0</v>
      </c>
      <c r="W27" s="100">
        <f t="shared" si="1"/>
        <v>7396.07</v>
      </c>
      <c r="X27" s="463">
        <f>'Ocorrências Mensais - FAT'!C55</f>
        <v>2</v>
      </c>
      <c r="Y27" s="433">
        <f>'Ocorrências Mensais - FAT'!D55</f>
        <v>23.54</v>
      </c>
      <c r="Z27" s="452">
        <f>'Ocorrências Mensais - FAT'!E55</f>
        <v>2</v>
      </c>
      <c r="AA27" s="433">
        <f>'Ocorrências Mensais - FAT'!F55</f>
        <v>90.76</v>
      </c>
      <c r="AB27" s="452">
        <f>'Ocorrências Mensais - FAT'!G55</f>
        <v>2</v>
      </c>
      <c r="AC27" s="433">
        <f>'Ocorrências Mensais - FAT'!H55</f>
        <v>120.98</v>
      </c>
      <c r="AD27" s="453">
        <f>'Ocorrências Mensais - FAT'!I55</f>
        <v>1</v>
      </c>
      <c r="AE27" s="433">
        <f>'Ocorrências Mensais - FAT'!J55</f>
        <v>37.44</v>
      </c>
      <c r="AF27" s="453">
        <f>'Ocorrências Mensais - FAT'!K55</f>
        <v>1</v>
      </c>
      <c r="AG27" s="454">
        <f>'Ocorrências Mensais - FAT'!L55</f>
        <v>35.97</v>
      </c>
      <c r="AH27" s="100">
        <f t="shared" si="4"/>
        <v>308.69000000000005</v>
      </c>
      <c r="AI27" s="1310"/>
      <c r="AJ27" s="59"/>
    </row>
    <row r="28" spans="1:36" ht="32.25" customHeight="1" thickBot="1" x14ac:dyDescent="0.3">
      <c r="A28" s="1334"/>
      <c r="B28" s="96" t="str">
        <f>Dados!B26</f>
        <v>Pintor / Gesseiro</v>
      </c>
      <c r="C28" s="105">
        <f>Dados!C26</f>
        <v>220</v>
      </c>
      <c r="D28" s="106">
        <f>Dados!D26</f>
        <v>2</v>
      </c>
      <c r="E28" s="117">
        <f>'Ofic. Pintor'!F46</f>
        <v>7375.44</v>
      </c>
      <c r="F28" s="118">
        <f>ROUND(D28*E28,2)</f>
        <v>14750.88</v>
      </c>
      <c r="G28" s="117">
        <f>'Ofic. Pintor'!I46</f>
        <v>602.57000000000005</v>
      </c>
      <c r="H28" s="84">
        <f>'Ocorrências Mensais - FAT'!F28+'Ocorrências Mensais - FAT'!H28</f>
        <v>0</v>
      </c>
      <c r="I28" s="85">
        <f>(ROUND(G28/CCT!O30*H28,2)-(G28/'Ocorrências Mensais - FAT'!$E$7*'Ocorrências Mensais - FAT'!H28))</f>
        <v>0</v>
      </c>
      <c r="J28" s="119">
        <f>'Ofic. Pintor'!F46-'Ofic. Pintor'!H46</f>
        <v>7375.44</v>
      </c>
      <c r="K28" s="87">
        <f>'Ocorrências Mensais - FAT'!K28</f>
        <v>0</v>
      </c>
      <c r="L28" s="88">
        <f>J28/'Ocorrências Mensais - FAT'!$E$7*K28</f>
        <v>0</v>
      </c>
      <c r="M28" s="120">
        <f>'Custo Estimativo Substituto'!U36</f>
        <v>6055.5380000000005</v>
      </c>
      <c r="N28" s="90">
        <f>'Ocorrências Mensais - FAT'!L28</f>
        <v>0</v>
      </c>
      <c r="O28" s="91">
        <f>ROUND((M28/'Ocorrências Mensais - FAT'!$E$7*N28),2)</f>
        <v>0</v>
      </c>
      <c r="P28" s="394">
        <f>'Ofic. Pintor'!G45</f>
        <v>659.01</v>
      </c>
      <c r="Q28" s="395">
        <f>'Ocorrências Mensais - FAT'!M28</f>
        <v>0</v>
      </c>
      <c r="R28" s="396">
        <f>ROUND((P28/CCT!O30*Q28),2)</f>
        <v>0</v>
      </c>
      <c r="S28" s="394">
        <f>'Ofic. Pintor'!D24</f>
        <v>200</v>
      </c>
      <c r="T28" s="395">
        <f>'Ocorrências Mensais - FAT'!N28</f>
        <v>0</v>
      </c>
      <c r="U28" s="396">
        <f t="shared" si="3"/>
        <v>0</v>
      </c>
      <c r="V28" s="95">
        <f t="shared" si="0"/>
        <v>0</v>
      </c>
      <c r="W28" s="100">
        <f t="shared" si="1"/>
        <v>14750.88</v>
      </c>
      <c r="X28" s="464">
        <f>'Ocorrências Mensais - FAT'!C56</f>
        <v>2</v>
      </c>
      <c r="Y28" s="465">
        <f>'Ocorrências Mensais - FAT'!D56</f>
        <v>23.54</v>
      </c>
      <c r="Z28" s="466">
        <f>'Ocorrências Mensais - FAT'!E56</f>
        <v>2</v>
      </c>
      <c r="AA28" s="465">
        <f>'Ocorrências Mensais - FAT'!F56</f>
        <v>90.76</v>
      </c>
      <c r="AB28" s="466">
        <f>'Ocorrências Mensais - FAT'!G56</f>
        <v>2</v>
      </c>
      <c r="AC28" s="465">
        <f>'Ocorrências Mensais - FAT'!H56</f>
        <v>120.98</v>
      </c>
      <c r="AD28" s="467">
        <f>'Ocorrências Mensais - FAT'!I56</f>
        <v>1</v>
      </c>
      <c r="AE28" s="465">
        <f>'Ocorrências Mensais - FAT'!J56</f>
        <v>37.44</v>
      </c>
      <c r="AF28" s="467">
        <f>'Ocorrências Mensais - FAT'!K56</f>
        <v>1</v>
      </c>
      <c r="AG28" s="468">
        <f>'Ocorrências Mensais - FAT'!L56</f>
        <v>35.97</v>
      </c>
      <c r="AH28" s="469">
        <f t="shared" si="4"/>
        <v>308.69000000000005</v>
      </c>
      <c r="AI28" s="1311"/>
      <c r="AJ28" s="59"/>
    </row>
    <row r="29" spans="1:36" s="129" customFormat="1" ht="55.5" customHeight="1" thickBot="1" x14ac:dyDescent="0.25">
      <c r="A29" s="1306" t="s">
        <v>321</v>
      </c>
      <c r="B29" s="1306"/>
      <c r="C29" s="1306"/>
      <c r="D29" s="121">
        <f>SUM(D13:D28)</f>
        <v>31</v>
      </c>
      <c r="E29" s="122"/>
      <c r="F29" s="123">
        <f>SUM(F13:F28)</f>
        <v>304651.04000000004</v>
      </c>
      <c r="G29" s="124"/>
      <c r="H29" s="125">
        <f t="shared" ref="H29:O29" si="5">SUM(H13:H28)</f>
        <v>0</v>
      </c>
      <c r="I29" s="126">
        <f t="shared" si="5"/>
        <v>0</v>
      </c>
      <c r="J29" s="127">
        <f t="shared" si="5"/>
        <v>175013.09000000003</v>
      </c>
      <c r="K29" s="125">
        <f t="shared" si="5"/>
        <v>0</v>
      </c>
      <c r="L29" s="128">
        <f t="shared" si="5"/>
        <v>0</v>
      </c>
      <c r="M29" s="127">
        <f t="shared" si="5"/>
        <v>146323.63780000003</v>
      </c>
      <c r="N29" s="125">
        <f t="shared" si="5"/>
        <v>0</v>
      </c>
      <c r="O29" s="128">
        <f t="shared" si="5"/>
        <v>0</v>
      </c>
      <c r="P29" s="390"/>
      <c r="Q29" s="391">
        <f>SUM(Q13:Q28)</f>
        <v>0</v>
      </c>
      <c r="R29" s="392">
        <f>SUM(R13:R28)</f>
        <v>0</v>
      </c>
      <c r="S29" s="1037"/>
      <c r="T29" s="1037"/>
      <c r="U29" s="392">
        <f>SUM(U13:U28)</f>
        <v>0</v>
      </c>
      <c r="V29" s="392">
        <f>SUM(V13:V28)</f>
        <v>0</v>
      </c>
      <c r="W29" s="412">
        <f>SUM(W13:W28)</f>
        <v>304651.04000000004</v>
      </c>
      <c r="X29" s="470"/>
      <c r="Y29" s="471">
        <f>SUM(Y13:Y28)</f>
        <v>461.46000000000009</v>
      </c>
      <c r="Z29" s="472"/>
      <c r="AA29" s="471">
        <f>SUM(AA13:AA28)</f>
        <v>2400.1400000000003</v>
      </c>
      <c r="AB29" s="472"/>
      <c r="AC29" s="471">
        <f>SUM(AC13:AC28)</f>
        <v>3200.0000000000005</v>
      </c>
      <c r="AD29" s="472"/>
      <c r="AE29" s="471">
        <f>SUM(AE13:AE28)</f>
        <v>675.48000000000025</v>
      </c>
      <c r="AF29" s="472"/>
      <c r="AG29" s="471">
        <f>SUM(AG13:AG28)</f>
        <v>575.52000000000021</v>
      </c>
      <c r="AH29" s="473">
        <f>SUM(AH13:AH28)</f>
        <v>7312.6</v>
      </c>
      <c r="AI29" s="474">
        <f>W29+AH29</f>
        <v>311963.64</v>
      </c>
      <c r="AJ29" s="129" t="s">
        <v>322</v>
      </c>
    </row>
    <row r="30" spans="1:36" s="129" customFormat="1" ht="55.5" customHeight="1" thickBot="1" x14ac:dyDescent="0.25">
      <c r="A30" s="1300" t="s">
        <v>323</v>
      </c>
      <c r="B30" s="1300"/>
      <c r="C30" s="1300"/>
      <c r="D30" s="1300"/>
      <c r="E30" s="1300"/>
      <c r="F30" s="1300"/>
      <c r="G30" s="1300"/>
      <c r="H30" s="1300"/>
      <c r="I30" s="1300"/>
      <c r="J30" s="1300"/>
      <c r="K30" s="1300"/>
      <c r="L30" s="1300"/>
      <c r="M30" s="1300"/>
      <c r="N30" s="1300"/>
      <c r="O30" s="1300"/>
      <c r="P30" s="1300"/>
      <c r="Q30" s="1300"/>
      <c r="R30" s="1300"/>
      <c r="S30" s="1300"/>
      <c r="T30" s="1300"/>
      <c r="U30" s="1300"/>
      <c r="V30" s="1300"/>
      <c r="W30" s="413">
        <f>W29*12</f>
        <v>3655812.4800000004</v>
      </c>
      <c r="X30" s="470"/>
      <c r="Y30" s="475">
        <f>Y29*12</f>
        <v>5537.5200000000013</v>
      </c>
      <c r="Z30" s="476"/>
      <c r="AA30" s="475">
        <f>AA29*12</f>
        <v>28801.680000000004</v>
      </c>
      <c r="AB30" s="476"/>
      <c r="AC30" s="475">
        <f>AC29*12</f>
        <v>38400.000000000007</v>
      </c>
      <c r="AD30" s="476"/>
      <c r="AE30" s="475">
        <f>AE29*12</f>
        <v>8105.7600000000029</v>
      </c>
      <c r="AF30" s="476"/>
      <c r="AG30" s="478">
        <f>AG29*12</f>
        <v>6906.2400000000025</v>
      </c>
      <c r="AH30" s="479">
        <f>AH29*12</f>
        <v>87751.200000000012</v>
      </c>
      <c r="AI30" s="477">
        <f>AI29*12</f>
        <v>3743563.68</v>
      </c>
    </row>
    <row r="31" spans="1:36" ht="14.25" customHeight="1" thickBot="1" x14ac:dyDescent="0.25"/>
    <row r="32" spans="1:36" ht="14.25" customHeight="1" x14ac:dyDescent="0.2">
      <c r="A32" s="1274" t="s">
        <v>324</v>
      </c>
      <c r="B32" s="1275"/>
      <c r="C32" s="1275"/>
      <c r="D32" s="1275"/>
      <c r="E32" s="1275"/>
      <c r="F32" s="1275"/>
    </row>
    <row r="33" spans="1:8" ht="14.25" customHeight="1" x14ac:dyDescent="0.2">
      <c r="A33" s="1276" t="s">
        <v>325</v>
      </c>
      <c r="B33" s="1277"/>
      <c r="C33" s="1277"/>
      <c r="D33" s="1277"/>
      <c r="E33" s="447" t="s">
        <v>326</v>
      </c>
      <c r="F33" s="447" t="s">
        <v>327</v>
      </c>
    </row>
    <row r="34" spans="1:8" ht="14.25" customHeight="1" x14ac:dyDescent="0.25">
      <c r="A34" s="1270" t="s">
        <v>328</v>
      </c>
      <c r="B34" s="1271"/>
      <c r="C34" s="1271"/>
      <c r="D34" s="1271"/>
      <c r="E34" s="448">
        <f>W29</f>
        <v>304651.04000000004</v>
      </c>
      <c r="F34" s="448">
        <f t="shared" ref="F34:F39" si="6">E34*12</f>
        <v>3655812.4800000004</v>
      </c>
    </row>
    <row r="35" spans="1:8" ht="14.25" customHeight="1" x14ac:dyDescent="0.25">
      <c r="A35" s="1270" t="s">
        <v>329</v>
      </c>
      <c r="B35" s="1271"/>
      <c r="C35" s="1271"/>
      <c r="D35" s="1271"/>
      <c r="E35" s="448">
        <f>Y29</f>
        <v>461.46000000000009</v>
      </c>
      <c r="F35" s="448">
        <f t="shared" si="6"/>
        <v>5537.5200000000013</v>
      </c>
    </row>
    <row r="36" spans="1:8" ht="14.25" customHeight="1" x14ac:dyDescent="0.25">
      <c r="A36" s="1270" t="s">
        <v>330</v>
      </c>
      <c r="B36" s="1271"/>
      <c r="C36" s="1271"/>
      <c r="D36" s="1271"/>
      <c r="E36" s="448">
        <f>AA29</f>
        <v>2400.1400000000003</v>
      </c>
      <c r="F36" s="448">
        <f t="shared" si="6"/>
        <v>28801.680000000004</v>
      </c>
    </row>
    <row r="37" spans="1:8" ht="14.25" customHeight="1" x14ac:dyDescent="0.25">
      <c r="A37" s="1270" t="s">
        <v>331</v>
      </c>
      <c r="B37" s="1271"/>
      <c r="C37" s="1271"/>
      <c r="D37" s="1271"/>
      <c r="E37" s="448">
        <f>AC29</f>
        <v>3200.0000000000005</v>
      </c>
      <c r="F37" s="448">
        <f t="shared" si="6"/>
        <v>38400.000000000007</v>
      </c>
    </row>
    <row r="38" spans="1:8" ht="14.25" customHeight="1" x14ac:dyDescent="0.25">
      <c r="A38" s="1270" t="s">
        <v>332</v>
      </c>
      <c r="B38" s="1271"/>
      <c r="C38" s="1271"/>
      <c r="D38" s="1271"/>
      <c r="E38" s="448">
        <f>AE29</f>
        <v>675.48000000000025</v>
      </c>
      <c r="F38" s="448">
        <f t="shared" si="6"/>
        <v>8105.7600000000029</v>
      </c>
    </row>
    <row r="39" spans="1:8" ht="14.25" customHeight="1" thickBot="1" x14ac:dyDescent="0.3">
      <c r="A39" s="1270" t="s">
        <v>333</v>
      </c>
      <c r="B39" s="1271"/>
      <c r="C39" s="1271"/>
      <c r="D39" s="1271"/>
      <c r="E39" s="448">
        <f>AG29</f>
        <v>575.52000000000021</v>
      </c>
      <c r="F39" s="448">
        <f t="shared" si="6"/>
        <v>6906.2400000000025</v>
      </c>
    </row>
    <row r="40" spans="1:8" ht="14.25" customHeight="1" thickBot="1" x14ac:dyDescent="0.3">
      <c r="A40" s="1272" t="s">
        <v>334</v>
      </c>
      <c r="B40" s="1273"/>
      <c r="C40" s="1273"/>
      <c r="D40" s="1273"/>
      <c r="E40" s="449">
        <f>SUM(E34:E39)</f>
        <v>311963.64000000007</v>
      </c>
      <c r="F40" s="450">
        <f>SUM(F34:F39)</f>
        <v>3743563.6800000006</v>
      </c>
    </row>
    <row r="41" spans="1:8" ht="14.25" customHeight="1" thickBot="1" x14ac:dyDescent="0.25"/>
    <row r="42" spans="1:8" ht="14.25" customHeight="1" x14ac:dyDescent="0.2">
      <c r="A42" s="1286" t="s">
        <v>335</v>
      </c>
      <c r="B42" s="1287"/>
      <c r="C42" s="1287"/>
      <c r="D42" s="1287"/>
      <c r="E42" s="1287"/>
      <c r="F42" s="1288"/>
    </row>
    <row r="43" spans="1:8" ht="14.25" customHeight="1" x14ac:dyDescent="0.2">
      <c r="A43" s="1280" t="s">
        <v>336</v>
      </c>
      <c r="B43" s="1281"/>
      <c r="C43" s="1281"/>
      <c r="D43" s="1281"/>
      <c r="E43" s="1281"/>
      <c r="F43" s="1282"/>
    </row>
    <row r="44" spans="1:8" ht="14.25" customHeight="1" x14ac:dyDescent="0.2">
      <c r="A44" s="480" t="s">
        <v>337</v>
      </c>
      <c r="B44" s="481" t="s">
        <v>338</v>
      </c>
      <c r="C44" s="1281" t="s">
        <v>339</v>
      </c>
      <c r="D44" s="1281"/>
      <c r="E44" s="1281"/>
      <c r="F44" s="1282"/>
      <c r="G44" s="482" t="s">
        <v>340</v>
      </c>
      <c r="H44" s="482" t="s">
        <v>341</v>
      </c>
    </row>
    <row r="45" spans="1:8" ht="14.25" customHeight="1" x14ac:dyDescent="0.2">
      <c r="A45" s="483">
        <v>1</v>
      </c>
      <c r="B45" s="484" t="str">
        <f>CONCATENATE("Total de ocorrências entre - ",G45," e ",H45)</f>
        <v>Total de ocorrências entre - 0 e 19</v>
      </c>
      <c r="C45" s="1283" t="s">
        <v>342</v>
      </c>
      <c r="D45" s="1284"/>
      <c r="E45" s="1284"/>
      <c r="F45" s="1285"/>
      <c r="G45" s="482">
        <v>0</v>
      </c>
      <c r="H45" s="482">
        <v>19</v>
      </c>
    </row>
    <row r="46" spans="1:8" ht="14.25" customHeight="1" x14ac:dyDescent="0.2">
      <c r="A46" s="483">
        <v>1</v>
      </c>
      <c r="B46" s="484" t="str">
        <f>CONCATENATE("Total de ocorrências entre - ",G46," e ",H46)</f>
        <v>Total de ocorrências entre - 20 e 39</v>
      </c>
      <c r="C46" s="1283" t="s">
        <v>343</v>
      </c>
      <c r="D46" s="1284"/>
      <c r="E46" s="1284" t="s">
        <v>344</v>
      </c>
      <c r="F46" s="1285"/>
      <c r="G46" s="482">
        <v>20</v>
      </c>
      <c r="H46" s="482">
        <v>39</v>
      </c>
    </row>
    <row r="47" spans="1:8" ht="14.25" customHeight="1" x14ac:dyDescent="0.2">
      <c r="A47" s="485">
        <v>0.99</v>
      </c>
      <c r="B47" s="484" t="str">
        <f>CONCATENATE("Total de ocorrências entre - ",G47," e ",H47)</f>
        <v>Total de ocorrências entre - 40 e 59</v>
      </c>
      <c r="C47" s="1283" t="s">
        <v>345</v>
      </c>
      <c r="D47" s="1284"/>
      <c r="E47" s="1284" t="s">
        <v>345</v>
      </c>
      <c r="F47" s="1285"/>
      <c r="G47" s="482">
        <v>40</v>
      </c>
      <c r="H47" s="482">
        <v>59</v>
      </c>
    </row>
    <row r="48" spans="1:8" ht="14.25" customHeight="1" x14ac:dyDescent="0.2">
      <c r="A48" s="485">
        <v>0.98</v>
      </c>
      <c r="B48" s="484" t="str">
        <f>CONCATENATE("Total de ocorrências entre - ",G48," e ",H48)</f>
        <v>Total de ocorrências entre - 60 e 79</v>
      </c>
      <c r="C48" s="1283" t="s">
        <v>346</v>
      </c>
      <c r="D48" s="1284"/>
      <c r="E48" s="1284" t="s">
        <v>347</v>
      </c>
      <c r="F48" s="1285"/>
      <c r="G48" s="482">
        <v>60</v>
      </c>
      <c r="H48" s="482">
        <v>79</v>
      </c>
    </row>
    <row r="49" spans="1:8" ht="14.25" customHeight="1" x14ac:dyDescent="0.2">
      <c r="A49" s="485">
        <v>0.97</v>
      </c>
      <c r="B49" s="484" t="str">
        <f>CONCATENATE("Total de ocorrências entre - ",G49," e ",H49)</f>
        <v>Total de ocorrências entre - 80 e 99</v>
      </c>
      <c r="C49" s="1283" t="s">
        <v>347</v>
      </c>
      <c r="D49" s="1284"/>
      <c r="E49" s="1284" t="s">
        <v>348</v>
      </c>
      <c r="F49" s="1285"/>
      <c r="G49" s="482">
        <v>80</v>
      </c>
      <c r="H49" s="482">
        <v>99</v>
      </c>
    </row>
    <row r="50" spans="1:8" ht="14.25" customHeight="1" thickBot="1" x14ac:dyDescent="0.25">
      <c r="A50" s="486">
        <v>0.96</v>
      </c>
      <c r="B50" s="487" t="str">
        <f>CONCATENATE("Acima de ",H49,)</f>
        <v>Acima de 99</v>
      </c>
      <c r="C50" s="1295" t="s">
        <v>349</v>
      </c>
      <c r="D50" s="1296"/>
      <c r="E50" s="1296" t="s">
        <v>350</v>
      </c>
      <c r="F50" s="1297"/>
      <c r="G50" s="482">
        <v>100</v>
      </c>
      <c r="H50" s="482"/>
    </row>
    <row r="51" spans="1:8" ht="14.25" customHeight="1" thickBot="1" x14ac:dyDescent="0.25">
      <c r="A51" s="488"/>
      <c r="B51" s="488"/>
      <c r="C51" s="488"/>
      <c r="D51" s="488"/>
      <c r="E51" s="488"/>
      <c r="F51" s="488"/>
    </row>
    <row r="52" spans="1:8" ht="14.25" customHeight="1" thickBot="1" x14ac:dyDescent="0.3">
      <c r="A52" s="1221" t="s">
        <v>351</v>
      </c>
      <c r="B52" s="1222"/>
      <c r="C52" s="1222"/>
      <c r="D52" s="1222"/>
      <c r="E52" s="1223"/>
      <c r="F52" s="423"/>
    </row>
    <row r="53" spans="1:8" ht="14.25" customHeight="1" x14ac:dyDescent="0.25">
      <c r="A53" s="1298" t="s">
        <v>352</v>
      </c>
      <c r="B53" s="1299"/>
      <c r="C53" s="1299"/>
      <c r="D53" s="1299"/>
      <c r="E53" s="937">
        <v>0</v>
      </c>
      <c r="F53" s="489" t="s">
        <v>353</v>
      </c>
    </row>
    <row r="54" spans="1:8" ht="14.25" customHeight="1" x14ac:dyDescent="0.25">
      <c r="A54" s="1278" t="s">
        <v>354</v>
      </c>
      <c r="B54" s="1279"/>
      <c r="C54" s="1279"/>
      <c r="D54" s="1279"/>
      <c r="E54" s="938">
        <f>IF(E53&gt;=G50,A50,IF(E53&gt;=G49,A49,IF(E53&gt;=G48,A48,IF(E53&gt;=G47,A47,IF(E53&lt;=H46,A46,"VERIFICAR")))))</f>
        <v>1</v>
      </c>
      <c r="F54" s="489" t="s">
        <v>355</v>
      </c>
    </row>
    <row r="55" spans="1:8" ht="14.25" customHeight="1" x14ac:dyDescent="0.25">
      <c r="A55" s="1278" t="s">
        <v>356</v>
      </c>
      <c r="B55" s="1279"/>
      <c r="C55" s="1279"/>
      <c r="D55" s="1279"/>
      <c r="E55" s="490">
        <f>E40</f>
        <v>311963.64000000007</v>
      </c>
      <c r="F55" s="491"/>
    </row>
    <row r="56" spans="1:8" ht="14.25" customHeight="1" thickBot="1" x14ac:dyDescent="0.3">
      <c r="A56" s="1293" t="s">
        <v>357</v>
      </c>
      <c r="B56" s="1294"/>
      <c r="C56" s="1294"/>
      <c r="D56" s="1294"/>
      <c r="E56" s="492">
        <f>E55*E54</f>
        <v>311963.64000000007</v>
      </c>
      <c r="F56" s="489" t="s">
        <v>358</v>
      </c>
    </row>
  </sheetData>
  <sheetProtection sheet="1" objects="1" scenarios="1"/>
  <mergeCells count="51">
    <mergeCell ref="D10:F10"/>
    <mergeCell ref="A13:A28"/>
    <mergeCell ref="J11:L11"/>
    <mergeCell ref="M11:O11"/>
    <mergeCell ref="S11:U11"/>
    <mergeCell ref="G10:I10"/>
    <mergeCell ref="AH9:AH12"/>
    <mergeCell ref="AI9:AI12"/>
    <mergeCell ref="AI13:AI28"/>
    <mergeCell ref="B1:B4"/>
    <mergeCell ref="A5:AI5"/>
    <mergeCell ref="A6:AI6"/>
    <mergeCell ref="A7:AI7"/>
    <mergeCell ref="V8:W8"/>
    <mergeCell ref="X9:AG11"/>
    <mergeCell ref="W9:W12"/>
    <mergeCell ref="A30:V30"/>
    <mergeCell ref="P11:R11"/>
    <mergeCell ref="V11:V12"/>
    <mergeCell ref="D11:F11"/>
    <mergeCell ref="G11:G12"/>
    <mergeCell ref="H11:I11"/>
    <mergeCell ref="A29:C29"/>
    <mergeCell ref="A9:A12"/>
    <mergeCell ref="B9:C11"/>
    <mergeCell ref="D9:V9"/>
    <mergeCell ref="J10:O10"/>
    <mergeCell ref="P10:U10"/>
    <mergeCell ref="A55:D55"/>
    <mergeCell ref="A56:D56"/>
    <mergeCell ref="C48:F48"/>
    <mergeCell ref="C49:F49"/>
    <mergeCell ref="C50:F50"/>
    <mergeCell ref="A52:E52"/>
    <mergeCell ref="A53:D53"/>
    <mergeCell ref="C47:F47"/>
    <mergeCell ref="A54:D54"/>
    <mergeCell ref="A43:F43"/>
    <mergeCell ref="C44:F44"/>
    <mergeCell ref="C45:F45"/>
    <mergeCell ref="C46:F46"/>
    <mergeCell ref="A42:F42"/>
    <mergeCell ref="A38:D38"/>
    <mergeCell ref="A39:D39"/>
    <mergeCell ref="A40:D40"/>
    <mergeCell ref="A37:D37"/>
    <mergeCell ref="A32:F32"/>
    <mergeCell ref="A33:D33"/>
    <mergeCell ref="A34:D34"/>
    <mergeCell ref="A35:D35"/>
    <mergeCell ref="A36:D36"/>
  </mergeCells>
  <printOptions horizontalCentered="1"/>
  <pageMargins left="0.196527777777778" right="0.196527777777778" top="0.56041666666666701" bottom="0.56041666666666701" header="0.39374999999999999" footer="0.39374999999999999"/>
  <pageSetup paperSize="9" scale="29" fitToHeight="0" orientation="landscape" r:id="rId1"/>
  <headerFooter>
    <oddHeader>&amp;C&amp;12&amp;A</oddHeader>
    <oddFooter>&amp;C&amp;12&amp;P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6EB4-8255-4BE5-9734-8595B2F003DD}">
  <sheetPr>
    <tabColor rgb="FFFFFFA6"/>
    <pageSetUpPr fitToPage="1"/>
  </sheetPr>
  <dimension ref="A1:Z30"/>
  <sheetViews>
    <sheetView showGridLines="0" view="pageBreakPreview" topLeftCell="A4" zoomScaleNormal="85" zoomScaleSheetLayoutView="100" workbookViewId="0">
      <selection activeCell="V10" sqref="V10"/>
    </sheetView>
  </sheetViews>
  <sheetFormatPr defaultColWidth="13.83203125" defaultRowHeight="15" customHeight="1" x14ac:dyDescent="0.25"/>
  <cols>
    <col min="1" max="1" width="39.1640625" style="59" customWidth="1"/>
    <col min="2" max="2" width="14.1640625" style="59" customWidth="1"/>
    <col min="3" max="3" width="12" style="59" customWidth="1"/>
    <col min="4" max="8" width="18.1640625" style="59" customWidth="1"/>
    <col min="9" max="9" width="14.1640625" style="59" customWidth="1"/>
    <col min="10" max="10" width="15" style="59" customWidth="1"/>
    <col min="11" max="11" width="13" style="59" customWidth="1"/>
    <col min="12" max="12" width="14" style="59" customWidth="1"/>
    <col min="13" max="13" width="11.83203125" style="59" customWidth="1"/>
    <col min="14" max="14" width="14.1640625" style="59" customWidth="1"/>
    <col min="15" max="15" width="12.1640625" style="59" bestFit="1" customWidth="1"/>
    <col min="16" max="16" width="15" style="59" customWidth="1"/>
    <col min="17" max="23" width="13.33203125" style="59" customWidth="1"/>
    <col min="24" max="26" width="21.83203125" style="59" customWidth="1"/>
    <col min="27" max="216" width="9.33203125" style="59" customWidth="1"/>
    <col min="217" max="217" width="7" style="59" customWidth="1"/>
    <col min="218" max="218" width="45.83203125" style="59" customWidth="1"/>
    <col min="219" max="219" width="10" style="59" customWidth="1"/>
    <col min="220" max="223" width="14.1640625" style="59" customWidth="1"/>
    <col min="224" max="16384" width="13.83203125" style="59"/>
  </cols>
  <sheetData>
    <row r="1" spans="1:26" ht="12" customHeight="1" x14ac:dyDescent="0.25">
      <c r="A1" s="942"/>
      <c r="B1" s="943"/>
      <c r="C1" s="891"/>
      <c r="D1" s="891"/>
      <c r="E1" s="891"/>
      <c r="F1" s="891"/>
      <c r="G1" s="891"/>
      <c r="H1" s="891"/>
      <c r="I1" s="891"/>
      <c r="J1" s="891"/>
      <c r="K1" s="891"/>
      <c r="L1" s="891"/>
      <c r="M1" s="891"/>
      <c r="N1" s="891"/>
      <c r="O1" s="891"/>
      <c r="P1" s="891"/>
      <c r="Q1" s="891"/>
      <c r="R1" s="891"/>
      <c r="S1" s="891"/>
      <c r="T1" s="891"/>
      <c r="U1" s="891"/>
      <c r="V1" s="891"/>
      <c r="W1" s="891"/>
      <c r="X1" s="891"/>
      <c r="Y1" s="891"/>
      <c r="Z1" s="944"/>
    </row>
    <row r="2" spans="1:26" ht="12" customHeight="1" x14ac:dyDescent="0.25">
      <c r="A2" s="945"/>
      <c r="B2" s="945" t="s">
        <v>120</v>
      </c>
      <c r="C2" s="895"/>
      <c r="D2" s="895"/>
      <c r="E2" s="895"/>
      <c r="F2" s="895"/>
      <c r="G2" s="895"/>
      <c r="H2" s="895"/>
      <c r="I2" s="895"/>
      <c r="J2" s="895"/>
      <c r="K2" s="895"/>
      <c r="L2" s="895"/>
      <c r="M2" s="895"/>
      <c r="N2" s="895"/>
      <c r="O2" s="895"/>
      <c r="P2" s="895"/>
      <c r="Q2" s="895"/>
      <c r="R2" s="895"/>
      <c r="S2" s="895"/>
      <c r="T2" s="895"/>
      <c r="U2" s="895"/>
      <c r="V2" s="895"/>
      <c r="W2" s="895"/>
      <c r="X2" s="895"/>
      <c r="Y2" s="895"/>
      <c r="Z2" s="946"/>
    </row>
    <row r="3" spans="1:26" x14ac:dyDescent="0.25">
      <c r="A3" s="884"/>
      <c r="B3" s="784" t="s">
        <v>1</v>
      </c>
      <c r="C3" s="895"/>
      <c r="D3" s="895"/>
      <c r="E3" s="895"/>
      <c r="F3" s="895"/>
      <c r="G3" s="895"/>
      <c r="H3" s="895"/>
      <c r="I3" s="895"/>
      <c r="J3" s="895"/>
      <c r="K3" s="895"/>
      <c r="L3" s="895"/>
      <c r="M3" s="895"/>
      <c r="N3" s="895"/>
      <c r="O3" s="895"/>
      <c r="P3" s="895"/>
      <c r="Q3" s="895"/>
      <c r="R3" s="895"/>
      <c r="S3" s="895"/>
      <c r="T3" s="895"/>
      <c r="U3" s="895"/>
      <c r="V3" s="895"/>
      <c r="W3" s="895"/>
      <c r="X3" s="895"/>
      <c r="Y3" s="895"/>
      <c r="Z3" s="946"/>
    </row>
    <row r="4" spans="1:26" x14ac:dyDescent="0.25">
      <c r="A4" s="884"/>
      <c r="B4" s="784" t="s">
        <v>2</v>
      </c>
      <c r="C4" s="895"/>
      <c r="D4" s="895"/>
      <c r="E4" s="895"/>
      <c r="F4" s="895"/>
      <c r="G4" s="895"/>
      <c r="H4" s="895"/>
      <c r="I4" s="895"/>
      <c r="J4" s="895"/>
      <c r="K4" s="895"/>
      <c r="L4" s="895"/>
      <c r="M4" s="895"/>
      <c r="N4" s="895"/>
      <c r="O4" s="895"/>
      <c r="P4" s="895"/>
      <c r="Q4" s="895"/>
      <c r="R4" s="895"/>
      <c r="S4" s="895"/>
      <c r="T4" s="895"/>
      <c r="U4" s="895"/>
      <c r="V4" s="895"/>
      <c r="W4" s="895"/>
      <c r="X4" s="895"/>
      <c r="Y4" s="895"/>
      <c r="Z4" s="946"/>
    </row>
    <row r="5" spans="1:26" x14ac:dyDescent="0.25">
      <c r="A5" s="885"/>
      <c r="B5" s="785" t="s">
        <v>223</v>
      </c>
      <c r="C5" s="899"/>
      <c r="D5" s="899"/>
      <c r="E5" s="899"/>
      <c r="F5" s="899"/>
      <c r="G5" s="899"/>
      <c r="H5" s="899"/>
      <c r="I5" s="899"/>
      <c r="J5" s="899"/>
      <c r="K5" s="899"/>
      <c r="L5" s="899"/>
      <c r="M5" s="899"/>
      <c r="N5" s="899"/>
      <c r="O5" s="899"/>
      <c r="P5" s="899"/>
      <c r="Q5" s="899"/>
      <c r="R5" s="899"/>
      <c r="S5" s="899"/>
      <c r="T5" s="899"/>
      <c r="U5" s="899"/>
      <c r="V5" s="899"/>
      <c r="W5" s="899"/>
      <c r="X5" s="899"/>
      <c r="Y5" s="899"/>
      <c r="Z5" s="947"/>
    </row>
    <row r="6" spans="1:26" s="131" customFormat="1" ht="18" customHeight="1" x14ac:dyDescent="0.2">
      <c r="A6" s="765" t="str">
        <f>'Resumo_1.1'!$A$5</f>
        <v>ANEXO II-1.1 – PLANILHA DE CUSTOS E FORMAÇÃO DE PREÇOS DO LICITANTE – EQUIPE RESIDENTE</v>
      </c>
      <c r="B6" s="302"/>
      <c r="C6" s="302"/>
      <c r="D6" s="302"/>
      <c r="E6" s="302"/>
      <c r="F6" s="302"/>
      <c r="G6" s="302"/>
      <c r="H6" s="302"/>
      <c r="I6" s="302"/>
      <c r="J6" s="302"/>
      <c r="K6" s="302"/>
      <c r="L6" s="302"/>
      <c r="M6" s="302"/>
      <c r="N6" s="302"/>
      <c r="O6" s="302"/>
      <c r="P6" s="302"/>
    </row>
    <row r="7" spans="1:26" s="131" customFormat="1" ht="18" customHeight="1" x14ac:dyDescent="0.2">
      <c r="A7" s="301" t="s">
        <v>359</v>
      </c>
      <c r="B7" s="302"/>
      <c r="C7" s="302"/>
      <c r="D7" s="302"/>
      <c r="E7" s="302"/>
      <c r="F7" s="302"/>
      <c r="G7" s="302"/>
      <c r="H7" s="302"/>
      <c r="I7" s="302"/>
      <c r="J7" s="302"/>
      <c r="K7" s="302"/>
      <c r="L7" s="302"/>
      <c r="M7" s="302"/>
      <c r="N7" s="302"/>
      <c r="O7" s="302"/>
      <c r="P7" s="302"/>
    </row>
    <row r="8" spans="1:26" s="131" customFormat="1" ht="75" x14ac:dyDescent="0.2">
      <c r="A8" s="299" t="s">
        <v>360</v>
      </c>
      <c r="B8" s="1342" t="s">
        <v>361</v>
      </c>
      <c r="C8" s="1343"/>
      <c r="D8" s="300" t="s">
        <v>362</v>
      </c>
      <c r="E8" s="300" t="s">
        <v>363</v>
      </c>
      <c r="F8" s="300" t="s">
        <v>364</v>
      </c>
      <c r="G8" s="300" t="s">
        <v>365</v>
      </c>
      <c r="H8" s="300" t="s">
        <v>366</v>
      </c>
      <c r="I8" s="300" t="s">
        <v>367</v>
      </c>
      <c r="J8" s="300" t="s">
        <v>368</v>
      </c>
      <c r="K8" s="300" t="s">
        <v>369</v>
      </c>
      <c r="L8" s="507" t="s">
        <v>370</v>
      </c>
      <c r="M8" s="300" t="s">
        <v>371</v>
      </c>
      <c r="N8" s="300" t="s">
        <v>372</v>
      </c>
      <c r="O8" s="300" t="s">
        <v>373</v>
      </c>
      <c r="P8" s="300" t="s">
        <v>374</v>
      </c>
      <c r="Q8" s="300" t="s">
        <v>375</v>
      </c>
      <c r="R8" s="300" t="s">
        <v>376</v>
      </c>
      <c r="S8" s="300" t="s">
        <v>377</v>
      </c>
      <c r="T8" s="300" t="s">
        <v>378</v>
      </c>
      <c r="U8" s="300" t="s">
        <v>372</v>
      </c>
      <c r="V8" s="300" t="s">
        <v>373</v>
      </c>
      <c r="W8" s="300" t="s">
        <v>379</v>
      </c>
      <c r="X8" s="300" t="s">
        <v>380</v>
      </c>
      <c r="Y8" s="505" t="s">
        <v>381</v>
      </c>
      <c r="Z8" s="505" t="s">
        <v>381</v>
      </c>
    </row>
    <row r="9" spans="1:26" s="131" customFormat="1" ht="33" customHeight="1" x14ac:dyDescent="0.2">
      <c r="A9" s="299" t="s">
        <v>382</v>
      </c>
      <c r="B9" s="1341" t="s">
        <v>231</v>
      </c>
      <c r="C9" s="1341"/>
      <c r="D9" s="296" t="s">
        <v>231</v>
      </c>
      <c r="E9" s="296" t="s">
        <v>4480</v>
      </c>
      <c r="F9" s="298" t="s">
        <v>4483</v>
      </c>
      <c r="G9" s="296" t="s">
        <v>4484</v>
      </c>
      <c r="H9" s="970">
        <v>0.2</v>
      </c>
      <c r="I9" s="298">
        <v>20</v>
      </c>
      <c r="J9" s="298">
        <v>380.02</v>
      </c>
      <c r="K9" s="746">
        <v>0.2</v>
      </c>
      <c r="L9" s="1138" t="s">
        <v>88</v>
      </c>
      <c r="M9" s="506">
        <v>42</v>
      </c>
      <c r="N9" s="747">
        <v>0.2</v>
      </c>
      <c r="O9" s="1137">
        <f>Dados!$G$47</f>
        <v>22</v>
      </c>
      <c r="P9" s="1138" t="s">
        <v>88</v>
      </c>
      <c r="Q9" s="298"/>
      <c r="R9" s="747">
        <v>0</v>
      </c>
      <c r="S9" s="1138" t="s">
        <v>88</v>
      </c>
      <c r="T9" s="298"/>
      <c r="U9" s="747">
        <v>0</v>
      </c>
      <c r="V9" s="1137">
        <f>Dados!$G$47</f>
        <v>22</v>
      </c>
      <c r="W9" s="1138" t="s">
        <v>88</v>
      </c>
      <c r="X9" s="298"/>
      <c r="Y9" s="298"/>
      <c r="Z9" s="298"/>
    </row>
    <row r="10" spans="1:26" s="131" customFormat="1" ht="33" customHeight="1" x14ac:dyDescent="0.2">
      <c r="A10" s="299" t="s">
        <v>383</v>
      </c>
      <c r="B10" s="1341" t="s">
        <v>248</v>
      </c>
      <c r="C10" s="1341"/>
      <c r="D10" s="297" t="s">
        <v>248</v>
      </c>
      <c r="E10" s="297" t="s">
        <v>4481</v>
      </c>
      <c r="F10" s="297" t="s">
        <v>4482</v>
      </c>
      <c r="G10" s="297" t="s">
        <v>4485</v>
      </c>
      <c r="H10" s="970">
        <v>0.39</v>
      </c>
      <c r="I10" s="298">
        <v>20</v>
      </c>
      <c r="J10" s="298">
        <v>0</v>
      </c>
      <c r="K10" s="746"/>
      <c r="L10" s="1138" t="s">
        <v>88</v>
      </c>
      <c r="M10" s="506">
        <v>31.34</v>
      </c>
      <c r="N10" s="747">
        <v>0.2</v>
      </c>
      <c r="O10" s="1137">
        <f>Dados!$G$47</f>
        <v>22</v>
      </c>
      <c r="P10" s="1138" t="s">
        <v>88</v>
      </c>
      <c r="Q10" s="298">
        <v>200</v>
      </c>
      <c r="R10" s="747">
        <v>0</v>
      </c>
      <c r="S10" s="1138" t="s">
        <v>88</v>
      </c>
      <c r="T10" s="298"/>
      <c r="U10" s="747">
        <v>0</v>
      </c>
      <c r="V10" s="1137">
        <f>Dados!$G$47</f>
        <v>22</v>
      </c>
      <c r="W10" s="1138" t="s">
        <v>88</v>
      </c>
      <c r="X10" s="298">
        <v>103.09</v>
      </c>
      <c r="Y10" s="298"/>
      <c r="Z10" s="298"/>
    </row>
    <row r="11" spans="1:26" s="131" customFormat="1" ht="33" customHeight="1" x14ac:dyDescent="0.2">
      <c r="A11" s="299" t="s">
        <v>384</v>
      </c>
      <c r="B11" s="1340" t="s">
        <v>385</v>
      </c>
      <c r="C11" s="1340"/>
      <c r="D11" s="297"/>
      <c r="E11" s="297"/>
      <c r="F11" s="297"/>
      <c r="G11" s="297"/>
      <c r="H11" s="297"/>
      <c r="I11" s="298"/>
      <c r="J11" s="298"/>
      <c r="K11" s="746">
        <v>0</v>
      </c>
      <c r="L11" s="1138"/>
      <c r="M11" s="506"/>
      <c r="N11" s="747">
        <v>0</v>
      </c>
      <c r="O11" s="1137">
        <f>Dados!$G$47</f>
        <v>22</v>
      </c>
      <c r="P11" s="1138"/>
      <c r="Q11" s="298"/>
      <c r="R11" s="747">
        <v>0</v>
      </c>
      <c r="S11" s="1138"/>
      <c r="T11" s="298"/>
      <c r="U11" s="747">
        <v>0</v>
      </c>
      <c r="V11" s="1137">
        <f>Dados!$G$47</f>
        <v>22</v>
      </c>
      <c r="W11" s="1138"/>
      <c r="X11" s="298"/>
      <c r="Y11" s="298"/>
      <c r="Z11" s="298"/>
    </row>
    <row r="12" spans="1:26" s="131" customFormat="1" ht="33" customHeight="1" x14ac:dyDescent="0.2">
      <c r="A12" s="299" t="s">
        <v>384</v>
      </c>
      <c r="B12" s="1340" t="s">
        <v>386</v>
      </c>
      <c r="C12" s="1340"/>
      <c r="D12" s="296"/>
      <c r="E12" s="296"/>
      <c r="F12" s="298"/>
      <c r="G12" s="296"/>
      <c r="H12" s="296"/>
      <c r="I12" s="298"/>
      <c r="J12" s="298"/>
      <c r="K12" s="746">
        <v>0</v>
      </c>
      <c r="L12" s="1138" t="s">
        <v>88</v>
      </c>
      <c r="M12" s="506"/>
      <c r="N12" s="747">
        <v>0</v>
      </c>
      <c r="O12" s="1137">
        <f>Dados!$G$47</f>
        <v>22</v>
      </c>
      <c r="P12" s="1138" t="s">
        <v>88</v>
      </c>
      <c r="Q12" s="298"/>
      <c r="R12" s="747">
        <v>0</v>
      </c>
      <c r="S12" s="1138" t="s">
        <v>88</v>
      </c>
      <c r="T12" s="298"/>
      <c r="U12" s="747">
        <v>0</v>
      </c>
      <c r="V12" s="1137">
        <f>Dados!$G$47</f>
        <v>22</v>
      </c>
      <c r="W12" s="1138" t="s">
        <v>88</v>
      </c>
      <c r="X12" s="298"/>
      <c r="Y12" s="298"/>
      <c r="Z12" s="298"/>
    </row>
    <row r="13" spans="1:26" s="131" customFormat="1" ht="33" customHeight="1" x14ac:dyDescent="0.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row>
    <row r="14" spans="1:26" s="131" customFormat="1" ht="75" x14ac:dyDescent="0.2">
      <c r="A14" s="300" t="s">
        <v>26</v>
      </c>
      <c r="B14" s="300" t="s">
        <v>27</v>
      </c>
      <c r="C14" s="300" t="s">
        <v>387</v>
      </c>
      <c r="D14" s="306" t="s">
        <v>388</v>
      </c>
      <c r="E14" s="300" t="s">
        <v>363</v>
      </c>
      <c r="F14" s="300" t="s">
        <v>364</v>
      </c>
      <c r="G14" s="300" t="s">
        <v>365</v>
      </c>
      <c r="H14" s="300" t="s">
        <v>366</v>
      </c>
      <c r="I14" s="300" t="s">
        <v>367</v>
      </c>
      <c r="J14" s="300" t="s">
        <v>368</v>
      </c>
      <c r="K14" s="300" t="s">
        <v>369</v>
      </c>
      <c r="L14" s="300" t="s">
        <v>370</v>
      </c>
      <c r="M14" s="300" t="s">
        <v>371</v>
      </c>
      <c r="N14" s="300" t="s">
        <v>372</v>
      </c>
      <c r="O14" s="300" t="s">
        <v>373</v>
      </c>
      <c r="P14" s="300" t="s">
        <v>374</v>
      </c>
      <c r="Q14" s="300" t="s">
        <v>375</v>
      </c>
      <c r="R14" s="300" t="s">
        <v>376</v>
      </c>
      <c r="S14" s="300" t="s">
        <v>377</v>
      </c>
      <c r="T14" s="300" t="s">
        <v>378</v>
      </c>
      <c r="U14" s="300" t="s">
        <v>372</v>
      </c>
      <c r="V14" s="300" t="s">
        <v>373</v>
      </c>
      <c r="W14" s="300" t="s">
        <v>379</v>
      </c>
      <c r="X14" s="300" t="s">
        <v>380</v>
      </c>
      <c r="Y14" s="300" t="s">
        <v>381</v>
      </c>
      <c r="Z14" s="300" t="s">
        <v>381</v>
      </c>
    </row>
    <row r="15" spans="1:26" s="131" customFormat="1" ht="28.15" customHeight="1" x14ac:dyDescent="0.2">
      <c r="A15" s="305" t="str">
        <f>Dados!B11</f>
        <v>Engenheiro de Manutenção (Pleno)</v>
      </c>
      <c r="B15" s="139">
        <f>Dados!C11</f>
        <v>220</v>
      </c>
      <c r="C15" s="298">
        <v>13347.64</v>
      </c>
      <c r="D15" s="296" t="s">
        <v>231</v>
      </c>
      <c r="E15" s="1131" t="str">
        <f t="shared" ref="E15:E30" si="0">VLOOKUP(D15,$B$9:$Z$12,4,FALSE)</f>
        <v>MG003645/2025</v>
      </c>
      <c r="F15" s="1132" t="str">
        <f t="shared" ref="F15:F30" si="1">VLOOKUP(D15,$B$9:$Z$12,5,FALSE)</f>
        <v>01/05/2025 à 30/04/2026</v>
      </c>
      <c r="G15" s="1131" t="str">
        <f t="shared" ref="G15:G30" si="2">VLOOKUP(D15,$B$9:$Z$12,6,FALSE)</f>
        <v>01º de maio</v>
      </c>
      <c r="H15" s="971">
        <v>0.25</v>
      </c>
      <c r="I15" s="1132">
        <f>VLOOKUP(D15,$B$9:$Z$12,8,FALSE)</f>
        <v>20</v>
      </c>
      <c r="J15" s="1132">
        <f>VLOOKUP(D15,$B$9:$Z$12,9,FALSE)</f>
        <v>380.02</v>
      </c>
      <c r="K15" s="1134">
        <f>IF(D15="SINAENCO",IF(C15&gt;10860.6,20%,30%),VLOOKUP(D15,$B$8:$K$12,10,FALSE))</f>
        <v>0.2</v>
      </c>
      <c r="L15" s="1135">
        <f t="shared" ref="L15:L21" si="3">J15*K15</f>
        <v>76.004000000000005</v>
      </c>
      <c r="M15" s="1132">
        <f>VLOOKUP(D15,$B$9:$Z$12,12,FALSE)</f>
        <v>42</v>
      </c>
      <c r="N15" s="1136">
        <f>VLOOKUP(D15,$B$9:$Z$12,13,FALSE)</f>
        <v>0.2</v>
      </c>
      <c r="O15" s="1135">
        <f>VLOOKUP(D15,$B$9:$Z$12,14,FALSE)</f>
        <v>22</v>
      </c>
      <c r="P15" s="1137">
        <f>ROUND((M15*(100%-N15)*O15),2)</f>
        <v>739.2</v>
      </c>
      <c r="Q15" s="1132">
        <f>VLOOKUP(D15,$B$9:$Z$12,16,FALSE)</f>
        <v>0</v>
      </c>
      <c r="R15" s="1136">
        <f>VLOOKUP(D15,$B$9:$Z$12,17,FALSE)</f>
        <v>0</v>
      </c>
      <c r="S15" s="1135">
        <f t="shared" ref="S15:S21" si="4">Q15*(100%-R15)</f>
        <v>0</v>
      </c>
      <c r="T15" s="1132">
        <f>VLOOKUP(D15,$B$9:$Z$12,19,FALSE)</f>
        <v>0</v>
      </c>
      <c r="U15" s="1136">
        <f>VLOOKUP(D15,$B$9:$Z$12,20,FALSE)</f>
        <v>0</v>
      </c>
      <c r="V15" s="1135">
        <f>VLOOKUP(D15,$B$9:$Z$12,21,FALSE)</f>
        <v>22</v>
      </c>
      <c r="W15" s="1137">
        <f>IF(D15="SINDUSCON",IF(C15&gt;5*Dados!$E$31,0,T15*(100%-U15)*V15),T15*(100%-U15)*V15)</f>
        <v>0</v>
      </c>
      <c r="X15" s="1132">
        <f>VLOOKUP(D15,$B$9:$Z$12,23,FALSE)</f>
        <v>0</v>
      </c>
      <c r="Y15" s="1132">
        <f>VLOOKUP(D15,$B$9:$Z$12,24,FALSE)</f>
        <v>0</v>
      </c>
      <c r="Z15" s="1132">
        <f>VLOOKUP(D15,$B$9:$Z$12,25,FALSE)</f>
        <v>0</v>
      </c>
    </row>
    <row r="16" spans="1:26" s="131" customFormat="1" ht="28.15" customHeight="1" x14ac:dyDescent="0.2">
      <c r="A16" s="305" t="str">
        <f>Dados!B12</f>
        <v>Líder Técnico</v>
      </c>
      <c r="B16" s="139">
        <f>Dados!C12</f>
        <v>220</v>
      </c>
      <c r="C16" s="298">
        <v>4111.95</v>
      </c>
      <c r="D16" s="296" t="s">
        <v>231</v>
      </c>
      <c r="E16" s="1131" t="str">
        <f t="shared" si="0"/>
        <v>MG003645/2025</v>
      </c>
      <c r="F16" s="1132" t="str">
        <f t="shared" si="1"/>
        <v>01/05/2025 à 30/04/2026</v>
      </c>
      <c r="G16" s="1131" t="str">
        <f t="shared" si="2"/>
        <v>01º de maio</v>
      </c>
      <c r="H16" s="1133">
        <f t="shared" ref="H16:H30" si="5">VLOOKUP(D16,$B$9:$Z$12,7,FALSE)</f>
        <v>0.2</v>
      </c>
      <c r="I16" s="1132">
        <f t="shared" ref="I16:I30" si="6">VLOOKUP(D16,$B$9:$Z$12,8,FALSE)</f>
        <v>20</v>
      </c>
      <c r="J16" s="1132">
        <f t="shared" ref="J16:J30" si="7">VLOOKUP(D16,$B$9:$Z$12,9,FALSE)</f>
        <v>380.02</v>
      </c>
      <c r="K16" s="1134">
        <f t="shared" ref="K16:K30" si="8">IF(D16="SINAENCO",IF(C16&gt;10860.6,20%,30%),VLOOKUP(D16,$B$8:$K$12,10,FALSE))</f>
        <v>0.3</v>
      </c>
      <c r="L16" s="1135">
        <f t="shared" si="3"/>
        <v>114.00599999999999</v>
      </c>
      <c r="M16" s="1132">
        <f t="shared" ref="M16:M30" si="9">VLOOKUP(D16,$B$9:$Z$12,12,FALSE)</f>
        <v>42</v>
      </c>
      <c r="N16" s="1136">
        <f t="shared" ref="N16:N30" si="10">VLOOKUP(D16,$B$9:$Z$12,13,FALSE)</f>
        <v>0.2</v>
      </c>
      <c r="O16" s="1135">
        <f t="shared" ref="O16:O30" si="11">VLOOKUP(D16,$B$9:$Z$12,14,FALSE)</f>
        <v>22</v>
      </c>
      <c r="P16" s="1137">
        <f t="shared" ref="P16:P30" si="12">ROUND((M16*(100%-N16)*O16),2)</f>
        <v>739.2</v>
      </c>
      <c r="Q16" s="1132">
        <f t="shared" ref="Q16:Q30" si="13">VLOOKUP(D16,$B$9:$Z$12,16,FALSE)</f>
        <v>0</v>
      </c>
      <c r="R16" s="1136">
        <f t="shared" ref="R16:R30" si="14">VLOOKUP(D16,$B$9:$Z$12,17,FALSE)</f>
        <v>0</v>
      </c>
      <c r="S16" s="1135">
        <f t="shared" si="4"/>
        <v>0</v>
      </c>
      <c r="T16" s="1132">
        <f t="shared" ref="T16:T30" si="15">VLOOKUP(D16,$B$9:$Z$12,19,FALSE)</f>
        <v>0</v>
      </c>
      <c r="U16" s="1136">
        <f t="shared" ref="U16:U30" si="16">VLOOKUP(D16,$B$9:$Z$12,20,FALSE)</f>
        <v>0</v>
      </c>
      <c r="V16" s="1135">
        <f t="shared" ref="V16:V30" si="17">VLOOKUP(D16,$B$9:$Z$12,21,FALSE)</f>
        <v>22</v>
      </c>
      <c r="W16" s="1137">
        <f>IF(D16="SINDUSCON",IF(C16&gt;5*Dados!$E$31,0,T16*(100%-U16)*V16),T16*(100%-U16)*V16)</f>
        <v>0</v>
      </c>
      <c r="X16" s="1132">
        <f t="shared" ref="X16:X30" si="18">VLOOKUP(D16,$B$9:$Z$12,23,FALSE)</f>
        <v>0</v>
      </c>
      <c r="Y16" s="1132">
        <f t="shared" ref="Y16:Y30" si="19">VLOOKUP(D16,$B$9:$Z$12,24,FALSE)</f>
        <v>0</v>
      </c>
      <c r="Z16" s="1132">
        <f t="shared" ref="Z16:Z30" si="20">VLOOKUP(D16,$B$9:$Z$12,25,FALSE)</f>
        <v>0</v>
      </c>
    </row>
    <row r="17" spans="1:26" ht="28.15" customHeight="1" x14ac:dyDescent="0.25">
      <c r="A17" s="305" t="str">
        <f>Dados!B13</f>
        <v>Assistente de Engenharia</v>
      </c>
      <c r="B17" s="139">
        <f>Dados!C13</f>
        <v>220</v>
      </c>
      <c r="C17" s="298">
        <v>3809.45</v>
      </c>
      <c r="D17" s="296" t="s">
        <v>231</v>
      </c>
      <c r="E17" s="1131" t="str">
        <f t="shared" si="0"/>
        <v>MG003645/2025</v>
      </c>
      <c r="F17" s="1132" t="str">
        <f t="shared" si="1"/>
        <v>01/05/2025 à 30/04/2026</v>
      </c>
      <c r="G17" s="1131" t="str">
        <f t="shared" si="2"/>
        <v>01º de maio</v>
      </c>
      <c r="H17" s="1133">
        <f t="shared" si="5"/>
        <v>0.2</v>
      </c>
      <c r="I17" s="1132">
        <f t="shared" si="6"/>
        <v>20</v>
      </c>
      <c r="J17" s="1132">
        <f t="shared" si="7"/>
        <v>380.02</v>
      </c>
      <c r="K17" s="1134">
        <f t="shared" si="8"/>
        <v>0.3</v>
      </c>
      <c r="L17" s="1135">
        <f t="shared" si="3"/>
        <v>114.00599999999999</v>
      </c>
      <c r="M17" s="1132">
        <f t="shared" si="9"/>
        <v>42</v>
      </c>
      <c r="N17" s="1136">
        <f t="shared" si="10"/>
        <v>0.2</v>
      </c>
      <c r="O17" s="1135">
        <f t="shared" si="11"/>
        <v>22</v>
      </c>
      <c r="P17" s="1137">
        <f t="shared" si="12"/>
        <v>739.2</v>
      </c>
      <c r="Q17" s="1132">
        <f t="shared" si="13"/>
        <v>0</v>
      </c>
      <c r="R17" s="1136">
        <f t="shared" si="14"/>
        <v>0</v>
      </c>
      <c r="S17" s="1135">
        <f t="shared" si="4"/>
        <v>0</v>
      </c>
      <c r="T17" s="1132">
        <f t="shared" si="15"/>
        <v>0</v>
      </c>
      <c r="U17" s="1136">
        <f t="shared" si="16"/>
        <v>0</v>
      </c>
      <c r="V17" s="1135">
        <f t="shared" si="17"/>
        <v>22</v>
      </c>
      <c r="W17" s="1137">
        <f>IF(D17="SINDUSCON",IF(C17&gt;5*Dados!$E$31,0,T17*(100%-U17)*V17),T17*(100%-U17)*V17)</f>
        <v>0</v>
      </c>
      <c r="X17" s="1132">
        <f t="shared" si="18"/>
        <v>0</v>
      </c>
      <c r="Y17" s="1132">
        <f t="shared" si="19"/>
        <v>0</v>
      </c>
      <c r="Z17" s="1132">
        <f t="shared" si="20"/>
        <v>0</v>
      </c>
    </row>
    <row r="18" spans="1:26" ht="28.15" customHeight="1" x14ac:dyDescent="0.25">
      <c r="A18" s="305" t="str">
        <f>Dados!B14</f>
        <v>Técnico em Edificações</v>
      </c>
      <c r="B18" s="139">
        <f>Dados!C14</f>
        <v>220</v>
      </c>
      <c r="C18" s="298">
        <v>3606.93</v>
      </c>
      <c r="D18" s="296" t="s">
        <v>231</v>
      </c>
      <c r="E18" s="1131" t="str">
        <f t="shared" si="0"/>
        <v>MG003645/2025</v>
      </c>
      <c r="F18" s="1132" t="str">
        <f t="shared" si="1"/>
        <v>01/05/2025 à 30/04/2026</v>
      </c>
      <c r="G18" s="1131" t="str">
        <f t="shared" si="2"/>
        <v>01º de maio</v>
      </c>
      <c r="H18" s="1133">
        <f t="shared" si="5"/>
        <v>0.2</v>
      </c>
      <c r="I18" s="1132">
        <f t="shared" si="6"/>
        <v>20</v>
      </c>
      <c r="J18" s="1132">
        <f t="shared" si="7"/>
        <v>380.02</v>
      </c>
      <c r="K18" s="1134">
        <f t="shared" si="8"/>
        <v>0.3</v>
      </c>
      <c r="L18" s="1135">
        <f t="shared" si="3"/>
        <v>114.00599999999999</v>
      </c>
      <c r="M18" s="1132">
        <f t="shared" si="9"/>
        <v>42</v>
      </c>
      <c r="N18" s="1136">
        <f t="shared" si="10"/>
        <v>0.2</v>
      </c>
      <c r="O18" s="1135">
        <f t="shared" si="11"/>
        <v>22</v>
      </c>
      <c r="P18" s="1137">
        <f t="shared" si="12"/>
        <v>739.2</v>
      </c>
      <c r="Q18" s="1132">
        <f t="shared" si="13"/>
        <v>0</v>
      </c>
      <c r="R18" s="1136">
        <f t="shared" si="14"/>
        <v>0</v>
      </c>
      <c r="S18" s="1135">
        <f t="shared" si="4"/>
        <v>0</v>
      </c>
      <c r="T18" s="1132">
        <f t="shared" si="15"/>
        <v>0</v>
      </c>
      <c r="U18" s="1136">
        <f t="shared" si="16"/>
        <v>0</v>
      </c>
      <c r="V18" s="1135">
        <f t="shared" si="17"/>
        <v>22</v>
      </c>
      <c r="W18" s="1137">
        <f>IF(D18="SINDUSCON",IF(C18&gt;5*Dados!$E$31,0,T18*(100%-U18)*V18),T18*(100%-U18)*V18)</f>
        <v>0</v>
      </c>
      <c r="X18" s="1132">
        <f t="shared" si="18"/>
        <v>0</v>
      </c>
      <c r="Y18" s="1132">
        <f t="shared" si="19"/>
        <v>0</v>
      </c>
      <c r="Z18" s="1132">
        <f t="shared" si="20"/>
        <v>0</v>
      </c>
    </row>
    <row r="19" spans="1:26" s="131" customFormat="1" ht="28.15" customHeight="1" x14ac:dyDescent="0.2">
      <c r="A19" s="305" t="str">
        <f>Dados!B15</f>
        <v>Técnico Eletrotécnico (12x36 diurno) - (EPI Eletricista)</v>
      </c>
      <c r="B19" s="139">
        <f>Dados!C15</f>
        <v>220</v>
      </c>
      <c r="C19" s="298">
        <v>4111.95</v>
      </c>
      <c r="D19" s="296" t="s">
        <v>231</v>
      </c>
      <c r="E19" s="1131" t="str">
        <f t="shared" si="0"/>
        <v>MG003645/2025</v>
      </c>
      <c r="F19" s="1132" t="str">
        <f t="shared" si="1"/>
        <v>01/05/2025 à 30/04/2026</v>
      </c>
      <c r="G19" s="1131" t="str">
        <f t="shared" si="2"/>
        <v>01º de maio</v>
      </c>
      <c r="H19" s="1133">
        <f t="shared" si="5"/>
        <v>0.2</v>
      </c>
      <c r="I19" s="1132">
        <f t="shared" si="6"/>
        <v>20</v>
      </c>
      <c r="J19" s="1132">
        <f t="shared" si="7"/>
        <v>380.02</v>
      </c>
      <c r="K19" s="1134">
        <f t="shared" si="8"/>
        <v>0.3</v>
      </c>
      <c r="L19" s="1135">
        <f t="shared" si="3"/>
        <v>114.00599999999999</v>
      </c>
      <c r="M19" s="1132">
        <f t="shared" si="9"/>
        <v>42</v>
      </c>
      <c r="N19" s="1136">
        <f t="shared" si="10"/>
        <v>0.2</v>
      </c>
      <c r="O19" s="972">
        <v>15.5</v>
      </c>
      <c r="P19" s="1137">
        <f t="shared" si="12"/>
        <v>520.79999999999995</v>
      </c>
      <c r="Q19" s="1132">
        <f t="shared" si="13"/>
        <v>0</v>
      </c>
      <c r="R19" s="1136">
        <f t="shared" si="14"/>
        <v>0</v>
      </c>
      <c r="S19" s="1135">
        <f t="shared" si="4"/>
        <v>0</v>
      </c>
      <c r="T19" s="1132">
        <f t="shared" si="15"/>
        <v>0</v>
      </c>
      <c r="U19" s="1136">
        <f t="shared" si="16"/>
        <v>0</v>
      </c>
      <c r="V19" s="972">
        <v>15.5</v>
      </c>
      <c r="W19" s="1137">
        <f>IF(D19="SINDUSCON",IF(C19&gt;5*Dados!$E$31,0,T19*(100%-U19)*V19),T19*(100%-U19)*V19)</f>
        <v>0</v>
      </c>
      <c r="X19" s="1132">
        <f t="shared" si="18"/>
        <v>0</v>
      </c>
      <c r="Y19" s="1132">
        <f t="shared" si="19"/>
        <v>0</v>
      </c>
      <c r="Z19" s="1132">
        <f t="shared" si="20"/>
        <v>0</v>
      </c>
    </row>
    <row r="20" spans="1:26" ht="28.15" customHeight="1" x14ac:dyDescent="0.25">
      <c r="A20" s="305" t="str">
        <f>Dados!B16</f>
        <v>Técnico Eletrotécnico (12x36 noturno) - (EPI Eletricista)</v>
      </c>
      <c r="B20" s="139">
        <f>Dados!C16</f>
        <v>220</v>
      </c>
      <c r="C20" s="298">
        <v>4111.95</v>
      </c>
      <c r="D20" s="296" t="s">
        <v>231</v>
      </c>
      <c r="E20" s="1131" t="str">
        <f t="shared" si="0"/>
        <v>MG003645/2025</v>
      </c>
      <c r="F20" s="1132" t="str">
        <f t="shared" si="1"/>
        <v>01/05/2025 à 30/04/2026</v>
      </c>
      <c r="G20" s="1131" t="str">
        <f t="shared" si="2"/>
        <v>01º de maio</v>
      </c>
      <c r="H20" s="1133">
        <f t="shared" si="5"/>
        <v>0.2</v>
      </c>
      <c r="I20" s="1132">
        <f t="shared" si="6"/>
        <v>20</v>
      </c>
      <c r="J20" s="1132">
        <f t="shared" si="7"/>
        <v>380.02</v>
      </c>
      <c r="K20" s="1134">
        <f t="shared" si="8"/>
        <v>0.3</v>
      </c>
      <c r="L20" s="1135">
        <f t="shared" si="3"/>
        <v>114.00599999999999</v>
      </c>
      <c r="M20" s="1132">
        <f t="shared" si="9"/>
        <v>42</v>
      </c>
      <c r="N20" s="1136">
        <f t="shared" si="10"/>
        <v>0.2</v>
      </c>
      <c r="O20" s="972">
        <v>15.5</v>
      </c>
      <c r="P20" s="1137">
        <f t="shared" si="12"/>
        <v>520.79999999999995</v>
      </c>
      <c r="Q20" s="1132">
        <f t="shared" si="13"/>
        <v>0</v>
      </c>
      <c r="R20" s="1136">
        <f t="shared" si="14"/>
        <v>0</v>
      </c>
      <c r="S20" s="1135">
        <f t="shared" si="4"/>
        <v>0</v>
      </c>
      <c r="T20" s="1132">
        <f t="shared" si="15"/>
        <v>0</v>
      </c>
      <c r="U20" s="1136">
        <f t="shared" si="16"/>
        <v>0</v>
      </c>
      <c r="V20" s="972">
        <v>15.5</v>
      </c>
      <c r="W20" s="1137">
        <f>IF(D20="SINDUSCON",IF(C20&gt;5*Dados!$E$31,0,T20*(100%-U20)*V20),T20*(100%-U20)*V20)</f>
        <v>0</v>
      </c>
      <c r="X20" s="1132">
        <f t="shared" si="18"/>
        <v>0</v>
      </c>
      <c r="Y20" s="1132">
        <f t="shared" si="19"/>
        <v>0</v>
      </c>
      <c r="Z20" s="1132">
        <f t="shared" si="20"/>
        <v>0</v>
      </c>
    </row>
    <row r="21" spans="1:26" ht="28.15" customHeight="1" x14ac:dyDescent="0.25">
      <c r="A21" s="305" t="str">
        <f>Dados!B17</f>
        <v>Oficial Eletricista - (EPI Eletricista)</v>
      </c>
      <c r="B21" s="139">
        <f>Dados!C17</f>
        <v>220</v>
      </c>
      <c r="C21" s="298">
        <v>2631.2</v>
      </c>
      <c r="D21" s="296" t="s">
        <v>248</v>
      </c>
      <c r="E21" s="1131" t="str">
        <f t="shared" si="0"/>
        <v>MG004404/2025</v>
      </c>
      <c r="F21" s="1132" t="str">
        <f t="shared" si="1"/>
        <v>01/01/2026 à 31/12/2026</v>
      </c>
      <c r="G21" s="1131" t="str">
        <f t="shared" si="2"/>
        <v>01º de janeiro</v>
      </c>
      <c r="H21" s="1133">
        <f t="shared" si="5"/>
        <v>0.39</v>
      </c>
      <c r="I21" s="1132">
        <f t="shared" si="6"/>
        <v>20</v>
      </c>
      <c r="J21" s="1132">
        <f t="shared" si="7"/>
        <v>0</v>
      </c>
      <c r="K21" s="1134">
        <f t="shared" si="8"/>
        <v>0</v>
      </c>
      <c r="L21" s="1135">
        <f t="shared" si="3"/>
        <v>0</v>
      </c>
      <c r="M21" s="1132">
        <f t="shared" si="9"/>
        <v>31.34</v>
      </c>
      <c r="N21" s="1136">
        <f t="shared" si="10"/>
        <v>0.2</v>
      </c>
      <c r="O21" s="1135">
        <f t="shared" si="11"/>
        <v>22</v>
      </c>
      <c r="P21" s="1137">
        <f t="shared" si="12"/>
        <v>551.58000000000004</v>
      </c>
      <c r="Q21" s="1132">
        <f t="shared" si="13"/>
        <v>200</v>
      </c>
      <c r="R21" s="1136">
        <f t="shared" si="14"/>
        <v>0</v>
      </c>
      <c r="S21" s="1135">
        <f t="shared" si="4"/>
        <v>200</v>
      </c>
      <c r="T21" s="1132">
        <f t="shared" si="15"/>
        <v>0</v>
      </c>
      <c r="U21" s="1136">
        <f t="shared" si="16"/>
        <v>0</v>
      </c>
      <c r="V21" s="1135">
        <f t="shared" si="17"/>
        <v>22</v>
      </c>
      <c r="W21" s="1137">
        <f>IF(D21="SINDUSCON",IF(C21&gt;5*Dados!$E$31,0,T21*(100%-U21)*V21),T21*(100%-U21)*V21)</f>
        <v>0</v>
      </c>
      <c r="X21" s="1132">
        <f t="shared" si="18"/>
        <v>103.09</v>
      </c>
      <c r="Y21" s="1132">
        <f t="shared" si="19"/>
        <v>0</v>
      </c>
      <c r="Z21" s="1132">
        <f t="shared" si="20"/>
        <v>0</v>
      </c>
    </row>
    <row r="22" spans="1:26" ht="28.15" customHeight="1" x14ac:dyDescent="0.25">
      <c r="A22" s="305" t="str">
        <f>Dados!B18</f>
        <v>Ajudante de Eletricista - (EPI Eletricista)</v>
      </c>
      <c r="B22" s="139">
        <f>Dados!C18</f>
        <v>220</v>
      </c>
      <c r="C22" s="298">
        <v>2206.27</v>
      </c>
      <c r="D22" s="296" t="s">
        <v>248</v>
      </c>
      <c r="E22" s="1131" t="str">
        <f t="shared" si="0"/>
        <v>MG004404/2025</v>
      </c>
      <c r="F22" s="1132" t="str">
        <f t="shared" si="1"/>
        <v>01/01/2026 à 31/12/2026</v>
      </c>
      <c r="G22" s="1131" t="str">
        <f t="shared" si="2"/>
        <v>01º de janeiro</v>
      </c>
      <c r="H22" s="1133">
        <f t="shared" si="5"/>
        <v>0.39</v>
      </c>
      <c r="I22" s="1132">
        <f t="shared" si="6"/>
        <v>20</v>
      </c>
      <c r="J22" s="1132">
        <f t="shared" si="7"/>
        <v>0</v>
      </c>
      <c r="K22" s="1134">
        <f t="shared" si="8"/>
        <v>0</v>
      </c>
      <c r="L22" s="1135">
        <f t="shared" ref="L22:L30" si="21">J22*K22</f>
        <v>0</v>
      </c>
      <c r="M22" s="1132">
        <f t="shared" si="9"/>
        <v>31.34</v>
      </c>
      <c r="N22" s="1136">
        <f t="shared" si="10"/>
        <v>0.2</v>
      </c>
      <c r="O22" s="1135">
        <f t="shared" si="11"/>
        <v>22</v>
      </c>
      <c r="P22" s="1137">
        <f t="shared" si="12"/>
        <v>551.58000000000004</v>
      </c>
      <c r="Q22" s="1132">
        <f t="shared" si="13"/>
        <v>200</v>
      </c>
      <c r="R22" s="1136">
        <f t="shared" si="14"/>
        <v>0</v>
      </c>
      <c r="S22" s="1135">
        <f t="shared" ref="S22:S30" si="22">Q22*(100%-R22)</f>
        <v>200</v>
      </c>
      <c r="T22" s="1132">
        <f t="shared" si="15"/>
        <v>0</v>
      </c>
      <c r="U22" s="1136">
        <f t="shared" si="16"/>
        <v>0</v>
      </c>
      <c r="V22" s="1135">
        <f t="shared" si="17"/>
        <v>22</v>
      </c>
      <c r="W22" s="1137">
        <f>IF(D22="SINDUSCON",IF(C22&gt;5*Dados!$E$31,0,T22*(100%-U22)*V22),T22*(100%-U22)*V22)</f>
        <v>0</v>
      </c>
      <c r="X22" s="1132">
        <f t="shared" si="18"/>
        <v>103.09</v>
      </c>
      <c r="Y22" s="1132">
        <f t="shared" si="19"/>
        <v>0</v>
      </c>
      <c r="Z22" s="1132">
        <f t="shared" si="20"/>
        <v>0</v>
      </c>
    </row>
    <row r="23" spans="1:26" ht="28.15" customHeight="1" x14ac:dyDescent="0.25">
      <c r="A23" s="305" t="str">
        <f>Dados!B19</f>
        <v>Oficial de Manutenção - (EPI Eletricista)</v>
      </c>
      <c r="B23" s="139">
        <f>Dados!C19</f>
        <v>220</v>
      </c>
      <c r="C23" s="298">
        <v>2631.2</v>
      </c>
      <c r="D23" s="296" t="s">
        <v>248</v>
      </c>
      <c r="E23" s="1131" t="str">
        <f t="shared" si="0"/>
        <v>MG004404/2025</v>
      </c>
      <c r="F23" s="1132" t="str">
        <f t="shared" si="1"/>
        <v>01/01/2026 à 31/12/2026</v>
      </c>
      <c r="G23" s="1131" t="str">
        <f t="shared" si="2"/>
        <v>01º de janeiro</v>
      </c>
      <c r="H23" s="1133">
        <f t="shared" si="5"/>
        <v>0.39</v>
      </c>
      <c r="I23" s="1132">
        <f t="shared" si="6"/>
        <v>20</v>
      </c>
      <c r="J23" s="1132">
        <f t="shared" si="7"/>
        <v>0</v>
      </c>
      <c r="K23" s="1134">
        <f t="shared" si="8"/>
        <v>0</v>
      </c>
      <c r="L23" s="1135">
        <f t="shared" si="21"/>
        <v>0</v>
      </c>
      <c r="M23" s="1132">
        <f t="shared" si="9"/>
        <v>31.34</v>
      </c>
      <c r="N23" s="1136">
        <f t="shared" si="10"/>
        <v>0.2</v>
      </c>
      <c r="O23" s="1135">
        <f t="shared" si="11"/>
        <v>22</v>
      </c>
      <c r="P23" s="1137">
        <f t="shared" si="12"/>
        <v>551.58000000000004</v>
      </c>
      <c r="Q23" s="1132">
        <f t="shared" si="13"/>
        <v>200</v>
      </c>
      <c r="R23" s="1136">
        <f t="shared" si="14"/>
        <v>0</v>
      </c>
      <c r="S23" s="1135">
        <f t="shared" si="22"/>
        <v>200</v>
      </c>
      <c r="T23" s="1132">
        <f t="shared" si="15"/>
        <v>0</v>
      </c>
      <c r="U23" s="1136">
        <f t="shared" si="16"/>
        <v>0</v>
      </c>
      <c r="V23" s="1135">
        <f t="shared" si="17"/>
        <v>22</v>
      </c>
      <c r="W23" s="1137">
        <f>IF(D23="SINDUSCON",IF(C23&gt;5*Dados!$E$31,0,T23*(100%-U23)*V23),T23*(100%-U23)*V23)</f>
        <v>0</v>
      </c>
      <c r="X23" s="1132">
        <f t="shared" si="18"/>
        <v>103.09</v>
      </c>
      <c r="Y23" s="1132">
        <f t="shared" si="19"/>
        <v>0</v>
      </c>
      <c r="Z23" s="1132">
        <f t="shared" si="20"/>
        <v>0</v>
      </c>
    </row>
    <row r="24" spans="1:26" ht="28.15" customHeight="1" x14ac:dyDescent="0.25">
      <c r="A24" s="305" t="str">
        <f>Dados!B20</f>
        <v>Ajudante de Manutenção (meio oficial)</v>
      </c>
      <c r="B24" s="139">
        <f>Dados!C20</f>
        <v>220</v>
      </c>
      <c r="C24" s="298">
        <v>2206.27</v>
      </c>
      <c r="D24" s="296" t="s">
        <v>248</v>
      </c>
      <c r="E24" s="1131" t="str">
        <f t="shared" si="0"/>
        <v>MG004404/2025</v>
      </c>
      <c r="F24" s="1132" t="str">
        <f t="shared" si="1"/>
        <v>01/01/2026 à 31/12/2026</v>
      </c>
      <c r="G24" s="1131" t="str">
        <f t="shared" si="2"/>
        <v>01º de janeiro</v>
      </c>
      <c r="H24" s="1133">
        <f t="shared" si="5"/>
        <v>0.39</v>
      </c>
      <c r="I24" s="1132">
        <f t="shared" si="6"/>
        <v>20</v>
      </c>
      <c r="J24" s="1132">
        <f t="shared" si="7"/>
        <v>0</v>
      </c>
      <c r="K24" s="1134">
        <f t="shared" si="8"/>
        <v>0</v>
      </c>
      <c r="L24" s="1135">
        <f t="shared" si="21"/>
        <v>0</v>
      </c>
      <c r="M24" s="1132">
        <f t="shared" si="9"/>
        <v>31.34</v>
      </c>
      <c r="N24" s="1136">
        <f t="shared" si="10"/>
        <v>0.2</v>
      </c>
      <c r="O24" s="1135">
        <f t="shared" si="11"/>
        <v>22</v>
      </c>
      <c r="P24" s="1137">
        <f t="shared" si="12"/>
        <v>551.58000000000004</v>
      </c>
      <c r="Q24" s="1132">
        <f t="shared" si="13"/>
        <v>200</v>
      </c>
      <c r="R24" s="1136">
        <f t="shared" si="14"/>
        <v>0</v>
      </c>
      <c r="S24" s="1135">
        <f t="shared" si="22"/>
        <v>200</v>
      </c>
      <c r="T24" s="1132">
        <f t="shared" si="15"/>
        <v>0</v>
      </c>
      <c r="U24" s="1136">
        <f t="shared" si="16"/>
        <v>0</v>
      </c>
      <c r="V24" s="1135">
        <f t="shared" si="17"/>
        <v>22</v>
      </c>
      <c r="W24" s="1137">
        <f>IF(D24="SINDUSCON",IF(C24&gt;5*Dados!$E$31,0,T24*(100%-U24)*V24),T24*(100%-U24)*V24)</f>
        <v>0</v>
      </c>
      <c r="X24" s="1132">
        <f t="shared" si="18"/>
        <v>103.09</v>
      </c>
      <c r="Y24" s="1132">
        <f t="shared" si="19"/>
        <v>0</v>
      </c>
      <c r="Z24" s="1132">
        <f t="shared" si="20"/>
        <v>0</v>
      </c>
    </row>
    <row r="25" spans="1:26" ht="28.15" customHeight="1" x14ac:dyDescent="0.25">
      <c r="A25" s="305" t="str">
        <f>Dados!B21</f>
        <v>Oficial em Telecom / Eletrônica</v>
      </c>
      <c r="B25" s="139">
        <f>Dados!C21</f>
        <v>220</v>
      </c>
      <c r="C25" s="298">
        <v>2631.2</v>
      </c>
      <c r="D25" s="296" t="s">
        <v>248</v>
      </c>
      <c r="E25" s="1131" t="str">
        <f t="shared" si="0"/>
        <v>MG004404/2025</v>
      </c>
      <c r="F25" s="1132" t="str">
        <f t="shared" si="1"/>
        <v>01/01/2026 à 31/12/2026</v>
      </c>
      <c r="G25" s="1131" t="str">
        <f t="shared" si="2"/>
        <v>01º de janeiro</v>
      </c>
      <c r="H25" s="1133">
        <f t="shared" si="5"/>
        <v>0.39</v>
      </c>
      <c r="I25" s="1132">
        <f t="shared" si="6"/>
        <v>20</v>
      </c>
      <c r="J25" s="1132">
        <f t="shared" si="7"/>
        <v>0</v>
      </c>
      <c r="K25" s="1134">
        <f t="shared" si="8"/>
        <v>0</v>
      </c>
      <c r="L25" s="1135">
        <f t="shared" si="21"/>
        <v>0</v>
      </c>
      <c r="M25" s="1132">
        <f t="shared" si="9"/>
        <v>31.34</v>
      </c>
      <c r="N25" s="1136">
        <f t="shared" si="10"/>
        <v>0.2</v>
      </c>
      <c r="O25" s="1135">
        <f t="shared" si="11"/>
        <v>22</v>
      </c>
      <c r="P25" s="1137">
        <f t="shared" si="12"/>
        <v>551.58000000000004</v>
      </c>
      <c r="Q25" s="1132">
        <f t="shared" si="13"/>
        <v>200</v>
      </c>
      <c r="R25" s="1136">
        <f t="shared" si="14"/>
        <v>0</v>
      </c>
      <c r="S25" s="1135">
        <f t="shared" si="22"/>
        <v>200</v>
      </c>
      <c r="T25" s="1132">
        <f t="shared" si="15"/>
        <v>0</v>
      </c>
      <c r="U25" s="1136">
        <f t="shared" si="16"/>
        <v>0</v>
      </c>
      <c r="V25" s="1135">
        <f t="shared" si="17"/>
        <v>22</v>
      </c>
      <c r="W25" s="1137">
        <f>IF(D25="SINDUSCON",IF(C25&gt;5*Dados!$E$31,0,T25*(100%-U25)*V25),T25*(100%-U25)*V25)</f>
        <v>0</v>
      </c>
      <c r="X25" s="1132">
        <f t="shared" si="18"/>
        <v>103.09</v>
      </c>
      <c r="Y25" s="1132">
        <f t="shared" si="19"/>
        <v>0</v>
      </c>
      <c r="Z25" s="1132">
        <f t="shared" si="20"/>
        <v>0</v>
      </c>
    </row>
    <row r="26" spans="1:26" ht="28.15" customHeight="1" x14ac:dyDescent="0.25">
      <c r="A26" s="305" t="str">
        <f>Dados!B22</f>
        <v>Oficial Encanador / Bombeiro</v>
      </c>
      <c r="B26" s="139">
        <f>Dados!C22</f>
        <v>220</v>
      </c>
      <c r="C26" s="298">
        <v>2631.2</v>
      </c>
      <c r="D26" s="296" t="s">
        <v>248</v>
      </c>
      <c r="E26" s="1131" t="str">
        <f t="shared" si="0"/>
        <v>MG004404/2025</v>
      </c>
      <c r="F26" s="1132" t="str">
        <f t="shared" si="1"/>
        <v>01/01/2026 à 31/12/2026</v>
      </c>
      <c r="G26" s="1131" t="str">
        <f t="shared" si="2"/>
        <v>01º de janeiro</v>
      </c>
      <c r="H26" s="1133">
        <f t="shared" si="5"/>
        <v>0.39</v>
      </c>
      <c r="I26" s="1132">
        <f t="shared" si="6"/>
        <v>20</v>
      </c>
      <c r="J26" s="1132">
        <f t="shared" si="7"/>
        <v>0</v>
      </c>
      <c r="K26" s="1134">
        <f t="shared" si="8"/>
        <v>0</v>
      </c>
      <c r="L26" s="1135">
        <f t="shared" si="21"/>
        <v>0</v>
      </c>
      <c r="M26" s="1132">
        <f t="shared" si="9"/>
        <v>31.34</v>
      </c>
      <c r="N26" s="1136">
        <f t="shared" si="10"/>
        <v>0.2</v>
      </c>
      <c r="O26" s="1135">
        <f t="shared" si="11"/>
        <v>22</v>
      </c>
      <c r="P26" s="1137">
        <f t="shared" si="12"/>
        <v>551.58000000000004</v>
      </c>
      <c r="Q26" s="1132">
        <f t="shared" si="13"/>
        <v>200</v>
      </c>
      <c r="R26" s="1136">
        <f t="shared" si="14"/>
        <v>0</v>
      </c>
      <c r="S26" s="1135">
        <f t="shared" si="22"/>
        <v>200</v>
      </c>
      <c r="T26" s="1132">
        <f t="shared" si="15"/>
        <v>0</v>
      </c>
      <c r="U26" s="1136">
        <f t="shared" si="16"/>
        <v>0</v>
      </c>
      <c r="V26" s="1135">
        <f t="shared" si="17"/>
        <v>22</v>
      </c>
      <c r="W26" s="1137">
        <f>IF(D26="SINDUSCON",IF(C26&gt;5*Dados!$E$31,0,T26*(100%-U26)*V26),T26*(100%-U26)*V26)</f>
        <v>0</v>
      </c>
      <c r="X26" s="1132">
        <f t="shared" si="18"/>
        <v>103.09</v>
      </c>
      <c r="Y26" s="1132">
        <f t="shared" si="19"/>
        <v>0</v>
      </c>
      <c r="Z26" s="1132">
        <f t="shared" si="20"/>
        <v>0</v>
      </c>
    </row>
    <row r="27" spans="1:26" ht="28.15" customHeight="1" x14ac:dyDescent="0.25">
      <c r="A27" s="305" t="str">
        <f>Dados!B23</f>
        <v>Oficial Marceneiro</v>
      </c>
      <c r="B27" s="139">
        <f>Dados!C23</f>
        <v>220</v>
      </c>
      <c r="C27" s="298">
        <v>2631.2</v>
      </c>
      <c r="D27" s="296" t="s">
        <v>248</v>
      </c>
      <c r="E27" s="1131" t="str">
        <f t="shared" si="0"/>
        <v>MG004404/2025</v>
      </c>
      <c r="F27" s="1132" t="str">
        <f t="shared" si="1"/>
        <v>01/01/2026 à 31/12/2026</v>
      </c>
      <c r="G27" s="1131" t="str">
        <f t="shared" si="2"/>
        <v>01º de janeiro</v>
      </c>
      <c r="H27" s="1133">
        <f t="shared" si="5"/>
        <v>0.39</v>
      </c>
      <c r="I27" s="1132">
        <f t="shared" si="6"/>
        <v>20</v>
      </c>
      <c r="J27" s="1132">
        <f t="shared" si="7"/>
        <v>0</v>
      </c>
      <c r="K27" s="1134">
        <f t="shared" si="8"/>
        <v>0</v>
      </c>
      <c r="L27" s="1135">
        <f t="shared" si="21"/>
        <v>0</v>
      </c>
      <c r="M27" s="1132">
        <f t="shared" si="9"/>
        <v>31.34</v>
      </c>
      <c r="N27" s="1136">
        <f t="shared" si="10"/>
        <v>0.2</v>
      </c>
      <c r="O27" s="1135">
        <f t="shared" si="11"/>
        <v>22</v>
      </c>
      <c r="P27" s="1137">
        <f t="shared" si="12"/>
        <v>551.58000000000004</v>
      </c>
      <c r="Q27" s="1132">
        <f t="shared" si="13"/>
        <v>200</v>
      </c>
      <c r="R27" s="1136">
        <f t="shared" si="14"/>
        <v>0</v>
      </c>
      <c r="S27" s="1135">
        <f t="shared" si="22"/>
        <v>200</v>
      </c>
      <c r="T27" s="1132">
        <f t="shared" si="15"/>
        <v>0</v>
      </c>
      <c r="U27" s="1136">
        <f t="shared" si="16"/>
        <v>0</v>
      </c>
      <c r="V27" s="1135">
        <f t="shared" si="17"/>
        <v>22</v>
      </c>
      <c r="W27" s="1137">
        <f>IF(D27="SINDUSCON",IF(C27&gt;5*Dados!$E$31,0,T27*(100%-U27)*V27),T27*(100%-U27)*V27)</f>
        <v>0</v>
      </c>
      <c r="X27" s="1132">
        <f t="shared" si="18"/>
        <v>103.09</v>
      </c>
      <c r="Y27" s="1132">
        <f t="shared" si="19"/>
        <v>0</v>
      </c>
      <c r="Z27" s="1132">
        <f t="shared" si="20"/>
        <v>0</v>
      </c>
    </row>
    <row r="28" spans="1:26" ht="28.15" customHeight="1" x14ac:dyDescent="0.25">
      <c r="A28" s="305" t="str">
        <f>Dados!B24</f>
        <v>Pedreiro</v>
      </c>
      <c r="B28" s="139">
        <f>Dados!C24</f>
        <v>220</v>
      </c>
      <c r="C28" s="298">
        <v>2631.2</v>
      </c>
      <c r="D28" s="296" t="s">
        <v>248</v>
      </c>
      <c r="E28" s="1131" t="str">
        <f t="shared" si="0"/>
        <v>MG004404/2025</v>
      </c>
      <c r="F28" s="1132" t="str">
        <f t="shared" si="1"/>
        <v>01/01/2026 à 31/12/2026</v>
      </c>
      <c r="G28" s="1131" t="str">
        <f t="shared" si="2"/>
        <v>01º de janeiro</v>
      </c>
      <c r="H28" s="1133">
        <f t="shared" si="5"/>
        <v>0.39</v>
      </c>
      <c r="I28" s="1132">
        <f t="shared" si="6"/>
        <v>20</v>
      </c>
      <c r="J28" s="1132">
        <f t="shared" si="7"/>
        <v>0</v>
      </c>
      <c r="K28" s="1134">
        <f t="shared" si="8"/>
        <v>0</v>
      </c>
      <c r="L28" s="1135">
        <f t="shared" si="21"/>
        <v>0</v>
      </c>
      <c r="M28" s="1132">
        <f t="shared" si="9"/>
        <v>31.34</v>
      </c>
      <c r="N28" s="1136">
        <f t="shared" si="10"/>
        <v>0.2</v>
      </c>
      <c r="O28" s="1135">
        <f t="shared" si="11"/>
        <v>22</v>
      </c>
      <c r="P28" s="1137">
        <f t="shared" si="12"/>
        <v>551.58000000000004</v>
      </c>
      <c r="Q28" s="1132">
        <f t="shared" si="13"/>
        <v>200</v>
      </c>
      <c r="R28" s="1136">
        <f t="shared" si="14"/>
        <v>0</v>
      </c>
      <c r="S28" s="1135">
        <f t="shared" si="22"/>
        <v>200</v>
      </c>
      <c r="T28" s="1132">
        <f t="shared" si="15"/>
        <v>0</v>
      </c>
      <c r="U28" s="1136">
        <f t="shared" si="16"/>
        <v>0</v>
      </c>
      <c r="V28" s="1135">
        <f t="shared" si="17"/>
        <v>22</v>
      </c>
      <c r="W28" s="1137">
        <f>IF(D28="SINDUSCON",IF(C28&gt;5*Dados!$E$31,0,T28*(100%-U28)*V28),T28*(100%-U28)*V28)</f>
        <v>0</v>
      </c>
      <c r="X28" s="1132">
        <f t="shared" si="18"/>
        <v>103.09</v>
      </c>
      <c r="Y28" s="1132">
        <f t="shared" si="19"/>
        <v>0</v>
      </c>
      <c r="Z28" s="1132">
        <f t="shared" si="20"/>
        <v>0</v>
      </c>
    </row>
    <row r="29" spans="1:26" ht="28.15" customHeight="1" x14ac:dyDescent="0.25">
      <c r="A29" s="305" t="str">
        <f>Dados!B25</f>
        <v>Serralheiro</v>
      </c>
      <c r="B29" s="139">
        <f>Dados!C25</f>
        <v>220</v>
      </c>
      <c r="C29" s="298">
        <v>2631.2</v>
      </c>
      <c r="D29" s="296" t="s">
        <v>248</v>
      </c>
      <c r="E29" s="1131" t="str">
        <f t="shared" si="0"/>
        <v>MG004404/2025</v>
      </c>
      <c r="F29" s="1132" t="str">
        <f t="shared" si="1"/>
        <v>01/01/2026 à 31/12/2026</v>
      </c>
      <c r="G29" s="1131" t="str">
        <f t="shared" si="2"/>
        <v>01º de janeiro</v>
      </c>
      <c r="H29" s="1133">
        <f t="shared" si="5"/>
        <v>0.39</v>
      </c>
      <c r="I29" s="1132">
        <f t="shared" si="6"/>
        <v>20</v>
      </c>
      <c r="J29" s="1132">
        <f t="shared" si="7"/>
        <v>0</v>
      </c>
      <c r="K29" s="1134">
        <f t="shared" si="8"/>
        <v>0</v>
      </c>
      <c r="L29" s="1135">
        <f t="shared" si="21"/>
        <v>0</v>
      </c>
      <c r="M29" s="1132">
        <f t="shared" si="9"/>
        <v>31.34</v>
      </c>
      <c r="N29" s="1136">
        <f t="shared" si="10"/>
        <v>0.2</v>
      </c>
      <c r="O29" s="1135">
        <f t="shared" si="11"/>
        <v>22</v>
      </c>
      <c r="P29" s="1137">
        <f t="shared" si="12"/>
        <v>551.58000000000004</v>
      </c>
      <c r="Q29" s="1132">
        <f t="shared" si="13"/>
        <v>200</v>
      </c>
      <c r="R29" s="1136">
        <f t="shared" si="14"/>
        <v>0</v>
      </c>
      <c r="S29" s="1135">
        <f t="shared" si="22"/>
        <v>200</v>
      </c>
      <c r="T29" s="1132">
        <f t="shared" si="15"/>
        <v>0</v>
      </c>
      <c r="U29" s="1136">
        <f t="shared" si="16"/>
        <v>0</v>
      </c>
      <c r="V29" s="1135">
        <f t="shared" si="17"/>
        <v>22</v>
      </c>
      <c r="W29" s="1137">
        <f>IF(D29="SINDUSCON",IF(C29&gt;5*Dados!$E$31,0,T29*(100%-U29)*V29),T29*(100%-U29)*V29)</f>
        <v>0</v>
      </c>
      <c r="X29" s="1132">
        <f t="shared" si="18"/>
        <v>103.09</v>
      </c>
      <c r="Y29" s="1132">
        <f t="shared" si="19"/>
        <v>0</v>
      </c>
      <c r="Z29" s="1132">
        <f t="shared" si="20"/>
        <v>0</v>
      </c>
    </row>
    <row r="30" spans="1:26" ht="28.15" customHeight="1" x14ac:dyDescent="0.25">
      <c r="A30" s="305" t="str">
        <f>Dados!B26</f>
        <v>Pintor / Gesseiro</v>
      </c>
      <c r="B30" s="139">
        <f>Dados!C26</f>
        <v>220</v>
      </c>
      <c r="C30" s="298">
        <v>2631.2</v>
      </c>
      <c r="D30" s="296" t="s">
        <v>248</v>
      </c>
      <c r="E30" s="1131" t="str">
        <f t="shared" si="0"/>
        <v>MG004404/2025</v>
      </c>
      <c r="F30" s="1132" t="str">
        <f t="shared" si="1"/>
        <v>01/01/2026 à 31/12/2026</v>
      </c>
      <c r="G30" s="1131" t="str">
        <f t="shared" si="2"/>
        <v>01º de janeiro</v>
      </c>
      <c r="H30" s="1133">
        <f t="shared" si="5"/>
        <v>0.39</v>
      </c>
      <c r="I30" s="1132">
        <f t="shared" si="6"/>
        <v>20</v>
      </c>
      <c r="J30" s="1132">
        <f t="shared" si="7"/>
        <v>0</v>
      </c>
      <c r="K30" s="1134">
        <f t="shared" si="8"/>
        <v>0</v>
      </c>
      <c r="L30" s="1135">
        <f t="shared" si="21"/>
        <v>0</v>
      </c>
      <c r="M30" s="1132">
        <f t="shared" si="9"/>
        <v>31.34</v>
      </c>
      <c r="N30" s="1136">
        <f t="shared" si="10"/>
        <v>0.2</v>
      </c>
      <c r="O30" s="1135">
        <f t="shared" si="11"/>
        <v>22</v>
      </c>
      <c r="P30" s="1137">
        <f t="shared" si="12"/>
        <v>551.58000000000004</v>
      </c>
      <c r="Q30" s="1132">
        <f t="shared" si="13"/>
        <v>200</v>
      </c>
      <c r="R30" s="1136">
        <f t="shared" si="14"/>
        <v>0</v>
      </c>
      <c r="S30" s="1135">
        <f t="shared" si="22"/>
        <v>200</v>
      </c>
      <c r="T30" s="1132">
        <f t="shared" si="15"/>
        <v>0</v>
      </c>
      <c r="U30" s="1136">
        <f t="shared" si="16"/>
        <v>0</v>
      </c>
      <c r="V30" s="1135">
        <f t="shared" si="17"/>
        <v>22</v>
      </c>
      <c r="W30" s="1137">
        <f>IF(D30="SINDUSCON",IF(C30&gt;5*Dados!$E$31,0,T30*(100%-U30)*V30),T30*(100%-U30)*V30)</f>
        <v>0</v>
      </c>
      <c r="X30" s="1132">
        <f t="shared" si="18"/>
        <v>103.09</v>
      </c>
      <c r="Y30" s="1132">
        <f t="shared" si="19"/>
        <v>0</v>
      </c>
      <c r="Z30" s="1132">
        <f t="shared" si="20"/>
        <v>0</v>
      </c>
    </row>
  </sheetData>
  <sheetProtection sheet="1" formatCells="0" formatColumns="0" formatRows="0"/>
  <protectedRanges>
    <protectedRange sqref="C15:D30" name="Intervalo2"/>
    <protectedRange sqref="Y8:Z8 B9:N12 P9:U12 W9:Z12" name="Intervalo1"/>
  </protectedRanges>
  <mergeCells count="5">
    <mergeCell ref="B12:C12"/>
    <mergeCell ref="B10:C10"/>
    <mergeCell ref="B8:C8"/>
    <mergeCell ref="B9:C9"/>
    <mergeCell ref="B11:C11"/>
  </mergeCells>
  <phoneticPr fontId="50" type="noConversion"/>
  <dataValidations count="1">
    <dataValidation type="list" allowBlank="1" showInputMessage="1" showErrorMessage="1" sqref="D15:D30" xr:uid="{A5BDFF2E-9057-449E-B3CC-E970077DCDAD}">
      <formula1>$B$9:$B$12</formula1>
    </dataValidation>
  </dataValidations>
  <printOptions horizontalCentered="1"/>
  <pageMargins left="0.196527777777778" right="0.196527777777778" top="0.84375" bottom="0.84375" header="0.39374999999999999" footer="0.39374999999999999"/>
  <pageSetup paperSize="9" scale="26" orientation="portrait" r:id="rId1"/>
  <headerFooter>
    <oddHeader>&amp;C&amp;12&amp;A</oddHeader>
    <oddFooter>&amp;C&amp;12Página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EFFD2-F363-4566-AFF2-CA3C63FCE6BB}">
  <sheetPr>
    <tabColor rgb="FFFFFFA6"/>
    <pageSetUpPr fitToPage="1"/>
  </sheetPr>
  <dimension ref="A1:V112"/>
  <sheetViews>
    <sheetView showGridLines="0" topLeftCell="A82" zoomScaleNormal="100" zoomScaleSheetLayoutView="100" workbookViewId="0">
      <selection activeCell="B93" sqref="B93:E93"/>
    </sheetView>
  </sheetViews>
  <sheetFormatPr defaultColWidth="13.83203125" defaultRowHeight="15" customHeight="1" x14ac:dyDescent="0.25"/>
  <cols>
    <col min="1" max="1" width="10" style="59" customWidth="1"/>
    <col min="2" max="2" width="41.1640625" style="59" customWidth="1"/>
    <col min="3" max="3" width="10" style="59" customWidth="1"/>
    <col min="4" max="4" width="7.6640625" style="59" customWidth="1"/>
    <col min="5" max="6" width="14.1640625" style="59" customWidth="1"/>
    <col min="7" max="7" width="16.1640625" style="59" customWidth="1"/>
    <col min="8" max="8" width="15.6640625" style="59" customWidth="1"/>
    <col min="9" max="9" width="15" style="59" customWidth="1"/>
    <col min="10" max="10" width="11.83203125" style="59" customWidth="1"/>
    <col min="11" max="11" width="14.1640625" style="59" customWidth="1"/>
    <col min="12" max="12" width="15" style="59" customWidth="1"/>
    <col min="13" max="13" width="14" style="59" customWidth="1"/>
    <col min="14" max="14" width="13.6640625" style="59" customWidth="1"/>
    <col min="15" max="15" width="12.1640625" style="59" customWidth="1"/>
    <col min="16" max="17" width="13.33203125" style="59" customWidth="1"/>
    <col min="18" max="248" width="9.33203125" style="59" customWidth="1"/>
    <col min="249" max="249" width="7" style="59" customWidth="1"/>
    <col min="250" max="250" width="45.83203125" style="59" customWidth="1"/>
    <col min="251" max="251" width="10" style="59" customWidth="1"/>
    <col min="252" max="255" width="14.1640625" style="59" customWidth="1"/>
    <col min="256" max="16384" width="13.83203125" style="59"/>
  </cols>
  <sheetData>
    <row r="1" spans="1:22" ht="12" customHeight="1" x14ac:dyDescent="0.25">
      <c r="A1" s="948"/>
      <c r="B1" s="942"/>
      <c r="C1" s="943"/>
      <c r="D1" s="891"/>
      <c r="E1" s="891"/>
      <c r="F1" s="891"/>
      <c r="G1" s="891"/>
      <c r="H1" s="891"/>
      <c r="I1" s="891"/>
      <c r="J1" s="891"/>
      <c r="K1" s="891"/>
      <c r="L1" s="891"/>
      <c r="M1" s="891"/>
      <c r="N1" s="891"/>
      <c r="O1" s="891"/>
      <c r="P1" s="891"/>
      <c r="Q1" s="944"/>
    </row>
    <row r="2" spans="1:22" ht="12" customHeight="1" x14ac:dyDescent="0.25">
      <c r="A2" s="949"/>
      <c r="B2" s="945"/>
      <c r="C2" s="945" t="s">
        <v>120</v>
      </c>
      <c r="D2" s="895"/>
      <c r="E2" s="895"/>
      <c r="F2" s="895"/>
      <c r="G2" s="895"/>
      <c r="H2" s="895"/>
      <c r="I2" s="895"/>
      <c r="J2" s="895"/>
      <c r="K2" s="895"/>
      <c r="L2" s="895"/>
      <c r="M2" s="895"/>
      <c r="N2" s="895"/>
      <c r="O2" s="895"/>
      <c r="P2" s="895"/>
      <c r="Q2" s="946"/>
    </row>
    <row r="3" spans="1:22" x14ac:dyDescent="0.25">
      <c r="A3" s="949"/>
      <c r="B3" s="884"/>
      <c r="C3" s="784" t="s">
        <v>1</v>
      </c>
      <c r="D3" s="895"/>
      <c r="E3" s="895"/>
      <c r="F3" s="895"/>
      <c r="G3" s="895"/>
      <c r="H3" s="895"/>
      <c r="I3" s="895"/>
      <c r="J3" s="895"/>
      <c r="K3" s="895"/>
      <c r="L3" s="895"/>
      <c r="M3" s="895"/>
      <c r="N3" s="895"/>
      <c r="O3" s="895"/>
      <c r="P3" s="895"/>
      <c r="Q3" s="946"/>
    </row>
    <row r="4" spans="1:22" x14ac:dyDescent="0.25">
      <c r="A4" s="949"/>
      <c r="B4" s="884"/>
      <c r="C4" s="784" t="s">
        <v>2</v>
      </c>
      <c r="D4" s="895"/>
      <c r="E4" s="895"/>
      <c r="F4" s="895"/>
      <c r="G4" s="895"/>
      <c r="H4" s="895"/>
      <c r="I4" s="895"/>
      <c r="J4" s="895"/>
      <c r="K4" s="895"/>
      <c r="L4" s="895"/>
      <c r="M4" s="895"/>
      <c r="N4" s="895"/>
      <c r="O4" s="895"/>
      <c r="P4" s="895"/>
      <c r="Q4" s="946"/>
    </row>
    <row r="5" spans="1:22" x14ac:dyDescent="0.25">
      <c r="A5" s="949"/>
      <c r="B5" s="884"/>
      <c r="C5" s="784" t="s">
        <v>223</v>
      </c>
      <c r="D5" s="895"/>
      <c r="E5" s="895"/>
      <c r="F5" s="895"/>
      <c r="G5" s="895"/>
      <c r="H5" s="895"/>
      <c r="I5" s="895"/>
      <c r="J5" s="895"/>
      <c r="K5" s="895"/>
      <c r="L5" s="895"/>
      <c r="M5" s="895"/>
      <c r="N5" s="895"/>
      <c r="O5" s="895"/>
      <c r="P5" s="895"/>
      <c r="Q5" s="946"/>
    </row>
    <row r="6" spans="1:22" s="131" customFormat="1" ht="18" customHeight="1" x14ac:dyDescent="0.2">
      <c r="A6" s="1365" t="str">
        <f>'Resumo_1.1'!$A$5</f>
        <v>ANEXO II-1.1 – PLANILHA DE CUSTOS E FORMAÇÃO DE PREÇOS DO LICITANTE – EQUIPE RESIDENTE</v>
      </c>
      <c r="B6" s="1366"/>
      <c r="C6" s="1366"/>
      <c r="D6" s="1366"/>
      <c r="E6" s="1366"/>
      <c r="F6" s="1366"/>
      <c r="G6" s="1366"/>
      <c r="H6" s="1366"/>
      <c r="I6" s="1366"/>
      <c r="J6" s="1366"/>
      <c r="K6" s="1366"/>
      <c r="L6" s="1366"/>
      <c r="M6" s="1366"/>
      <c r="N6" s="1366"/>
      <c r="O6" s="1366"/>
      <c r="P6" s="780"/>
      <c r="Q6" s="781"/>
    </row>
    <row r="7" spans="1:22" s="131" customFormat="1" ht="18" customHeight="1" x14ac:dyDescent="0.2">
      <c r="A7" s="1367" t="s">
        <v>359</v>
      </c>
      <c r="B7" s="1368"/>
      <c r="C7" s="1368"/>
      <c r="D7" s="1368"/>
      <c r="E7" s="1368"/>
      <c r="F7" s="1368"/>
      <c r="G7" s="1368"/>
      <c r="H7" s="1368"/>
      <c r="I7" s="1368"/>
      <c r="J7" s="1368"/>
      <c r="K7" s="1368"/>
      <c r="L7" s="1368"/>
      <c r="M7" s="1368"/>
      <c r="N7" s="1368"/>
      <c r="O7" s="1368"/>
      <c r="P7" s="778"/>
      <c r="Q7" s="779"/>
    </row>
    <row r="8" spans="1:22" s="131" customFormat="1" ht="24.75" customHeight="1" thickBot="1" x14ac:dyDescent="0.25">
      <c r="A8" s="1369"/>
      <c r="B8" s="1370"/>
      <c r="C8" s="1370"/>
      <c r="D8" s="1370"/>
      <c r="E8" s="1371" t="s">
        <v>389</v>
      </c>
      <c r="F8" s="1371"/>
      <c r="G8" s="1371"/>
      <c r="H8" s="1371"/>
      <c r="I8" s="1371"/>
      <c r="J8" s="1371"/>
      <c r="K8" s="1371"/>
      <c r="L8" s="1371"/>
      <c r="M8" s="1371"/>
      <c r="N8" s="1371"/>
      <c r="O8" s="1371"/>
      <c r="P8" s="782"/>
      <c r="Q8" s="783"/>
    </row>
    <row r="9" spans="1:22" s="131" customFormat="1" ht="96" customHeight="1" x14ac:dyDescent="0.2">
      <c r="A9" s="132" t="s">
        <v>390</v>
      </c>
      <c r="B9" s="133" t="s">
        <v>26</v>
      </c>
      <c r="C9" s="134" t="s">
        <v>27</v>
      </c>
      <c r="D9" s="134" t="s">
        <v>25</v>
      </c>
      <c r="E9" s="134" t="s">
        <v>391</v>
      </c>
      <c r="F9" s="134" t="s">
        <v>392</v>
      </c>
      <c r="G9" s="134" t="s">
        <v>393</v>
      </c>
      <c r="H9" s="134" t="s">
        <v>394</v>
      </c>
      <c r="I9" s="134" t="s">
        <v>395</v>
      </c>
      <c r="J9" s="135" t="s">
        <v>396</v>
      </c>
      <c r="K9" s="135" t="s">
        <v>397</v>
      </c>
      <c r="L9" s="134" t="s">
        <v>398</v>
      </c>
      <c r="M9" s="134" t="s">
        <v>399</v>
      </c>
      <c r="N9" s="134" t="s">
        <v>400</v>
      </c>
      <c r="O9" s="136" t="s">
        <v>401</v>
      </c>
      <c r="P9" s="766" t="s">
        <v>402</v>
      </c>
      <c r="Q9" s="766" t="s">
        <v>403</v>
      </c>
      <c r="T9" s="137"/>
    </row>
    <row r="10" spans="1:22" s="131" customFormat="1" ht="21.75" customHeight="1" thickBot="1" x14ac:dyDescent="0.25">
      <c r="A10" s="132"/>
      <c r="B10" s="274"/>
      <c r="C10" s="275"/>
      <c r="D10" s="275"/>
      <c r="E10" s="275"/>
      <c r="F10" s="275"/>
      <c r="G10" s="272">
        <v>0.3</v>
      </c>
      <c r="H10" s="278">
        <f>E31*0.2</f>
        <v>324.20000000000005</v>
      </c>
      <c r="I10" s="278">
        <f>E31*0.4</f>
        <v>648.40000000000009</v>
      </c>
      <c r="J10" s="279"/>
      <c r="K10" s="280">
        <v>0.1</v>
      </c>
      <c r="L10" s="272">
        <v>0.2</v>
      </c>
      <c r="M10" s="272">
        <v>0.6</v>
      </c>
      <c r="N10" s="275"/>
      <c r="O10" s="281"/>
      <c r="P10" s="281"/>
      <c r="Q10" s="281"/>
      <c r="T10" s="137"/>
    </row>
    <row r="11" spans="1:22" s="131" customFormat="1" ht="28.15" customHeight="1" x14ac:dyDescent="0.25">
      <c r="A11" s="1359">
        <v>333903701</v>
      </c>
      <c r="B11" s="78" t="s">
        <v>230</v>
      </c>
      <c r="C11" s="283">
        <v>220</v>
      </c>
      <c r="D11" s="283">
        <v>1</v>
      </c>
      <c r="E11" s="284">
        <f>CCT!C15</f>
        <v>13347.64</v>
      </c>
      <c r="F11" s="284">
        <f t="shared" ref="F11:F26" si="0">ROUND(((E11/220)*C11),2)</f>
        <v>13347.64</v>
      </c>
      <c r="G11" s="285">
        <v>0</v>
      </c>
      <c r="H11" s="284"/>
      <c r="I11" s="284"/>
      <c r="J11" s="284"/>
      <c r="K11" s="284"/>
      <c r="L11" s="284"/>
      <c r="M11" s="284"/>
      <c r="N11" s="284">
        <f t="shared" ref="N11:N25" si="1">SUM(F11:M11)</f>
        <v>13347.64</v>
      </c>
      <c r="O11" s="284">
        <f>Uniforme!$F$17</f>
        <v>90.35</v>
      </c>
      <c r="P11" s="284">
        <f>EPI!E20</f>
        <v>35.347500000000004</v>
      </c>
      <c r="Q11" s="292"/>
      <c r="R11" s="1353" t="s">
        <v>404</v>
      </c>
      <c r="S11" s="1354"/>
      <c r="T11" s="273"/>
      <c r="V11" s="59"/>
    </row>
    <row r="12" spans="1:22" s="131" customFormat="1" ht="28.15" customHeight="1" x14ac:dyDescent="0.25">
      <c r="A12" s="1360"/>
      <c r="B12" s="96" t="s">
        <v>235</v>
      </c>
      <c r="C12" s="139">
        <v>220</v>
      </c>
      <c r="D12" s="139">
        <v>1</v>
      </c>
      <c r="E12" s="282">
        <f>CCT!C16</f>
        <v>4111.95</v>
      </c>
      <c r="F12" s="282">
        <f t="shared" si="0"/>
        <v>4111.95</v>
      </c>
      <c r="G12" s="295">
        <f>$G$10*F12</f>
        <v>1233.5849999999998</v>
      </c>
      <c r="H12" s="282"/>
      <c r="I12" s="282"/>
      <c r="J12" s="282"/>
      <c r="K12" s="282"/>
      <c r="L12" s="282"/>
      <c r="M12" s="282">
        <f>$M$10*E12</f>
        <v>2467.1699999999996</v>
      </c>
      <c r="N12" s="282">
        <f t="shared" si="1"/>
        <v>7812.7049999999999</v>
      </c>
      <c r="O12" s="282">
        <f>Uniforme!$F$17</f>
        <v>90.35</v>
      </c>
      <c r="P12" s="282">
        <f>EPI!E34</f>
        <v>35.347500000000004</v>
      </c>
      <c r="Q12" s="293"/>
      <c r="R12" s="1355"/>
      <c r="S12" s="1356"/>
      <c r="T12" s="273"/>
      <c r="V12" s="59"/>
    </row>
    <row r="13" spans="1:22" ht="28.15" customHeight="1" x14ac:dyDescent="0.25">
      <c r="A13" s="1360"/>
      <c r="B13" s="286" t="s">
        <v>239</v>
      </c>
      <c r="C13" s="142">
        <v>220</v>
      </c>
      <c r="D13" s="142">
        <v>1</v>
      </c>
      <c r="E13" s="141">
        <f>CCT!C17</f>
        <v>3809.45</v>
      </c>
      <c r="F13" s="141">
        <f t="shared" si="0"/>
        <v>3809.45</v>
      </c>
      <c r="G13" s="295">
        <v>0</v>
      </c>
      <c r="H13" s="282"/>
      <c r="I13" s="282"/>
      <c r="J13" s="282"/>
      <c r="K13" s="282"/>
      <c r="L13" s="282"/>
      <c r="M13" s="282"/>
      <c r="N13" s="282">
        <f>SUM(F13:M13)</f>
        <v>3809.45</v>
      </c>
      <c r="O13" s="282">
        <f>Uniforme!$F$24</f>
        <v>59.25</v>
      </c>
      <c r="P13" s="282">
        <f>EPI!E48</f>
        <v>35.347500000000004</v>
      </c>
      <c r="Q13" s="293"/>
      <c r="R13" s="1355"/>
      <c r="S13" s="1356"/>
      <c r="T13" s="273"/>
    </row>
    <row r="14" spans="1:22" ht="28.15" customHeight="1" x14ac:dyDescent="0.25">
      <c r="A14" s="1360"/>
      <c r="B14" s="96" t="s">
        <v>243</v>
      </c>
      <c r="C14" s="140">
        <v>220</v>
      </c>
      <c r="D14" s="140">
        <v>1</v>
      </c>
      <c r="E14" s="141">
        <f>CCT!C18</f>
        <v>3606.93</v>
      </c>
      <c r="F14" s="141">
        <f t="shared" si="0"/>
        <v>3606.93</v>
      </c>
      <c r="G14" s="295">
        <v>0</v>
      </c>
      <c r="H14" s="282"/>
      <c r="I14" s="282"/>
      <c r="J14" s="282"/>
      <c r="K14" s="282"/>
      <c r="L14" s="282">
        <f>$L$10*E14</f>
        <v>721.38599999999997</v>
      </c>
      <c r="M14" s="282"/>
      <c r="N14" s="282">
        <f>SUM(F14:M14)</f>
        <v>4328.3159999999998</v>
      </c>
      <c r="O14" s="282">
        <f>Uniforme!$F$24</f>
        <v>59.25</v>
      </c>
      <c r="P14" s="282">
        <f>EPI!E62</f>
        <v>35.347500000000004</v>
      </c>
      <c r="Q14" s="293"/>
      <c r="R14" s="1355"/>
      <c r="S14" s="1356"/>
      <c r="T14" s="273"/>
    </row>
    <row r="15" spans="1:22" s="131" customFormat="1" ht="28.15" customHeight="1" x14ac:dyDescent="0.25">
      <c r="A15" s="1360"/>
      <c r="B15" s="850" t="s">
        <v>245</v>
      </c>
      <c r="C15" s="140">
        <v>220</v>
      </c>
      <c r="D15" s="139">
        <v>2</v>
      </c>
      <c r="E15" s="282">
        <f>CCT!C19</f>
        <v>4111.95</v>
      </c>
      <c r="F15" s="282">
        <f t="shared" si="0"/>
        <v>4111.95</v>
      </c>
      <c r="G15" s="295">
        <f>$G$10*F15</f>
        <v>1233.5849999999998</v>
      </c>
      <c r="H15" s="282"/>
      <c r="I15" s="282"/>
      <c r="J15" s="282"/>
      <c r="K15" s="282"/>
      <c r="L15" s="282"/>
      <c r="M15" s="282"/>
      <c r="N15" s="282">
        <f t="shared" si="1"/>
        <v>5345.5349999999999</v>
      </c>
      <c r="O15" s="282">
        <f>Uniforme!$F$24</f>
        <v>59.25</v>
      </c>
      <c r="P15" s="291"/>
      <c r="Q15" s="138">
        <f>EPI!E82</f>
        <v>264.75666666666666</v>
      </c>
      <c r="R15" s="1355"/>
      <c r="S15" s="1356"/>
      <c r="T15" s="273"/>
      <c r="V15" s="59"/>
    </row>
    <row r="16" spans="1:22" ht="28.15" customHeight="1" x14ac:dyDescent="0.25">
      <c r="A16" s="1360"/>
      <c r="B16" s="850" t="s">
        <v>246</v>
      </c>
      <c r="C16" s="140">
        <v>220</v>
      </c>
      <c r="D16" s="140">
        <v>2</v>
      </c>
      <c r="E16" s="141">
        <f>CCT!C20</f>
        <v>4111.95</v>
      </c>
      <c r="F16" s="141">
        <f t="shared" si="0"/>
        <v>4111.95</v>
      </c>
      <c r="G16" s="295">
        <f>$G$10*F16</f>
        <v>1233.5849999999998</v>
      </c>
      <c r="H16" s="282"/>
      <c r="I16" s="282"/>
      <c r="J16" s="282">
        <f>ROUND((F16+G16)/220*120*CCT!H20*60/52.5,2)</f>
        <v>666.46</v>
      </c>
      <c r="K16" s="282"/>
      <c r="L16" s="282"/>
      <c r="M16" s="282"/>
      <c r="N16" s="282">
        <f t="shared" si="1"/>
        <v>6011.9949999999999</v>
      </c>
      <c r="O16" s="282">
        <f>Uniforme!$F$24</f>
        <v>59.25</v>
      </c>
      <c r="P16" s="291"/>
      <c r="Q16" s="138">
        <f>EPI!E102</f>
        <v>264.75666666666666</v>
      </c>
      <c r="R16" s="1355"/>
      <c r="S16" s="1356"/>
      <c r="T16" s="273"/>
    </row>
    <row r="17" spans="1:22" ht="28.15" customHeight="1" x14ac:dyDescent="0.25">
      <c r="A17" s="1360"/>
      <c r="B17" s="850" t="s">
        <v>247</v>
      </c>
      <c r="C17" s="143">
        <v>220</v>
      </c>
      <c r="D17" s="143">
        <v>3</v>
      </c>
      <c r="E17" s="141">
        <f>CCT!C21</f>
        <v>2631.2</v>
      </c>
      <c r="F17" s="141">
        <f t="shared" si="0"/>
        <v>2631.2</v>
      </c>
      <c r="G17" s="295">
        <f>$G$10*F17</f>
        <v>789.3599999999999</v>
      </c>
      <c r="H17" s="282"/>
      <c r="I17" s="282"/>
      <c r="J17" s="282"/>
      <c r="K17" s="282"/>
      <c r="L17" s="282"/>
      <c r="M17" s="282"/>
      <c r="N17" s="282">
        <f>SUM(F17:M17)</f>
        <v>3420.5599999999995</v>
      </c>
      <c r="O17" s="141">
        <f>Uniforme!$F$32</f>
        <v>64.8</v>
      </c>
      <c r="P17" s="291"/>
      <c r="Q17" s="138">
        <f>EPI!E120</f>
        <v>175.45250000000001</v>
      </c>
      <c r="R17" s="1355"/>
      <c r="S17" s="1356"/>
      <c r="T17" s="273"/>
      <c r="V17" s="144"/>
    </row>
    <row r="18" spans="1:22" ht="28.15" customHeight="1" x14ac:dyDescent="0.25">
      <c r="A18" s="1360"/>
      <c r="B18" s="850" t="s">
        <v>251</v>
      </c>
      <c r="C18" s="143">
        <v>220</v>
      </c>
      <c r="D18" s="143">
        <v>3</v>
      </c>
      <c r="E18" s="141">
        <f>CCT!C22</f>
        <v>2206.27</v>
      </c>
      <c r="F18" s="141">
        <f t="shared" si="0"/>
        <v>2206.27</v>
      </c>
      <c r="G18" s="295">
        <f>$G$10*F18</f>
        <v>661.88099999999997</v>
      </c>
      <c r="H18" s="282"/>
      <c r="I18" s="282"/>
      <c r="J18" s="282"/>
      <c r="K18" s="282"/>
      <c r="L18" s="282"/>
      <c r="M18" s="282"/>
      <c r="N18" s="282">
        <f>SUM(F18:M18)</f>
        <v>2868.1509999999998</v>
      </c>
      <c r="O18" s="141">
        <f>Uniforme!$F$32</f>
        <v>64.8</v>
      </c>
      <c r="P18" s="291"/>
      <c r="Q18" s="138">
        <f>EPI!E137</f>
        <v>109.69416666666666</v>
      </c>
      <c r="R18" s="1355"/>
      <c r="S18" s="1356"/>
      <c r="T18" s="273"/>
    </row>
    <row r="19" spans="1:22" ht="28.15" customHeight="1" x14ac:dyDescent="0.25">
      <c r="A19" s="1360"/>
      <c r="B19" s="850" t="s">
        <v>254</v>
      </c>
      <c r="C19" s="143">
        <v>220</v>
      </c>
      <c r="D19" s="143">
        <v>2</v>
      </c>
      <c r="E19" s="141">
        <f>CCT!C23</f>
        <v>2631.2</v>
      </c>
      <c r="F19" s="141">
        <f t="shared" si="0"/>
        <v>2631.2</v>
      </c>
      <c r="G19" s="295">
        <f>$G$10*F19</f>
        <v>789.3599999999999</v>
      </c>
      <c r="H19" s="282"/>
      <c r="I19" s="282"/>
      <c r="J19" s="282"/>
      <c r="K19" s="282">
        <f>$K$10*F19</f>
        <v>263.12</v>
      </c>
      <c r="L19" s="282"/>
      <c r="M19" s="282"/>
      <c r="N19" s="282">
        <f>SUM(F19:M19)</f>
        <v>3683.6799999999994</v>
      </c>
      <c r="O19" s="141">
        <f>Uniforme!$F$32</f>
        <v>64.8</v>
      </c>
      <c r="P19" s="291"/>
      <c r="Q19" s="138">
        <f>EPI!E154</f>
        <v>109.69416666666666</v>
      </c>
      <c r="R19" s="1355"/>
      <c r="S19" s="1356"/>
      <c r="T19" s="145"/>
      <c r="V19" s="144"/>
    </row>
    <row r="20" spans="1:22" ht="28.15" customHeight="1" x14ac:dyDescent="0.25">
      <c r="A20" s="1360"/>
      <c r="B20" s="96" t="s">
        <v>256</v>
      </c>
      <c r="C20" s="140">
        <v>220</v>
      </c>
      <c r="D20" s="140">
        <v>4</v>
      </c>
      <c r="E20" s="141">
        <f>CCT!C24</f>
        <v>2206.27</v>
      </c>
      <c r="F20" s="141">
        <f t="shared" si="0"/>
        <v>2206.27</v>
      </c>
      <c r="G20" s="295">
        <v>0</v>
      </c>
      <c r="H20" s="282"/>
      <c r="I20" s="282"/>
      <c r="J20" s="282"/>
      <c r="K20" s="282"/>
      <c r="L20" s="282"/>
      <c r="M20" s="282"/>
      <c r="N20" s="282">
        <f>SUM(F20:M20)</f>
        <v>2206.27</v>
      </c>
      <c r="O20" s="141">
        <f>Uniforme!$F$32</f>
        <v>64.8</v>
      </c>
      <c r="P20" s="282">
        <f>EPI!E168</f>
        <v>35.347500000000004</v>
      </c>
      <c r="Q20" s="293"/>
      <c r="R20" s="1355"/>
      <c r="S20" s="1356"/>
      <c r="T20" s="145"/>
    </row>
    <row r="21" spans="1:22" ht="28.15" customHeight="1" x14ac:dyDescent="0.25">
      <c r="A21" s="1360"/>
      <c r="B21" s="96" t="s">
        <v>257</v>
      </c>
      <c r="C21" s="143">
        <v>220</v>
      </c>
      <c r="D21" s="143">
        <v>2</v>
      </c>
      <c r="E21" s="141">
        <f>CCT!C25</f>
        <v>2631.2</v>
      </c>
      <c r="F21" s="141">
        <f t="shared" si="0"/>
        <v>2631.2</v>
      </c>
      <c r="G21" s="295">
        <v>0</v>
      </c>
      <c r="H21" s="282"/>
      <c r="I21" s="282"/>
      <c r="J21" s="282"/>
      <c r="K21" s="282"/>
      <c r="L21" s="282"/>
      <c r="M21" s="282"/>
      <c r="N21" s="282">
        <f>SUM(F21:M21)</f>
        <v>2631.2</v>
      </c>
      <c r="O21" s="141">
        <f>Uniforme!$F$32</f>
        <v>64.8</v>
      </c>
      <c r="P21" s="282">
        <f>EPI!E182</f>
        <v>35.347500000000004</v>
      </c>
      <c r="Q21" s="293"/>
      <c r="R21" s="1355"/>
      <c r="S21" s="1356"/>
      <c r="T21" s="273"/>
      <c r="V21" s="144"/>
    </row>
    <row r="22" spans="1:22" ht="28.15" customHeight="1" x14ac:dyDescent="0.25">
      <c r="A22" s="1360"/>
      <c r="B22" s="96" t="s">
        <v>259</v>
      </c>
      <c r="C22" s="143">
        <v>220</v>
      </c>
      <c r="D22" s="143">
        <v>2</v>
      </c>
      <c r="E22" s="141">
        <f>CCT!C26</f>
        <v>2631.2</v>
      </c>
      <c r="F22" s="141">
        <f t="shared" si="0"/>
        <v>2631.2</v>
      </c>
      <c r="G22" s="295">
        <v>0</v>
      </c>
      <c r="H22" s="282"/>
      <c r="I22" s="282">
        <f>I10</f>
        <v>648.40000000000009</v>
      </c>
      <c r="J22" s="282"/>
      <c r="K22" s="282"/>
      <c r="L22" s="282"/>
      <c r="M22" s="282"/>
      <c r="N22" s="282">
        <f t="shared" si="1"/>
        <v>3279.6</v>
      </c>
      <c r="O22" s="141">
        <f>Uniforme!$F$32</f>
        <v>64.8</v>
      </c>
      <c r="P22" s="282">
        <f>EPI!E201</f>
        <v>83.727500000000006</v>
      </c>
      <c r="Q22" s="293"/>
      <c r="R22" s="1355"/>
      <c r="S22" s="1356"/>
      <c r="T22" s="273"/>
      <c r="V22" s="144"/>
    </row>
    <row r="23" spans="1:22" ht="28.15" customHeight="1" x14ac:dyDescent="0.25">
      <c r="A23" s="1360"/>
      <c r="B23" s="96" t="s">
        <v>261</v>
      </c>
      <c r="C23" s="143">
        <v>220</v>
      </c>
      <c r="D23" s="143">
        <v>2</v>
      </c>
      <c r="E23" s="141">
        <f>CCT!C27</f>
        <v>2631.2</v>
      </c>
      <c r="F23" s="141">
        <f t="shared" si="0"/>
        <v>2631.2</v>
      </c>
      <c r="G23" s="295">
        <v>0</v>
      </c>
      <c r="H23" s="282">
        <f>H10</f>
        <v>324.20000000000005</v>
      </c>
      <c r="I23" s="282"/>
      <c r="J23" s="282"/>
      <c r="K23" s="282"/>
      <c r="L23" s="282"/>
      <c r="M23" s="282"/>
      <c r="N23" s="282">
        <f t="shared" si="1"/>
        <v>2955.3999999999996</v>
      </c>
      <c r="O23" s="141">
        <f>Uniforme!$F$32</f>
        <v>64.8</v>
      </c>
      <c r="P23" s="282">
        <f>EPI!E219</f>
        <v>124.81166666666668</v>
      </c>
      <c r="Q23" s="293"/>
      <c r="R23" s="1355"/>
      <c r="S23" s="1356"/>
      <c r="T23" s="273"/>
      <c r="V23" s="144"/>
    </row>
    <row r="24" spans="1:22" ht="28.15" customHeight="1" x14ac:dyDescent="0.25">
      <c r="A24" s="1360"/>
      <c r="B24" s="96" t="s">
        <v>264</v>
      </c>
      <c r="C24" s="140">
        <v>220</v>
      </c>
      <c r="D24" s="140">
        <v>2</v>
      </c>
      <c r="E24" s="141">
        <f>CCT!C28</f>
        <v>2631.2</v>
      </c>
      <c r="F24" s="141">
        <f t="shared" si="0"/>
        <v>2631.2</v>
      </c>
      <c r="G24" s="295">
        <v>0</v>
      </c>
      <c r="H24" s="282"/>
      <c r="I24" s="282"/>
      <c r="J24" s="282"/>
      <c r="K24" s="282"/>
      <c r="L24" s="282"/>
      <c r="M24" s="282"/>
      <c r="N24" s="282">
        <f t="shared" si="1"/>
        <v>2631.2</v>
      </c>
      <c r="O24" s="141">
        <f>Uniforme!$F$32</f>
        <v>64.8</v>
      </c>
      <c r="P24" s="282">
        <f>EPI!E234</f>
        <v>39.557499999999997</v>
      </c>
      <c r="Q24" s="293"/>
      <c r="R24" s="1355"/>
      <c r="S24" s="1356"/>
      <c r="T24" s="273"/>
      <c r="V24" s="144"/>
    </row>
    <row r="25" spans="1:22" ht="28.15" customHeight="1" x14ac:dyDescent="0.25">
      <c r="A25" s="1360"/>
      <c r="B25" s="96" t="s">
        <v>266</v>
      </c>
      <c r="C25" s="143">
        <v>220</v>
      </c>
      <c r="D25" s="143">
        <v>1</v>
      </c>
      <c r="E25" s="141">
        <f>CCT!C29</f>
        <v>2631.2</v>
      </c>
      <c r="F25" s="141">
        <f t="shared" si="0"/>
        <v>2631.2</v>
      </c>
      <c r="G25" s="295">
        <v>0</v>
      </c>
      <c r="H25" s="282"/>
      <c r="I25" s="282"/>
      <c r="J25" s="282"/>
      <c r="K25" s="282"/>
      <c r="L25" s="282"/>
      <c r="M25" s="282"/>
      <c r="N25" s="282">
        <f t="shared" si="1"/>
        <v>2631.2</v>
      </c>
      <c r="O25" s="141">
        <f>Uniforme!$F$32</f>
        <v>64.8</v>
      </c>
      <c r="P25" s="282">
        <f>EPI!E253</f>
        <v>52.609166666666674</v>
      </c>
      <c r="Q25" s="293"/>
      <c r="R25" s="1355"/>
      <c r="S25" s="1356"/>
      <c r="T25" s="145"/>
      <c r="V25" s="144"/>
    </row>
    <row r="26" spans="1:22" ht="28.15" customHeight="1" thickBot="1" x14ac:dyDescent="0.3">
      <c r="A26" s="1361"/>
      <c r="B26" s="503" t="s">
        <v>268</v>
      </c>
      <c r="C26" s="287">
        <v>220</v>
      </c>
      <c r="D26" s="287">
        <v>2</v>
      </c>
      <c r="E26" s="288">
        <f>CCT!C30</f>
        <v>2631.2</v>
      </c>
      <c r="F26" s="288">
        <f t="shared" si="0"/>
        <v>2631.2</v>
      </c>
      <c r="G26" s="289">
        <v>0</v>
      </c>
      <c r="H26" s="290"/>
      <c r="I26" s="290"/>
      <c r="J26" s="290"/>
      <c r="K26" s="290"/>
      <c r="L26" s="290"/>
      <c r="M26" s="290"/>
      <c r="N26" s="290">
        <f>SUM(F26:M26)</f>
        <v>2631.2</v>
      </c>
      <c r="O26" s="288">
        <f>Uniforme!$F$32</f>
        <v>64.8</v>
      </c>
      <c r="P26" s="290">
        <f>EPI!E267</f>
        <v>35.347500000000004</v>
      </c>
      <c r="Q26" s="294"/>
      <c r="R26" s="1357"/>
      <c r="S26" s="1358"/>
      <c r="T26" s="145"/>
      <c r="V26" s="144"/>
    </row>
    <row r="27" spans="1:22" ht="24" customHeight="1" x14ac:dyDescent="0.25">
      <c r="A27" s="276"/>
      <c r="E27" s="146" t="s">
        <v>405</v>
      </c>
    </row>
    <row r="28" spans="1:22" x14ac:dyDescent="0.25">
      <c r="A28" s="1374" t="s">
        <v>406</v>
      </c>
      <c r="B28" s="1374"/>
      <c r="C28" s="1374"/>
      <c r="D28" s="1374"/>
      <c r="E28" s="1374"/>
      <c r="F28" s="1374"/>
      <c r="G28" s="1374"/>
      <c r="H28" s="4"/>
      <c r="I28" s="4"/>
    </row>
    <row r="29" spans="1:22" x14ac:dyDescent="0.25">
      <c r="A29" s="36">
        <v>1</v>
      </c>
      <c r="B29" s="1350" t="s">
        <v>407</v>
      </c>
      <c r="C29" s="1350"/>
      <c r="D29" s="1350"/>
      <c r="E29" s="1375" t="s">
        <v>408</v>
      </c>
      <c r="F29" s="1375"/>
      <c r="G29" s="1375"/>
      <c r="H29" s="1363" t="s">
        <v>409</v>
      </c>
      <c r="I29" s="1363"/>
      <c r="J29" s="1363"/>
      <c r="K29" s="1363"/>
      <c r="L29" s="1363"/>
    </row>
    <row r="30" spans="1:22" x14ac:dyDescent="0.25">
      <c r="A30" s="36">
        <v>2</v>
      </c>
      <c r="B30" s="1350" t="s">
        <v>410</v>
      </c>
      <c r="C30" s="1350"/>
      <c r="D30" s="1350"/>
      <c r="E30" s="1376" t="s">
        <v>407</v>
      </c>
      <c r="F30" s="1377"/>
      <c r="G30" s="1378"/>
      <c r="H30" s="1363" t="s">
        <v>411</v>
      </c>
      <c r="I30" s="1363"/>
      <c r="J30" s="1363"/>
      <c r="K30" s="1363"/>
      <c r="L30" s="1363"/>
    </row>
    <row r="31" spans="1:22" x14ac:dyDescent="0.25">
      <c r="A31" s="36">
        <v>3</v>
      </c>
      <c r="B31" s="1350" t="s">
        <v>412</v>
      </c>
      <c r="C31" s="1350"/>
      <c r="D31" s="1350"/>
      <c r="E31" s="1364">
        <v>1621</v>
      </c>
      <c r="F31" s="1364"/>
      <c r="G31" s="1364"/>
      <c r="H31" s="1363" t="s">
        <v>413</v>
      </c>
      <c r="I31" s="1363"/>
      <c r="J31" s="1363"/>
      <c r="K31" s="1363"/>
      <c r="L31" s="1363"/>
    </row>
    <row r="32" spans="1:22" x14ac:dyDescent="0.25">
      <c r="A32" s="276"/>
      <c r="E32" s="146"/>
    </row>
    <row r="33" spans="1:15" x14ac:dyDescent="0.25">
      <c r="A33" s="1347" t="s">
        <v>414</v>
      </c>
      <c r="B33" s="1347"/>
      <c r="C33" s="1347"/>
      <c r="D33" s="1347"/>
      <c r="E33" s="1347"/>
      <c r="F33" s="1347"/>
      <c r="G33" s="1347"/>
      <c r="H33" s="131"/>
      <c r="I33" s="131"/>
    </row>
    <row r="34" spans="1:15" x14ac:dyDescent="0.25">
      <c r="A34" s="270" t="s">
        <v>415</v>
      </c>
      <c r="B34" s="1348" t="s">
        <v>416</v>
      </c>
      <c r="C34" s="1348"/>
      <c r="D34" s="1348"/>
      <c r="E34" s="1348"/>
      <c r="F34" s="1348"/>
      <c r="G34" s="147">
        <f>Encargos!$C$57</f>
        <v>0.76400000000000001</v>
      </c>
    </row>
    <row r="35" spans="1:15" x14ac:dyDescent="0.25">
      <c r="A35" s="276"/>
      <c r="E35" s="146"/>
    </row>
    <row r="36" spans="1:15" x14ac:dyDescent="0.25">
      <c r="A36" s="965">
        <v>1</v>
      </c>
      <c r="B36" s="1379" t="s">
        <v>417</v>
      </c>
      <c r="C36" s="1379"/>
      <c r="D36" s="1379"/>
      <c r="E36" s="1379"/>
      <c r="F36" s="1379"/>
      <c r="G36" s="967" t="s">
        <v>418</v>
      </c>
      <c r="H36" s="966" t="s">
        <v>419</v>
      </c>
    </row>
    <row r="37" spans="1:15" x14ac:dyDescent="0.25">
      <c r="A37" s="271">
        <v>2</v>
      </c>
      <c r="B37" s="1350" t="s">
        <v>420</v>
      </c>
      <c r="C37" s="1350"/>
      <c r="D37" s="1350"/>
      <c r="E37" s="1350"/>
      <c r="F37" s="1350"/>
      <c r="G37" s="148">
        <f>G38*G39</f>
        <v>0.06</v>
      </c>
      <c r="H37" s="4"/>
    </row>
    <row r="38" spans="1:15" s="131" customFormat="1" x14ac:dyDescent="0.2">
      <c r="A38" s="271">
        <v>3</v>
      </c>
      <c r="B38" s="1350" t="s">
        <v>421</v>
      </c>
      <c r="C38" s="1350"/>
      <c r="D38" s="1350"/>
      <c r="E38" s="1350"/>
      <c r="F38" s="1350"/>
      <c r="G38" s="748">
        <v>0.03</v>
      </c>
      <c r="H38" s="418" t="s">
        <v>422</v>
      </c>
      <c r="I38"/>
      <c r="J38"/>
      <c r="K38"/>
      <c r="L38"/>
      <c r="M38"/>
      <c r="N38" s="887"/>
      <c r="O38"/>
    </row>
    <row r="39" spans="1:15" x14ac:dyDescent="0.25">
      <c r="A39" s="271">
        <v>4</v>
      </c>
      <c r="B39" s="1350" t="s">
        <v>423</v>
      </c>
      <c r="C39" s="1350"/>
      <c r="D39" s="1350"/>
      <c r="E39" s="1350"/>
      <c r="F39" s="1350"/>
      <c r="G39" s="749">
        <v>2</v>
      </c>
      <c r="H39" s="418" t="s">
        <v>424</v>
      </c>
      <c r="I39"/>
      <c r="J39"/>
      <c r="K39"/>
      <c r="L39"/>
      <c r="M39"/>
      <c r="N39"/>
      <c r="O39"/>
    </row>
    <row r="40" spans="1:15" x14ac:dyDescent="0.25">
      <c r="A40" s="276"/>
      <c r="H40"/>
      <c r="I40"/>
      <c r="J40"/>
      <c r="K40"/>
      <c r="L40"/>
      <c r="M40"/>
      <c r="N40"/>
      <c r="O40"/>
    </row>
    <row r="41" spans="1:15" s="131" customFormat="1" x14ac:dyDescent="0.2">
      <c r="A41" s="1347" t="s">
        <v>425</v>
      </c>
      <c r="B41" s="1347"/>
      <c r="C41" s="1347"/>
      <c r="D41" s="1347"/>
      <c r="E41" s="1347"/>
      <c r="F41" s="1347"/>
      <c r="G41" s="1347"/>
      <c r="H41"/>
      <c r="I41"/>
      <c r="J41"/>
      <c r="K41"/>
      <c r="L41"/>
      <c r="M41"/>
      <c r="N41"/>
      <c r="O41"/>
    </row>
    <row r="42" spans="1:15" ht="14.25" customHeight="1" x14ac:dyDescent="0.25">
      <c r="A42" s="270">
        <v>1</v>
      </c>
      <c r="B42" s="1372" t="s">
        <v>426</v>
      </c>
      <c r="C42" s="1372"/>
      <c r="D42" s="1372"/>
      <c r="E42" s="1372"/>
      <c r="F42" s="1372"/>
      <c r="G42" s="150">
        <v>20</v>
      </c>
      <c r="H42" s="418" t="s">
        <v>427</v>
      </c>
      <c r="I42"/>
      <c r="J42"/>
      <c r="K42"/>
      <c r="L42"/>
      <c r="M42"/>
      <c r="N42"/>
      <c r="O42"/>
    </row>
    <row r="43" spans="1:15" ht="14.25" customHeight="1" x14ac:dyDescent="0.25">
      <c r="A43" s="1373">
        <v>2</v>
      </c>
      <c r="B43" s="1372" t="s">
        <v>428</v>
      </c>
      <c r="C43" s="1348" t="s">
        <v>429</v>
      </c>
      <c r="D43" s="1348"/>
      <c r="E43" s="1348"/>
      <c r="F43" s="1348"/>
      <c r="G43" s="749">
        <v>2</v>
      </c>
      <c r="H43" s="414" t="s">
        <v>430</v>
      </c>
      <c r="I43"/>
      <c r="J43"/>
      <c r="K43"/>
      <c r="L43"/>
      <c r="M43"/>
      <c r="N43"/>
      <c r="O43"/>
    </row>
    <row r="44" spans="1:15" x14ac:dyDescent="0.25">
      <c r="A44" s="1373"/>
      <c r="B44" s="1372"/>
      <c r="C44" s="1348" t="s">
        <v>431</v>
      </c>
      <c r="D44" s="1348"/>
      <c r="E44" s="1348"/>
      <c r="F44" s="1348"/>
      <c r="G44" s="750">
        <v>6.25</v>
      </c>
      <c r="H44" s="414" t="s">
        <v>432</v>
      </c>
      <c r="I44"/>
      <c r="J44"/>
      <c r="K44"/>
      <c r="L44"/>
      <c r="M44"/>
      <c r="N44"/>
      <c r="O44"/>
    </row>
    <row r="45" spans="1:15" x14ac:dyDescent="0.25">
      <c r="A45" s="1373"/>
      <c r="B45" s="1372"/>
      <c r="C45" s="1348" t="s">
        <v>433</v>
      </c>
      <c r="D45" s="1348"/>
      <c r="E45" s="1348"/>
      <c r="F45" s="1348"/>
      <c r="G45" s="749">
        <v>2</v>
      </c>
      <c r="H45" s="414" t="s">
        <v>430</v>
      </c>
      <c r="I45"/>
      <c r="J45"/>
      <c r="K45"/>
      <c r="L45"/>
      <c r="M45"/>
      <c r="N45"/>
      <c r="O45"/>
    </row>
    <row r="46" spans="1:15" x14ac:dyDescent="0.25">
      <c r="A46" s="1373"/>
      <c r="B46" s="1372"/>
      <c r="C46" s="1348" t="s">
        <v>434</v>
      </c>
      <c r="D46" s="1348"/>
      <c r="E46" s="1348"/>
      <c r="F46" s="1348"/>
      <c r="G46" s="751">
        <v>8.8000000000000007</v>
      </c>
      <c r="H46" s="414" t="s">
        <v>435</v>
      </c>
      <c r="I46"/>
      <c r="J46"/>
      <c r="K46"/>
      <c r="L46"/>
      <c r="M46"/>
      <c r="N46"/>
      <c r="O46"/>
    </row>
    <row r="47" spans="1:15" ht="30.75" customHeight="1" x14ac:dyDescent="0.25">
      <c r="A47" s="1373"/>
      <c r="B47" s="1372"/>
      <c r="C47" s="1372" t="s">
        <v>436</v>
      </c>
      <c r="D47" s="1372"/>
      <c r="E47" s="1372"/>
      <c r="F47" s="1372"/>
      <c r="G47" s="752">
        <v>22</v>
      </c>
      <c r="H47" s="418" t="s">
        <v>437</v>
      </c>
      <c r="I47"/>
      <c r="J47"/>
      <c r="K47"/>
      <c r="L47"/>
      <c r="M47"/>
      <c r="N47"/>
      <c r="O47"/>
    </row>
    <row r="48" spans="1:15" ht="30.75" customHeight="1" x14ac:dyDescent="0.25">
      <c r="A48" s="1373"/>
      <c r="B48" s="1372"/>
      <c r="C48" s="1372" t="s">
        <v>438</v>
      </c>
      <c r="D48" s="1372"/>
      <c r="E48" s="1372"/>
      <c r="F48" s="1372"/>
      <c r="G48" s="752">
        <v>15.5</v>
      </c>
      <c r="H48" s="418" t="s">
        <v>439</v>
      </c>
      <c r="I48"/>
      <c r="J48"/>
      <c r="K48"/>
      <c r="L48"/>
      <c r="M48"/>
      <c r="N48"/>
      <c r="O48"/>
    </row>
    <row r="49" spans="1:15" customFormat="1" ht="14.25" customHeight="1" x14ac:dyDescent="0.25">
      <c r="A49" s="1373"/>
      <c r="B49" s="1372"/>
      <c r="C49" s="1372" t="s">
        <v>440</v>
      </c>
      <c r="D49" s="1372"/>
      <c r="E49" s="1372"/>
      <c r="F49" s="1372"/>
      <c r="G49" s="277">
        <v>0.06</v>
      </c>
      <c r="H49" s="414" t="s">
        <v>441</v>
      </c>
    </row>
    <row r="50" spans="1:15" s="151" customFormat="1" x14ac:dyDescent="0.2">
      <c r="A50" s="36">
        <v>3</v>
      </c>
      <c r="B50" s="1352" t="s">
        <v>442</v>
      </c>
      <c r="C50" s="1352"/>
      <c r="D50" s="1352"/>
      <c r="E50" s="1352"/>
      <c r="F50" s="1352"/>
      <c r="G50" s="1723">
        <f>Ferramentas!J176</f>
        <v>52.500112903225777</v>
      </c>
      <c r="H50" s="1363" t="s">
        <v>443</v>
      </c>
      <c r="I50" s="1363"/>
      <c r="J50" s="1363"/>
      <c r="K50" s="1363"/>
      <c r="L50" s="1363"/>
      <c r="M50"/>
      <c r="N50"/>
      <c r="O50"/>
    </row>
    <row r="51" spans="1:15" customFormat="1" ht="18.75" customHeight="1" x14ac:dyDescent="0.25">
      <c r="A51" s="276"/>
      <c r="B51" s="152"/>
      <c r="C51" s="152"/>
      <c r="D51" s="152"/>
      <c r="E51" s="152"/>
      <c r="F51" s="152"/>
      <c r="G51" s="59"/>
    </row>
    <row r="52" spans="1:15" s="131" customFormat="1" x14ac:dyDescent="0.2">
      <c r="A52" s="1347" t="s">
        <v>444</v>
      </c>
      <c r="B52" s="1347"/>
      <c r="C52" s="1347"/>
      <c r="D52" s="1347"/>
      <c r="E52" s="1347"/>
      <c r="F52" s="1347"/>
      <c r="G52" s="1347"/>
      <c r="H52"/>
      <c r="I52"/>
      <c r="J52"/>
      <c r="K52"/>
      <c r="L52"/>
      <c r="M52"/>
      <c r="N52"/>
      <c r="O52"/>
    </row>
    <row r="53" spans="1:15" customFormat="1" x14ac:dyDescent="0.2">
      <c r="A53" s="270">
        <v>1</v>
      </c>
      <c r="B53" s="1348" t="s">
        <v>445</v>
      </c>
      <c r="C53" s="1348"/>
      <c r="D53" s="1348"/>
      <c r="E53" s="1348"/>
      <c r="F53" s="1348"/>
      <c r="G53" s="747">
        <v>0.05</v>
      </c>
      <c r="H53" s="418" t="s">
        <v>446</v>
      </c>
    </row>
    <row r="54" spans="1:15" customFormat="1" x14ac:dyDescent="0.2">
      <c r="A54" s="270">
        <v>2</v>
      </c>
      <c r="B54" s="1348" t="s">
        <v>447</v>
      </c>
      <c r="C54" s="1348"/>
      <c r="D54" s="1348"/>
      <c r="E54" s="1348"/>
      <c r="F54" s="1348"/>
      <c r="G54" s="747">
        <v>6.7900000000000002E-2</v>
      </c>
      <c r="H54" s="418" t="s">
        <v>446</v>
      </c>
    </row>
    <row r="55" spans="1:15" customFormat="1" x14ac:dyDescent="0.25">
      <c r="A55" s="276"/>
      <c r="B55" s="153"/>
      <c r="C55" s="153"/>
      <c r="D55" s="153"/>
      <c r="E55" s="153"/>
      <c r="F55" s="153"/>
      <c r="G55" s="154"/>
      <c r="H55" s="149"/>
      <c r="I55" s="59"/>
      <c r="J55" s="59"/>
      <c r="K55" s="59"/>
      <c r="L55" s="59"/>
      <c r="M55" s="59"/>
      <c r="N55" s="59"/>
      <c r="O55" s="59"/>
    </row>
    <row r="56" spans="1:15" customFormat="1" x14ac:dyDescent="0.25">
      <c r="A56" s="1347" t="s">
        <v>448</v>
      </c>
      <c r="B56" s="1347"/>
      <c r="C56" s="1347"/>
      <c r="D56" s="1347"/>
      <c r="E56" s="1347"/>
      <c r="F56" s="1347"/>
      <c r="G56" s="1347"/>
      <c r="H56" s="149"/>
      <c r="I56" s="59"/>
      <c r="J56" s="59"/>
      <c r="K56" s="59"/>
      <c r="L56" s="59"/>
      <c r="M56" s="59"/>
      <c r="N56" s="59"/>
      <c r="O56" s="59"/>
    </row>
    <row r="57" spans="1:15" customFormat="1" ht="14.25" customHeight="1" x14ac:dyDescent="0.25">
      <c r="A57" s="1362" t="s">
        <v>449</v>
      </c>
      <c r="B57" s="1362" t="str">
        <f>IF(F60="LUCRO REAL","INFORMAR ALÍQUOTAS MÉDIAS DE RECOLHIMENTO DOS ÚLTIMOS 12 (DOZE) MESES.",IF(F60="LUCRO PRESUMIDO","ALÍQUOTAS FIXAS - PIS: 0,65%; COFINS: 3,00%.",IF(F60="SIMPLES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ALÍQUOTAS FIXAS - PIS: 0,65%; COFINS: 3,00%.</v>
      </c>
      <c r="C57" s="1362"/>
      <c r="D57" s="1362"/>
      <c r="E57" s="1362"/>
      <c r="F57" s="1362"/>
      <c r="G57" s="1362"/>
      <c r="H57" s="149"/>
      <c r="I57" s="59"/>
      <c r="J57" s="59"/>
      <c r="K57" s="59"/>
      <c r="L57" s="59"/>
      <c r="M57" s="59"/>
      <c r="N57" s="59"/>
      <c r="O57" s="59"/>
    </row>
    <row r="58" spans="1:15" customFormat="1" x14ac:dyDescent="0.25">
      <c r="A58" s="1362"/>
      <c r="B58" s="1362"/>
      <c r="C58" s="1362"/>
      <c r="D58" s="1362"/>
      <c r="E58" s="1362"/>
      <c r="F58" s="1362"/>
      <c r="G58" s="1362"/>
      <c r="H58" s="149"/>
      <c r="I58" s="59"/>
      <c r="J58" s="59"/>
      <c r="K58" s="59"/>
      <c r="L58" s="59"/>
      <c r="M58" s="59"/>
      <c r="N58" s="59"/>
      <c r="O58" s="59"/>
    </row>
    <row r="59" spans="1:15" customFormat="1" x14ac:dyDescent="0.25">
      <c r="A59" s="1362"/>
      <c r="B59" s="1362"/>
      <c r="C59" s="1362"/>
      <c r="D59" s="1362"/>
      <c r="E59" s="1362"/>
      <c r="F59" s="1362"/>
      <c r="G59" s="1362"/>
      <c r="H59" s="149"/>
      <c r="I59" s="59"/>
      <c r="J59" s="59"/>
      <c r="K59" s="59"/>
      <c r="L59" s="59"/>
      <c r="M59" s="59"/>
      <c r="N59" s="59"/>
      <c r="O59" s="59"/>
    </row>
    <row r="60" spans="1:15" customFormat="1" x14ac:dyDescent="0.25">
      <c r="A60" s="269">
        <v>1</v>
      </c>
      <c r="B60" s="1350" t="s">
        <v>450</v>
      </c>
      <c r="C60" s="1350"/>
      <c r="D60" s="1350"/>
      <c r="E60" s="1350"/>
      <c r="F60" s="1351" t="s">
        <v>4486</v>
      </c>
      <c r="G60" s="1351"/>
      <c r="H60" s="414" t="s">
        <v>451</v>
      </c>
      <c r="I60" s="59"/>
      <c r="J60" s="59"/>
      <c r="K60" s="59"/>
      <c r="L60" s="59"/>
      <c r="M60" s="59"/>
      <c r="N60" s="59"/>
      <c r="O60" s="59"/>
    </row>
    <row r="61" spans="1:15" customFormat="1" x14ac:dyDescent="0.25">
      <c r="A61" s="269">
        <v>2</v>
      </c>
      <c r="B61" s="1348" t="s">
        <v>452</v>
      </c>
      <c r="C61" s="1348"/>
      <c r="D61" s="1348"/>
      <c r="E61" s="1348"/>
      <c r="F61" s="1348"/>
      <c r="G61" s="747">
        <v>0.03</v>
      </c>
      <c r="H61" s="414" t="s">
        <v>453</v>
      </c>
      <c r="I61" s="59"/>
      <c r="J61" s="59"/>
      <c r="K61" s="59"/>
      <c r="L61" s="59"/>
      <c r="M61" s="59"/>
      <c r="N61" s="59"/>
      <c r="O61" s="59"/>
    </row>
    <row r="62" spans="1:15" customFormat="1" x14ac:dyDescent="0.25">
      <c r="A62" s="269">
        <v>3</v>
      </c>
      <c r="B62" s="1348" t="s">
        <v>454</v>
      </c>
      <c r="C62" s="1348"/>
      <c r="D62" s="1348"/>
      <c r="E62" s="1348"/>
      <c r="F62" s="1348"/>
      <c r="G62" s="747">
        <v>6.4999999999999997E-3</v>
      </c>
      <c r="H62" s="414" t="s">
        <v>455</v>
      </c>
      <c r="I62" s="59"/>
      <c r="J62" s="59"/>
      <c r="K62" s="59"/>
      <c r="L62" s="59"/>
      <c r="M62" s="59"/>
      <c r="N62" s="59"/>
      <c r="O62" s="59"/>
    </row>
    <row r="63" spans="1:15" customFormat="1" x14ac:dyDescent="0.25">
      <c r="A63" s="269">
        <v>4</v>
      </c>
      <c r="B63" s="1348" t="s">
        <v>456</v>
      </c>
      <c r="C63" s="1348"/>
      <c r="D63" s="1348"/>
      <c r="E63" s="1348"/>
      <c r="F63" s="1348"/>
      <c r="G63" s="747">
        <v>2.5000000000000001E-2</v>
      </c>
      <c r="H63" s="414" t="s">
        <v>455</v>
      </c>
      <c r="I63" s="59"/>
      <c r="J63" s="59"/>
      <c r="K63" s="59"/>
      <c r="L63" s="59"/>
      <c r="M63" s="59"/>
      <c r="N63" s="59"/>
      <c r="O63" s="59"/>
    </row>
    <row r="64" spans="1:15" customFormat="1" ht="31.5" customHeight="1" x14ac:dyDescent="0.25">
      <c r="A64" s="269">
        <v>5</v>
      </c>
      <c r="B64" s="1349" t="s">
        <v>457</v>
      </c>
      <c r="C64" s="1349"/>
      <c r="D64" s="1349"/>
      <c r="E64" s="1349"/>
      <c r="F64" s="1349"/>
      <c r="G64" s="747">
        <v>0</v>
      </c>
      <c r="H64" s="414" t="s">
        <v>455</v>
      </c>
      <c r="I64" s="59"/>
      <c r="J64" s="59"/>
      <c r="K64" s="59"/>
      <c r="L64" s="59"/>
      <c r="M64" s="59"/>
      <c r="N64" s="59"/>
      <c r="O64" s="59"/>
    </row>
    <row r="65" spans="1:9" x14ac:dyDescent="0.25">
      <c r="A65" s="269">
        <v>6</v>
      </c>
      <c r="B65" s="1348" t="s">
        <v>458</v>
      </c>
      <c r="C65" s="1348"/>
      <c r="D65" s="1348"/>
      <c r="E65" s="1348"/>
      <c r="F65" s="1348"/>
      <c r="G65" s="268">
        <f>SUM(G61:G64)</f>
        <v>6.1499999999999999E-2</v>
      </c>
    </row>
    <row r="66" spans="1:9" x14ac:dyDescent="0.25">
      <c r="A66" s="276"/>
      <c r="B66" s="153"/>
      <c r="C66" s="153"/>
      <c r="D66" s="153"/>
      <c r="E66" s="153"/>
      <c r="F66" s="153"/>
      <c r="G66" s="706"/>
    </row>
    <row r="67" spans="1:9" x14ac:dyDescent="0.25">
      <c r="A67" s="1347" t="s">
        <v>459</v>
      </c>
      <c r="B67" s="1347"/>
      <c r="C67" s="1347"/>
      <c r="D67" s="1347"/>
      <c r="E67" s="1347"/>
      <c r="F67" s="1347"/>
      <c r="G67" s="1347"/>
    </row>
    <row r="68" spans="1:9" x14ac:dyDescent="0.25">
      <c r="A68" s="270">
        <v>1</v>
      </c>
      <c r="B68" s="707" t="s">
        <v>460</v>
      </c>
      <c r="C68" s="707"/>
      <c r="D68" s="707"/>
      <c r="E68" s="707"/>
      <c r="F68" s="707"/>
      <c r="G68" s="268">
        <f>G53</f>
        <v>0.05</v>
      </c>
    </row>
    <row r="69" spans="1:9" x14ac:dyDescent="0.25">
      <c r="A69" s="270">
        <v>2</v>
      </c>
      <c r="B69" s="707" t="s">
        <v>461</v>
      </c>
      <c r="C69" s="707"/>
      <c r="D69" s="707"/>
      <c r="E69" s="707"/>
      <c r="F69" s="707"/>
      <c r="G69" s="709">
        <v>8.0000000000000002E-3</v>
      </c>
      <c r="I69" s="888"/>
    </row>
    <row r="70" spans="1:9" x14ac:dyDescent="0.25">
      <c r="A70" s="270">
        <v>3</v>
      </c>
      <c r="B70" s="707" t="s">
        <v>462</v>
      </c>
      <c r="C70" s="707"/>
      <c r="D70" s="707"/>
      <c r="E70" s="707"/>
      <c r="F70" s="707"/>
      <c r="G70" s="709">
        <v>9.7000000000000003E-3</v>
      </c>
      <c r="I70" s="888"/>
    </row>
    <row r="71" spans="1:9" x14ac:dyDescent="0.25">
      <c r="A71" s="270">
        <v>4</v>
      </c>
      <c r="B71" s="707" t="s">
        <v>463</v>
      </c>
      <c r="C71" s="707"/>
      <c r="D71" s="707"/>
      <c r="E71" s="707"/>
      <c r="F71" s="707"/>
      <c r="G71" s="709">
        <v>1.23E-2</v>
      </c>
      <c r="I71" s="888"/>
    </row>
    <row r="72" spans="1:9" x14ac:dyDescent="0.25">
      <c r="A72" s="270">
        <v>5</v>
      </c>
      <c r="B72" s="707" t="s">
        <v>464</v>
      </c>
      <c r="C72" s="707"/>
      <c r="D72" s="707"/>
      <c r="E72" s="707"/>
      <c r="F72" s="707"/>
      <c r="G72" s="268">
        <f>G54</f>
        <v>6.7900000000000002E-2</v>
      </c>
    </row>
    <row r="73" spans="1:9" x14ac:dyDescent="0.25">
      <c r="A73" s="270">
        <v>6</v>
      </c>
      <c r="B73" s="707" t="s">
        <v>465</v>
      </c>
      <c r="C73" s="708"/>
      <c r="D73" s="708"/>
      <c r="E73" s="708"/>
      <c r="F73" s="708"/>
      <c r="G73" s="710">
        <f>G62</f>
        <v>6.4999999999999997E-3</v>
      </c>
    </row>
    <row r="74" spans="1:9" x14ac:dyDescent="0.25">
      <c r="A74" s="270">
        <v>7</v>
      </c>
      <c r="B74" s="707" t="s">
        <v>466</v>
      </c>
      <c r="C74" s="707"/>
      <c r="D74" s="707"/>
      <c r="E74" s="707"/>
      <c r="F74" s="707"/>
      <c r="G74" s="268">
        <f>G61</f>
        <v>0.03</v>
      </c>
    </row>
    <row r="75" spans="1:9" x14ac:dyDescent="0.25">
      <c r="A75" s="270">
        <v>8</v>
      </c>
      <c r="B75" s="707" t="s">
        <v>467</v>
      </c>
      <c r="C75" s="707"/>
      <c r="D75" s="707"/>
      <c r="E75" s="707"/>
      <c r="F75" s="707"/>
      <c r="G75" s="709">
        <v>3.5000000000000003E-2</v>
      </c>
      <c r="I75" s="888"/>
    </row>
    <row r="76" spans="1:9" ht="30.75" customHeight="1" x14ac:dyDescent="0.25">
      <c r="A76" s="270">
        <v>9</v>
      </c>
      <c r="B76" s="1344" t="s">
        <v>468</v>
      </c>
      <c r="C76" s="1345"/>
      <c r="D76" s="1345"/>
      <c r="E76" s="1345"/>
      <c r="F76" s="1346"/>
      <c r="G76" s="268">
        <v>0</v>
      </c>
    </row>
    <row r="77" spans="1:9" x14ac:dyDescent="0.25">
      <c r="A77" s="270">
        <v>10</v>
      </c>
      <c r="B77" s="708" t="s">
        <v>469</v>
      </c>
      <c r="C77" s="708"/>
      <c r="D77" s="708"/>
      <c r="E77" s="708"/>
      <c r="F77" s="708"/>
      <c r="G77" s="709">
        <v>3.4500000000000003E-2</v>
      </c>
      <c r="I77" s="888"/>
    </row>
    <row r="78" spans="1:9" x14ac:dyDescent="0.25">
      <c r="A78" s="270">
        <v>11</v>
      </c>
      <c r="B78" s="708" t="s">
        <v>470</v>
      </c>
      <c r="C78" s="708"/>
      <c r="D78" s="708"/>
      <c r="E78" s="708"/>
      <c r="F78" s="708"/>
      <c r="G78" s="709">
        <v>4.7999999999999996E-3</v>
      </c>
      <c r="I78" s="888"/>
    </row>
    <row r="79" spans="1:9" x14ac:dyDescent="0.25">
      <c r="A79" s="270">
        <v>12</v>
      </c>
      <c r="B79" s="708" t="s">
        <v>471</v>
      </c>
      <c r="C79" s="708"/>
      <c r="D79" s="708"/>
      <c r="E79" s="708"/>
      <c r="F79" s="708"/>
      <c r="G79" s="709">
        <v>5.5999999999999999E-3</v>
      </c>
      <c r="I79" s="888"/>
    </row>
    <row r="80" spans="1:9" x14ac:dyDescent="0.25">
      <c r="A80" s="270">
        <v>13</v>
      </c>
      <c r="B80" s="707" t="s">
        <v>472</v>
      </c>
      <c r="C80" s="708"/>
      <c r="D80" s="708"/>
      <c r="E80" s="708"/>
      <c r="F80" s="708"/>
      <c r="G80" s="709">
        <v>8.5000000000000006E-3</v>
      </c>
      <c r="I80" s="888"/>
    </row>
    <row r="81" spans="1:9" x14ac:dyDescent="0.25">
      <c r="A81" s="270">
        <v>14</v>
      </c>
      <c r="B81" s="707" t="s">
        <v>473</v>
      </c>
      <c r="C81" s="708"/>
      <c r="D81" s="708"/>
      <c r="E81" s="708"/>
      <c r="F81" s="708"/>
      <c r="G81" s="709">
        <v>5.11E-2</v>
      </c>
      <c r="I81" s="888"/>
    </row>
    <row r="82" spans="1:9" x14ac:dyDescent="0.25">
      <c r="A82" s="270">
        <v>15</v>
      </c>
      <c r="B82" s="707" t="s">
        <v>465</v>
      </c>
      <c r="C82" s="708"/>
      <c r="D82" s="708"/>
      <c r="E82" s="708"/>
      <c r="F82" s="708"/>
      <c r="G82" s="268">
        <f>G62</f>
        <v>6.4999999999999997E-3</v>
      </c>
    </row>
    <row r="83" spans="1:9" x14ac:dyDescent="0.25">
      <c r="A83" s="270">
        <v>16</v>
      </c>
      <c r="B83" s="707" t="s">
        <v>466</v>
      </c>
      <c r="C83" s="708"/>
      <c r="D83" s="708"/>
      <c r="E83" s="708"/>
      <c r="F83" s="708"/>
      <c r="G83" s="268">
        <f>G61</f>
        <v>0.03</v>
      </c>
    </row>
    <row r="84" spans="1:9" ht="30" customHeight="1" x14ac:dyDescent="0.25">
      <c r="A84" s="270">
        <v>17</v>
      </c>
      <c r="B84" s="1344" t="s">
        <v>468</v>
      </c>
      <c r="C84" s="1345"/>
      <c r="D84" s="1345"/>
      <c r="E84" s="1345"/>
      <c r="F84" s="1346"/>
      <c r="G84" s="268">
        <v>0</v>
      </c>
    </row>
    <row r="85" spans="1:9" x14ac:dyDescent="0.25">
      <c r="A85" s="276"/>
      <c r="G85" s="706"/>
    </row>
    <row r="86" spans="1:9" x14ac:dyDescent="0.25">
      <c r="A86" s="276"/>
      <c r="B86" s="713"/>
      <c r="C86" s="714"/>
      <c r="D86" s="714"/>
      <c r="E86" s="714"/>
      <c r="F86" s="717" t="s">
        <v>474</v>
      </c>
      <c r="G86" s="715">
        <f>'BDI Comum - 1.4'!H25</f>
        <v>0.24310000000000001</v>
      </c>
    </row>
    <row r="87" spans="1:9" x14ac:dyDescent="0.25">
      <c r="A87" s="276"/>
      <c r="B87" s="716"/>
      <c r="C87" s="707"/>
      <c r="D87" s="707"/>
      <c r="E87" s="707"/>
      <c r="F87" s="718" t="s">
        <v>475</v>
      </c>
      <c r="G87" s="268">
        <f>'BDI Diferenciado 1.2 E 1.3'!H25</f>
        <v>0.14960000000000001</v>
      </c>
    </row>
    <row r="88" spans="1:9" x14ac:dyDescent="0.25">
      <c r="A88" s="276"/>
      <c r="B88" s="716"/>
      <c r="C88" s="707"/>
      <c r="D88" s="707"/>
      <c r="E88" s="707"/>
      <c r="F88" s="718" t="s">
        <v>476</v>
      </c>
      <c r="G88" s="268">
        <f>'BDI Equipamentos 1.3'!H25</f>
        <v>8.2799999999999999E-2</v>
      </c>
    </row>
    <row r="89" spans="1:9" x14ac:dyDescent="0.25">
      <c r="A89" s="276"/>
      <c r="C89" s="153"/>
      <c r="D89" s="153"/>
      <c r="E89" s="153"/>
      <c r="F89" s="819"/>
      <c r="G89" s="706"/>
    </row>
    <row r="90" spans="1:9" ht="36.75" customHeight="1" x14ac:dyDescent="0.25">
      <c r="A90" s="1380" t="s">
        <v>477</v>
      </c>
      <c r="B90" s="1380"/>
      <c r="C90" s="1380"/>
      <c r="D90" s="1380"/>
      <c r="E90" s="1380"/>
      <c r="F90" s="1380"/>
      <c r="G90" s="1380"/>
    </row>
    <row r="91" spans="1:9" ht="15" customHeight="1" x14ac:dyDescent="0.25">
      <c r="B91" s="716"/>
      <c r="C91" s="707"/>
      <c r="D91" s="707"/>
      <c r="E91" s="707"/>
      <c r="F91" s="718" t="s">
        <v>478</v>
      </c>
      <c r="G91" s="709">
        <v>0</v>
      </c>
    </row>
    <row r="92" spans="1:9" ht="15" customHeight="1" x14ac:dyDescent="0.25">
      <c r="C92" s="153"/>
      <c r="D92" s="153"/>
      <c r="E92" s="153"/>
      <c r="F92" s="819"/>
      <c r="G92" s="706"/>
    </row>
    <row r="93" spans="1:9" ht="30" x14ac:dyDescent="0.25">
      <c r="A93" s="415" t="s">
        <v>479</v>
      </c>
      <c r="B93" s="1385" t="s">
        <v>480</v>
      </c>
      <c r="C93" s="1385"/>
      <c r="D93" s="1385"/>
      <c r="E93" s="1385"/>
      <c r="F93" s="416" t="s">
        <v>481</v>
      </c>
      <c r="G93" s="416" t="s">
        <v>482</v>
      </c>
      <c r="H93" s="414"/>
    </row>
    <row r="94" spans="1:9" ht="15" customHeight="1" x14ac:dyDescent="0.25">
      <c r="A94" s="417">
        <v>1</v>
      </c>
      <c r="B94" s="1381" t="s">
        <v>483</v>
      </c>
      <c r="C94" s="1382"/>
      <c r="D94" s="1382"/>
      <c r="E94" s="1382"/>
      <c r="F94" s="1383"/>
      <c r="G94" s="277">
        <v>0.5</v>
      </c>
      <c r="H94" s="418" t="s">
        <v>484</v>
      </c>
    </row>
    <row r="95" spans="1:9" ht="15" customHeight="1" x14ac:dyDescent="0.25">
      <c r="A95" s="417">
        <v>2</v>
      </c>
      <c r="B95" s="1381" t="s">
        <v>485</v>
      </c>
      <c r="C95" s="1382"/>
      <c r="D95" s="1382"/>
      <c r="E95" s="1382"/>
      <c r="F95" s="1383"/>
      <c r="G95" s="277">
        <v>1</v>
      </c>
      <c r="H95" s="418" t="s">
        <v>484</v>
      </c>
    </row>
    <row r="96" spans="1:9" ht="45" x14ac:dyDescent="0.25">
      <c r="A96" s="1384" t="s">
        <v>486</v>
      </c>
      <c r="B96" s="1384"/>
      <c r="C96" s="416" t="s">
        <v>487</v>
      </c>
      <c r="D96" s="416" t="s">
        <v>488</v>
      </c>
      <c r="E96" s="416" t="s">
        <v>489</v>
      </c>
      <c r="F96" s="416" t="s">
        <v>490</v>
      </c>
      <c r="G96" s="416" t="s">
        <v>491</v>
      </c>
      <c r="H96" s="418"/>
    </row>
    <row r="97" spans="1:8" ht="15" customHeight="1" x14ac:dyDescent="0.25">
      <c r="A97" s="417">
        <v>1</v>
      </c>
      <c r="B97" s="419" t="str">
        <f>B11</f>
        <v>Engenheiro de Manutenção (Pleno)</v>
      </c>
      <c r="C97" s="420">
        <v>2</v>
      </c>
      <c r="D97" s="420">
        <v>2</v>
      </c>
      <c r="E97" s="420">
        <v>2</v>
      </c>
      <c r="F97" s="420">
        <v>1</v>
      </c>
      <c r="G97" s="420">
        <v>1</v>
      </c>
      <c r="H97" s="418" t="s">
        <v>492</v>
      </c>
    </row>
    <row r="98" spans="1:8" ht="15" customHeight="1" x14ac:dyDescent="0.25">
      <c r="A98" s="417">
        <v>2</v>
      </c>
      <c r="B98" s="419" t="str">
        <f t="shared" ref="B98:B112" si="2">B12</f>
        <v>Líder Técnico</v>
      </c>
      <c r="C98" s="420">
        <v>2</v>
      </c>
      <c r="D98" s="420">
        <v>2</v>
      </c>
      <c r="E98" s="420">
        <v>2</v>
      </c>
      <c r="F98" s="420">
        <v>1</v>
      </c>
      <c r="G98" s="420">
        <v>1</v>
      </c>
      <c r="H98" s="418" t="s">
        <v>492</v>
      </c>
    </row>
    <row r="99" spans="1:8" ht="15" customHeight="1" x14ac:dyDescent="0.25">
      <c r="A99" s="417">
        <v>3</v>
      </c>
      <c r="B99" s="419" t="str">
        <f t="shared" si="2"/>
        <v>Assistente de Engenharia</v>
      </c>
      <c r="C99" s="420">
        <v>2</v>
      </c>
      <c r="D99" s="420">
        <v>2</v>
      </c>
      <c r="E99" s="420">
        <v>2</v>
      </c>
      <c r="F99" s="420">
        <v>1</v>
      </c>
      <c r="G99" s="420">
        <v>1</v>
      </c>
      <c r="H99" s="418" t="s">
        <v>492</v>
      </c>
    </row>
    <row r="100" spans="1:8" ht="15" customHeight="1" x14ac:dyDescent="0.25">
      <c r="A100" s="417">
        <v>4</v>
      </c>
      <c r="B100" s="419" t="str">
        <f t="shared" si="2"/>
        <v>Técnico em Edificações</v>
      </c>
      <c r="C100" s="420">
        <v>2</v>
      </c>
      <c r="D100" s="420">
        <v>2</v>
      </c>
      <c r="E100" s="420">
        <v>2</v>
      </c>
      <c r="F100" s="420">
        <v>1</v>
      </c>
      <c r="G100" s="420">
        <v>1</v>
      </c>
      <c r="H100" s="418" t="s">
        <v>492</v>
      </c>
    </row>
    <row r="101" spans="1:8" ht="30" customHeight="1" x14ac:dyDescent="0.25">
      <c r="A101" s="417">
        <v>5</v>
      </c>
      <c r="B101" s="419" t="str">
        <f t="shared" si="2"/>
        <v>Técnico Eletrotécnico (12x36 diurno) - (EPI Eletricista)</v>
      </c>
      <c r="C101" s="420">
        <v>2</v>
      </c>
      <c r="D101" s="420">
        <v>2</v>
      </c>
      <c r="E101" s="420">
        <v>2</v>
      </c>
      <c r="F101" s="420">
        <v>1</v>
      </c>
      <c r="G101" s="420">
        <v>1</v>
      </c>
      <c r="H101" s="418" t="s">
        <v>492</v>
      </c>
    </row>
    <row r="102" spans="1:8" ht="30" customHeight="1" x14ac:dyDescent="0.25">
      <c r="A102" s="417">
        <v>6</v>
      </c>
      <c r="B102" s="419" t="str">
        <f t="shared" si="2"/>
        <v>Técnico Eletrotécnico (12x36 noturno) - (EPI Eletricista)</v>
      </c>
      <c r="C102" s="420">
        <v>2</v>
      </c>
      <c r="D102" s="420">
        <v>2</v>
      </c>
      <c r="E102" s="420">
        <v>2</v>
      </c>
      <c r="F102" s="420">
        <v>1</v>
      </c>
      <c r="G102" s="420">
        <v>1</v>
      </c>
      <c r="H102" s="418" t="s">
        <v>492</v>
      </c>
    </row>
    <row r="103" spans="1:8" ht="15" customHeight="1" x14ac:dyDescent="0.25">
      <c r="A103" s="417">
        <v>7</v>
      </c>
      <c r="B103" s="419" t="str">
        <f t="shared" si="2"/>
        <v>Oficial Eletricista - (EPI Eletricista)</v>
      </c>
      <c r="C103" s="420">
        <v>2</v>
      </c>
      <c r="D103" s="420">
        <v>2</v>
      </c>
      <c r="E103" s="420">
        <v>2</v>
      </c>
      <c r="F103" s="420">
        <v>1</v>
      </c>
      <c r="G103" s="420">
        <v>1</v>
      </c>
      <c r="H103" s="418" t="s">
        <v>492</v>
      </c>
    </row>
    <row r="104" spans="1:8" ht="15" customHeight="1" x14ac:dyDescent="0.25">
      <c r="A104" s="417">
        <v>8</v>
      </c>
      <c r="B104" s="419" t="str">
        <f t="shared" si="2"/>
        <v>Ajudante de Eletricista - (EPI Eletricista)</v>
      </c>
      <c r="C104" s="420">
        <v>2</v>
      </c>
      <c r="D104" s="420">
        <v>2</v>
      </c>
      <c r="E104" s="420">
        <v>2</v>
      </c>
      <c r="F104" s="420">
        <v>1</v>
      </c>
      <c r="G104" s="420">
        <v>1</v>
      </c>
      <c r="H104" s="418" t="s">
        <v>492</v>
      </c>
    </row>
    <row r="105" spans="1:8" ht="15" customHeight="1" x14ac:dyDescent="0.25">
      <c r="A105" s="417">
        <v>9</v>
      </c>
      <c r="B105" s="419" t="str">
        <f t="shared" si="2"/>
        <v>Oficial de Manutenção - (EPI Eletricista)</v>
      </c>
      <c r="C105" s="420">
        <v>2</v>
      </c>
      <c r="D105" s="420">
        <v>2</v>
      </c>
      <c r="E105" s="420">
        <v>2</v>
      </c>
      <c r="F105" s="420">
        <v>1</v>
      </c>
      <c r="G105" s="420">
        <v>1</v>
      </c>
      <c r="H105" s="418" t="s">
        <v>492</v>
      </c>
    </row>
    <row r="106" spans="1:8" ht="15" customHeight="1" x14ac:dyDescent="0.25">
      <c r="A106" s="417">
        <v>10</v>
      </c>
      <c r="B106" s="419" t="str">
        <f t="shared" si="2"/>
        <v>Ajudante de Manutenção (meio oficial)</v>
      </c>
      <c r="C106" s="420">
        <v>2</v>
      </c>
      <c r="D106" s="420">
        <v>2</v>
      </c>
      <c r="E106" s="420">
        <v>2</v>
      </c>
      <c r="F106" s="420">
        <v>1</v>
      </c>
      <c r="G106" s="420">
        <v>1</v>
      </c>
      <c r="H106" s="418" t="s">
        <v>492</v>
      </c>
    </row>
    <row r="107" spans="1:8" ht="15" customHeight="1" x14ac:dyDescent="0.25">
      <c r="A107" s="417">
        <v>11</v>
      </c>
      <c r="B107" s="419" t="str">
        <f t="shared" si="2"/>
        <v>Oficial em Telecom / Eletrônica</v>
      </c>
      <c r="C107" s="420">
        <v>2</v>
      </c>
      <c r="D107" s="420">
        <v>2</v>
      </c>
      <c r="E107" s="420">
        <v>2</v>
      </c>
      <c r="F107" s="420">
        <v>1</v>
      </c>
      <c r="G107" s="420">
        <v>1</v>
      </c>
      <c r="H107" s="418" t="s">
        <v>492</v>
      </c>
    </row>
    <row r="108" spans="1:8" ht="15" customHeight="1" x14ac:dyDescent="0.25">
      <c r="A108" s="417">
        <v>12</v>
      </c>
      <c r="B108" s="419" t="str">
        <f t="shared" si="2"/>
        <v>Oficial Encanador / Bombeiro</v>
      </c>
      <c r="C108" s="420">
        <v>2</v>
      </c>
      <c r="D108" s="420">
        <v>2</v>
      </c>
      <c r="E108" s="420">
        <v>2</v>
      </c>
      <c r="F108" s="420">
        <v>1</v>
      </c>
      <c r="G108" s="420">
        <v>1</v>
      </c>
      <c r="H108" s="418" t="s">
        <v>492</v>
      </c>
    </row>
    <row r="109" spans="1:8" ht="15" customHeight="1" x14ac:dyDescent="0.25">
      <c r="A109" s="417">
        <v>13</v>
      </c>
      <c r="B109" s="419" t="str">
        <f t="shared" si="2"/>
        <v>Oficial Marceneiro</v>
      </c>
      <c r="C109" s="420">
        <v>2</v>
      </c>
      <c r="D109" s="420">
        <v>2</v>
      </c>
      <c r="E109" s="420">
        <v>2</v>
      </c>
      <c r="F109" s="420">
        <v>1</v>
      </c>
      <c r="G109" s="420">
        <v>1</v>
      </c>
      <c r="H109" s="418" t="s">
        <v>492</v>
      </c>
    </row>
    <row r="110" spans="1:8" ht="15" customHeight="1" x14ac:dyDescent="0.25">
      <c r="A110" s="417">
        <v>14</v>
      </c>
      <c r="B110" s="419" t="str">
        <f t="shared" si="2"/>
        <v>Pedreiro</v>
      </c>
      <c r="C110" s="420">
        <v>2</v>
      </c>
      <c r="D110" s="420">
        <v>2</v>
      </c>
      <c r="E110" s="420">
        <v>2</v>
      </c>
      <c r="F110" s="420">
        <v>1</v>
      </c>
      <c r="G110" s="420">
        <v>1</v>
      </c>
      <c r="H110" s="418" t="s">
        <v>492</v>
      </c>
    </row>
    <row r="111" spans="1:8" ht="15" customHeight="1" x14ac:dyDescent="0.25">
      <c r="A111" s="417">
        <v>15</v>
      </c>
      <c r="B111" s="419" t="str">
        <f t="shared" si="2"/>
        <v>Serralheiro</v>
      </c>
      <c r="C111" s="420">
        <v>2</v>
      </c>
      <c r="D111" s="420">
        <v>2</v>
      </c>
      <c r="E111" s="420">
        <v>2</v>
      </c>
      <c r="F111" s="420">
        <v>1</v>
      </c>
      <c r="G111" s="420">
        <v>1</v>
      </c>
      <c r="H111" s="418" t="s">
        <v>492</v>
      </c>
    </row>
    <row r="112" spans="1:8" ht="15" customHeight="1" x14ac:dyDescent="0.25">
      <c r="A112" s="417">
        <v>16</v>
      </c>
      <c r="B112" s="419" t="str">
        <f t="shared" si="2"/>
        <v>Pintor / Gesseiro</v>
      </c>
      <c r="C112" s="420">
        <v>2</v>
      </c>
      <c r="D112" s="420">
        <v>2</v>
      </c>
      <c r="E112" s="420">
        <v>2</v>
      </c>
      <c r="F112" s="420">
        <v>1</v>
      </c>
      <c r="G112" s="420">
        <v>1</v>
      </c>
      <c r="H112" s="418" t="s">
        <v>492</v>
      </c>
    </row>
  </sheetData>
  <sheetProtection algorithmName="SHA-512" hashValue="M2IrrH9ZEl//Q1jX1jpVEUC7oQzcG7gV74Zhry0qxgkpSqILeD66UalnRcPPBdf//FAnb0if9VZhqyVfLCdb1A==" saltValue="gjZPOuqHt5Rji+CPUTy1fQ==" spinCount="100000" sheet="1" objects="1" scenarios="1" formatColumns="0" formatRows="0"/>
  <protectedRanges>
    <protectedRange sqref="G38:G39 G42:G46 G49 G53:G54 F60 G61:G63 G69:G71 G75 G77:G81 G91 G94:G95" name="Intervalo2"/>
  </protectedRanges>
  <mergeCells count="56">
    <mergeCell ref="H30:L30"/>
    <mergeCell ref="A90:G90"/>
    <mergeCell ref="B95:F95"/>
    <mergeCell ref="A96:B96"/>
    <mergeCell ref="B93:E93"/>
    <mergeCell ref="B94:F94"/>
    <mergeCell ref="C44:F44"/>
    <mergeCell ref="C45:F45"/>
    <mergeCell ref="C46:F46"/>
    <mergeCell ref="C47:F47"/>
    <mergeCell ref="H29:L29"/>
    <mergeCell ref="B36:F36"/>
    <mergeCell ref="A41:G41"/>
    <mergeCell ref="B42:F42"/>
    <mergeCell ref="A33:G33"/>
    <mergeCell ref="B34:F34"/>
    <mergeCell ref="B37:F37"/>
    <mergeCell ref="B38:F38"/>
    <mergeCell ref="B39:F39"/>
    <mergeCell ref="H31:L31"/>
    <mergeCell ref="B43:B49"/>
    <mergeCell ref="C43:F43"/>
    <mergeCell ref="A28:G28"/>
    <mergeCell ref="B29:D29"/>
    <mergeCell ref="E29:G29"/>
    <mergeCell ref="B30:D30"/>
    <mergeCell ref="E30:G30"/>
    <mergeCell ref="H50:L50"/>
    <mergeCell ref="B31:D31"/>
    <mergeCell ref="E31:G31"/>
    <mergeCell ref="A6:O6"/>
    <mergeCell ref="A7:O7"/>
    <mergeCell ref="A8:D8"/>
    <mergeCell ref="E8:O8"/>
    <mergeCell ref="C49:F49"/>
    <mergeCell ref="C48:F48"/>
    <mergeCell ref="A43:A49"/>
    <mergeCell ref="B50:F50"/>
    <mergeCell ref="B76:F76"/>
    <mergeCell ref="R11:S26"/>
    <mergeCell ref="A11:A26"/>
    <mergeCell ref="A57:A59"/>
    <mergeCell ref="B57:G59"/>
    <mergeCell ref="A52:G52"/>
    <mergeCell ref="B53:F53"/>
    <mergeCell ref="B54:F54"/>
    <mergeCell ref="A56:G56"/>
    <mergeCell ref="B84:F84"/>
    <mergeCell ref="A67:G67"/>
    <mergeCell ref="B63:F63"/>
    <mergeCell ref="B64:F64"/>
    <mergeCell ref="B65:F65"/>
    <mergeCell ref="B60:E60"/>
    <mergeCell ref="F60:G60"/>
    <mergeCell ref="B61:F61"/>
    <mergeCell ref="B62:F62"/>
  </mergeCells>
  <dataValidations count="1">
    <dataValidation type="list" operator="equal" allowBlank="1" showInputMessage="1" showErrorMessage="1" sqref="F60" xr:uid="{C263EA9A-BCCE-409F-A2C9-00427AA1F09A}">
      <formula1>"LUCRO REAL,LUCRO PRESUMIDO,SIMPLES NACIONAL,OUTRO"</formula1>
      <formula2>0</formula2>
    </dataValidation>
  </dataValidations>
  <printOptions horizontalCentered="1"/>
  <pageMargins left="0.196527777777778" right="0.196527777777778" top="0.84375" bottom="0.84375" header="0.39374999999999999" footer="0.39374999999999999"/>
  <pageSetup paperSize="9" scale="59" fitToHeight="0" orientation="landscape" r:id="rId1"/>
  <headerFooter>
    <oddHeader>&amp;C&amp;12&amp;A</oddHeader>
    <oddFooter>&amp;C&amp;12Página &amp;P</oddFooter>
  </headerFooter>
  <rowBreaks count="2" manualBreakCount="2">
    <brk id="27" max="18" man="1"/>
    <brk id="65" max="1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65EE-51B4-4283-A143-C3C18495180C}">
  <sheetPr>
    <tabColor rgb="FFFFFFA6"/>
    <pageSetUpPr fitToPage="1"/>
  </sheetPr>
  <dimension ref="A1:H60"/>
  <sheetViews>
    <sheetView topLeftCell="A9" zoomScaleNormal="100" zoomScaleSheetLayoutView="100" workbookViewId="0">
      <selection activeCell="C21" sqref="C21"/>
    </sheetView>
  </sheetViews>
  <sheetFormatPr defaultRowHeight="12.75" customHeight="1" x14ac:dyDescent="0.2"/>
  <cols>
    <col min="1" max="1" width="29.5" style="60" customWidth="1"/>
    <col min="2" max="2" width="85.83203125" style="60" customWidth="1"/>
    <col min="3" max="3" width="18" style="60" customWidth="1"/>
    <col min="4" max="4" width="9.33203125" style="60" customWidth="1"/>
    <col min="5" max="5" width="48.5" style="60" customWidth="1"/>
    <col min="6" max="8" width="12.5" style="60" customWidth="1"/>
    <col min="9" max="16384" width="9.33203125" style="60"/>
  </cols>
  <sheetData>
    <row r="1" spans="1:6" ht="16.5" customHeight="1" x14ac:dyDescent="0.2">
      <c r="A1" s="156"/>
      <c r="B1" s="157" t="s">
        <v>0</v>
      </c>
      <c r="C1" s="158"/>
    </row>
    <row r="2" spans="1:6" ht="16.5" customHeight="1" x14ac:dyDescent="0.2">
      <c r="A2" s="159"/>
      <c r="B2" s="7" t="s">
        <v>1</v>
      </c>
      <c r="C2" s="160"/>
    </row>
    <row r="3" spans="1:6" ht="16.5" customHeight="1" x14ac:dyDescent="0.2">
      <c r="A3" s="159"/>
      <c r="B3" s="7" t="s">
        <v>2</v>
      </c>
      <c r="C3" s="160"/>
    </row>
    <row r="4" spans="1:6" ht="16.5" customHeight="1" x14ac:dyDescent="0.2">
      <c r="A4" s="159"/>
      <c r="B4" s="130" t="s">
        <v>493</v>
      </c>
      <c r="C4" s="160"/>
    </row>
    <row r="5" spans="1:6" ht="30" customHeight="1" x14ac:dyDescent="0.2">
      <c r="A5" s="1396" t="str">
        <f>'Resumo_1.1'!$A$5</f>
        <v>ANEXO II-1.1 – PLANILHA DE CUSTOS E FORMAÇÃO DE PREÇOS DO LICITANTE – EQUIPE RESIDENTE</v>
      </c>
      <c r="B5" s="1396"/>
      <c r="C5" s="1396"/>
    </row>
    <row r="6" spans="1:6" ht="30" customHeight="1" x14ac:dyDescent="0.2">
      <c r="A6" s="1397" t="s">
        <v>494</v>
      </c>
      <c r="B6" s="1397"/>
      <c r="C6" s="1397"/>
    </row>
    <row r="7" spans="1:6" ht="16.5" customHeight="1" x14ac:dyDescent="0.2">
      <c r="A7" s="1398" t="s">
        <v>495</v>
      </c>
      <c r="B7" s="1398"/>
      <c r="C7" s="1398"/>
    </row>
    <row r="8" spans="1:6" ht="16.5" customHeight="1" x14ac:dyDescent="0.2">
      <c r="A8" s="161" t="s">
        <v>496</v>
      </c>
      <c r="B8" s="162" t="s">
        <v>325</v>
      </c>
      <c r="C8" s="163" t="s">
        <v>497</v>
      </c>
    </row>
    <row r="9" spans="1:6" ht="16.5" customHeight="1" x14ac:dyDescent="0.2">
      <c r="A9" s="164" t="s">
        <v>498</v>
      </c>
      <c r="B9" s="1392" t="s">
        <v>499</v>
      </c>
      <c r="C9" s="1392"/>
    </row>
    <row r="10" spans="1:6" ht="16.5" customHeight="1" x14ac:dyDescent="0.2">
      <c r="A10" s="165">
        <v>1</v>
      </c>
      <c r="B10" s="166" t="s">
        <v>500</v>
      </c>
      <c r="C10" s="175">
        <v>0.2</v>
      </c>
      <c r="E10" s="962" t="s">
        <v>501</v>
      </c>
      <c r="F10" s="963"/>
    </row>
    <row r="11" spans="1:6" ht="16.5" customHeight="1" x14ac:dyDescent="0.2">
      <c r="A11" s="165">
        <v>2</v>
      </c>
      <c r="B11" s="166" t="s">
        <v>502</v>
      </c>
      <c r="C11" s="175">
        <v>1.4999999999999999E-2</v>
      </c>
    </row>
    <row r="12" spans="1:6" ht="16.5" customHeight="1" x14ac:dyDescent="0.2">
      <c r="A12" s="165">
        <v>3</v>
      </c>
      <c r="B12" s="166" t="s">
        <v>503</v>
      </c>
      <c r="C12" s="175">
        <v>0.01</v>
      </c>
    </row>
    <row r="13" spans="1:6" ht="16.5" customHeight="1" x14ac:dyDescent="0.2">
      <c r="A13" s="165">
        <v>4</v>
      </c>
      <c r="B13" s="166" t="s">
        <v>504</v>
      </c>
      <c r="C13" s="175">
        <v>2E-3</v>
      </c>
    </row>
    <row r="14" spans="1:6" ht="16.5" customHeight="1" x14ac:dyDescent="0.2">
      <c r="A14" s="165">
        <v>5</v>
      </c>
      <c r="B14" s="166" t="s">
        <v>505</v>
      </c>
      <c r="C14" s="175">
        <v>2.5000000000000001E-2</v>
      </c>
    </row>
    <row r="15" spans="1:6" ht="16.5" customHeight="1" x14ac:dyDescent="0.2">
      <c r="A15" s="165">
        <v>6</v>
      </c>
      <c r="B15" s="166" t="s">
        <v>506</v>
      </c>
      <c r="C15" s="175">
        <v>0.08</v>
      </c>
    </row>
    <row r="16" spans="1:6" ht="16.5" customHeight="1" x14ac:dyDescent="0.2">
      <c r="A16" s="165">
        <v>7</v>
      </c>
      <c r="B16" s="166" t="s">
        <v>507</v>
      </c>
      <c r="C16" s="969">
        <f>Dados!G38*Dados!G39</f>
        <v>0.06</v>
      </c>
    </row>
    <row r="17" spans="1:3" ht="16.5" customHeight="1" x14ac:dyDescent="0.2">
      <c r="A17" s="165">
        <v>8</v>
      </c>
      <c r="B17" s="166" t="s">
        <v>508</v>
      </c>
      <c r="C17" s="175">
        <v>6.0000000000000001E-3</v>
      </c>
    </row>
    <row r="18" spans="1:3" ht="16.5" customHeight="1" x14ac:dyDescent="0.2">
      <c r="A18" s="1399" t="s">
        <v>509</v>
      </c>
      <c r="B18" s="1399"/>
      <c r="C18" s="167">
        <f>SUM(C10:C17)</f>
        <v>0.39800000000000008</v>
      </c>
    </row>
    <row r="19" spans="1:3" ht="16.5" customHeight="1" x14ac:dyDescent="0.2">
      <c r="A19" s="1391" t="s">
        <v>510</v>
      </c>
      <c r="B19" s="1391"/>
      <c r="C19" s="1391"/>
    </row>
    <row r="20" spans="1:3" ht="16.5" customHeight="1" x14ac:dyDescent="0.2">
      <c r="A20" s="164" t="s">
        <v>511</v>
      </c>
      <c r="B20" s="168" t="s">
        <v>512</v>
      </c>
      <c r="C20" s="169"/>
    </row>
    <row r="21" spans="1:3" ht="16.5" customHeight="1" x14ac:dyDescent="0.2">
      <c r="A21" s="170">
        <v>9</v>
      </c>
      <c r="B21" s="166" t="s">
        <v>513</v>
      </c>
      <c r="C21" s="171">
        <f>ROUND((100%/11),4)</f>
        <v>9.0899999999999995E-2</v>
      </c>
    </row>
    <row r="22" spans="1:3" ht="16.5" customHeight="1" x14ac:dyDescent="0.2">
      <c r="A22" s="170">
        <v>10</v>
      </c>
      <c r="B22" s="166" t="s">
        <v>514</v>
      </c>
      <c r="C22" s="171">
        <f>ROUND((C21/3),4)</f>
        <v>3.0300000000000001E-2</v>
      </c>
    </row>
    <row r="23" spans="1:3" ht="16.5" customHeight="1" x14ac:dyDescent="0.2">
      <c r="A23" s="1395" t="s">
        <v>515</v>
      </c>
      <c r="B23" s="1395"/>
      <c r="C23" s="172">
        <f>SUM(C21:C22)</f>
        <v>0.1212</v>
      </c>
    </row>
    <row r="24" spans="1:3" ht="16.5" customHeight="1" x14ac:dyDescent="0.2">
      <c r="A24" s="1394" t="s">
        <v>516</v>
      </c>
      <c r="B24" s="1394"/>
      <c r="C24" s="171">
        <f>(C18*C23)</f>
        <v>4.8237600000000012E-2</v>
      </c>
    </row>
    <row r="25" spans="1:3" ht="16.5" customHeight="1" x14ac:dyDescent="0.2">
      <c r="A25" s="1395" t="s">
        <v>517</v>
      </c>
      <c r="B25" s="1395"/>
      <c r="C25" s="173">
        <f>SUM(C23:C24)</f>
        <v>0.16943760000000002</v>
      </c>
    </row>
    <row r="26" spans="1:3" ht="16.5" customHeight="1" x14ac:dyDescent="0.2">
      <c r="A26" s="164" t="s">
        <v>518</v>
      </c>
      <c r="B26" s="1392" t="s">
        <v>519</v>
      </c>
      <c r="C26" s="1392"/>
    </row>
    <row r="27" spans="1:3" ht="16.5" customHeight="1" x14ac:dyDescent="0.2">
      <c r="A27" s="170">
        <v>11</v>
      </c>
      <c r="B27" s="174" t="s">
        <v>520</v>
      </c>
      <c r="C27" s="175">
        <v>2.9999999999999997E-4</v>
      </c>
    </row>
    <row r="28" spans="1:3" ht="16.5" customHeight="1" x14ac:dyDescent="0.2">
      <c r="A28" s="1394" t="s">
        <v>521</v>
      </c>
      <c r="B28" s="1394"/>
      <c r="C28" s="176">
        <f>C18*C27</f>
        <v>1.1940000000000002E-4</v>
      </c>
    </row>
    <row r="29" spans="1:3" ht="16.5" customHeight="1" x14ac:dyDescent="0.2">
      <c r="A29" s="1395" t="s">
        <v>522</v>
      </c>
      <c r="B29" s="1395"/>
      <c r="C29" s="177">
        <f>SUM(C27:C28)</f>
        <v>4.194E-4</v>
      </c>
    </row>
    <row r="30" spans="1:3" ht="16.5" customHeight="1" x14ac:dyDescent="0.2">
      <c r="A30" s="164" t="s">
        <v>523</v>
      </c>
      <c r="B30" s="1392" t="s">
        <v>524</v>
      </c>
      <c r="C30" s="1392"/>
    </row>
    <row r="31" spans="1:3" ht="16.5" customHeight="1" x14ac:dyDescent="0.2">
      <c r="A31" s="170">
        <v>12</v>
      </c>
      <c r="B31" s="174" t="s">
        <v>525</v>
      </c>
      <c r="C31" s="175">
        <v>4.1999999999999997E-3</v>
      </c>
    </row>
    <row r="32" spans="1:3" ht="16.5" customHeight="1" x14ac:dyDescent="0.2">
      <c r="A32" s="1386" t="s">
        <v>526</v>
      </c>
      <c r="B32" s="1386"/>
      <c r="C32" s="171">
        <f>C15*C31</f>
        <v>3.3599999999999998E-4</v>
      </c>
    </row>
    <row r="33" spans="1:8" ht="16.5" customHeight="1" x14ac:dyDescent="0.2">
      <c r="A33" s="170">
        <v>13</v>
      </c>
      <c r="B33" s="166" t="s">
        <v>527</v>
      </c>
      <c r="C33" s="178">
        <f>ROUND((0.08*0.4*0.9*(1+1/11+1/11+(1/3*1/11))),5)</f>
        <v>3.4909999999999997E-2</v>
      </c>
    </row>
    <row r="34" spans="1:8" ht="16.5" customHeight="1" x14ac:dyDescent="0.2">
      <c r="A34" s="170">
        <v>14</v>
      </c>
      <c r="B34" s="174" t="s">
        <v>528</v>
      </c>
      <c r="C34" s="753">
        <v>4.0000000000000002E-4</v>
      </c>
      <c r="E34" s="179"/>
    </row>
    <row r="35" spans="1:8" ht="16.5" customHeight="1" x14ac:dyDescent="0.2">
      <c r="A35" s="1386" t="s">
        <v>529</v>
      </c>
      <c r="B35" s="1386"/>
      <c r="C35" s="171">
        <f>ROUND((C34*C18),4)</f>
        <v>2.0000000000000001E-4</v>
      </c>
    </row>
    <row r="36" spans="1:8" ht="16.5" customHeight="1" x14ac:dyDescent="0.2">
      <c r="A36" s="170">
        <v>15</v>
      </c>
      <c r="B36" s="174" t="s">
        <v>530</v>
      </c>
      <c r="C36" s="171">
        <f>(0.4*C15/100)</f>
        <v>3.2000000000000003E-4</v>
      </c>
    </row>
    <row r="37" spans="1:8" ht="16.5" customHeight="1" x14ac:dyDescent="0.2">
      <c r="A37" s="1390" t="s">
        <v>531</v>
      </c>
      <c r="B37" s="1390"/>
      <c r="C37" s="172">
        <f>SUM(C31:C36)</f>
        <v>4.0365999999999992E-2</v>
      </c>
    </row>
    <row r="38" spans="1:8" ht="16.5" customHeight="1" x14ac:dyDescent="0.2">
      <c r="A38" s="164" t="s">
        <v>532</v>
      </c>
      <c r="B38" s="1392" t="s">
        <v>533</v>
      </c>
      <c r="C38" s="1392"/>
    </row>
    <row r="39" spans="1:8" ht="16.5" customHeight="1" x14ac:dyDescent="0.2">
      <c r="A39" s="170">
        <v>16</v>
      </c>
      <c r="B39" s="174" t="s">
        <v>534</v>
      </c>
      <c r="C39" s="171">
        <f>ROUND((100%/11),4)</f>
        <v>9.0899999999999995E-2</v>
      </c>
    </row>
    <row r="40" spans="1:8" ht="16.5" customHeight="1" x14ac:dyDescent="0.2">
      <c r="A40" s="170">
        <v>17</v>
      </c>
      <c r="B40" s="174" t="s">
        <v>535</v>
      </c>
      <c r="C40" s="754">
        <v>1.66E-2</v>
      </c>
    </row>
    <row r="41" spans="1:8" ht="16.5" customHeight="1" x14ac:dyDescent="0.2">
      <c r="A41" s="170">
        <v>18</v>
      </c>
      <c r="B41" s="174" t="s">
        <v>536</v>
      </c>
      <c r="C41" s="754">
        <v>2.9999999999999997E-4</v>
      </c>
    </row>
    <row r="42" spans="1:8" ht="16.5" customHeight="1" x14ac:dyDescent="0.2">
      <c r="A42" s="170">
        <v>19</v>
      </c>
      <c r="B42" s="174" t="s">
        <v>537</v>
      </c>
      <c r="C42" s="754">
        <v>2.8E-3</v>
      </c>
      <c r="D42" s="180"/>
    </row>
    <row r="43" spans="1:8" ht="16.5" customHeight="1" x14ac:dyDescent="0.2">
      <c r="A43" s="170">
        <v>20</v>
      </c>
      <c r="B43" s="174" t="s">
        <v>538</v>
      </c>
      <c r="C43" s="754">
        <v>2.9999999999999997E-4</v>
      </c>
    </row>
    <row r="44" spans="1:8" ht="16.5" customHeight="1" x14ac:dyDescent="0.2">
      <c r="A44" s="1390" t="s">
        <v>515</v>
      </c>
      <c r="B44" s="1390"/>
      <c r="C44" s="173">
        <f>SUM(C39:C43)</f>
        <v>0.11089999999999998</v>
      </c>
    </row>
    <row r="45" spans="1:8" ht="16.5" customHeight="1" x14ac:dyDescent="0.2">
      <c r="A45" s="1386" t="s">
        <v>539</v>
      </c>
      <c r="B45" s="1386"/>
      <c r="C45" s="171">
        <f>C18*C44</f>
        <v>4.4138200000000002E-2</v>
      </c>
      <c r="E45" s="1393" t="s">
        <v>540</v>
      </c>
      <c r="F45" s="1393"/>
      <c r="G45" s="1393"/>
      <c r="H45" s="1393"/>
    </row>
    <row r="46" spans="1:8" ht="16.5" customHeight="1" x14ac:dyDescent="0.2">
      <c r="A46" s="1390" t="s">
        <v>541</v>
      </c>
      <c r="B46" s="1390"/>
      <c r="C46" s="173">
        <f>SUM(C44:C45)</f>
        <v>0.15503819999999999</v>
      </c>
      <c r="E46" s="1393"/>
      <c r="F46" s="1393"/>
      <c r="G46" s="1393"/>
      <c r="H46" s="1393"/>
    </row>
    <row r="47" spans="1:8" ht="16.5" customHeight="1" x14ac:dyDescent="0.2">
      <c r="A47" s="182" t="s">
        <v>542</v>
      </c>
      <c r="B47" s="183" t="s">
        <v>543</v>
      </c>
      <c r="C47" s="173"/>
      <c r="E47" s="1389" t="s">
        <v>544</v>
      </c>
      <c r="F47" s="1389" t="s">
        <v>545</v>
      </c>
      <c r="G47" s="1389"/>
      <c r="H47" s="1389"/>
    </row>
    <row r="48" spans="1:8" ht="16.5" customHeight="1" x14ac:dyDescent="0.2">
      <c r="A48" s="170">
        <v>21</v>
      </c>
      <c r="B48" s="174" t="s">
        <v>546</v>
      </c>
      <c r="C48" s="754">
        <v>8.0000000000000004E-4</v>
      </c>
      <c r="E48" s="1389"/>
      <c r="F48" s="1389" t="s">
        <v>547</v>
      </c>
      <c r="G48" s="1389"/>
      <c r="H48" s="1389"/>
    </row>
    <row r="49" spans="1:8" ht="16.5" customHeight="1" x14ac:dyDescent="0.2">
      <c r="A49" s="1390" t="s">
        <v>548</v>
      </c>
      <c r="B49" s="1390"/>
      <c r="C49" s="173">
        <f>SUM(C48)</f>
        <v>8.0000000000000004E-4</v>
      </c>
      <c r="E49" s="184" t="s">
        <v>549</v>
      </c>
      <c r="F49" s="181" t="s">
        <v>550</v>
      </c>
      <c r="G49" s="181" t="s">
        <v>551</v>
      </c>
      <c r="H49" s="185" t="s">
        <v>552</v>
      </c>
    </row>
    <row r="50" spans="1:8" ht="16.5" customHeight="1" x14ac:dyDescent="0.2">
      <c r="A50" s="1391" t="s">
        <v>553</v>
      </c>
      <c r="B50" s="1391"/>
      <c r="C50" s="1391"/>
      <c r="E50" s="184" t="s">
        <v>554</v>
      </c>
      <c r="F50" s="186">
        <v>0.34300000000000003</v>
      </c>
      <c r="G50" s="186">
        <v>0.39800000000000002</v>
      </c>
      <c r="H50" s="187">
        <f>C18</f>
        <v>0.39800000000000008</v>
      </c>
    </row>
    <row r="51" spans="1:8" ht="16.5" customHeight="1" x14ac:dyDescent="0.2">
      <c r="A51" s="1386" t="s">
        <v>499</v>
      </c>
      <c r="B51" s="1386"/>
      <c r="C51" s="188">
        <f>ROUND(C18,4)</f>
        <v>0.39800000000000002</v>
      </c>
      <c r="E51" s="184" t="s">
        <v>555</v>
      </c>
      <c r="F51" s="186">
        <v>5.0000000000000001E-3</v>
      </c>
      <c r="G51" s="186">
        <v>0.06</v>
      </c>
      <c r="H51" s="187">
        <f>C17</f>
        <v>6.0000000000000001E-3</v>
      </c>
    </row>
    <row r="52" spans="1:8" ht="16.5" customHeight="1" x14ac:dyDescent="0.2">
      <c r="A52" s="1386" t="s">
        <v>556</v>
      </c>
      <c r="B52" s="1386"/>
      <c r="C52" s="188">
        <f>ROUND(C25,4)</f>
        <v>0.1694</v>
      </c>
      <c r="E52" s="189" t="s">
        <v>557</v>
      </c>
      <c r="F52" s="190">
        <f>C21</f>
        <v>9.0899999999999995E-2</v>
      </c>
      <c r="G52" s="190">
        <f t="shared" ref="G52:H54" si="0">F52</f>
        <v>9.0899999999999995E-2</v>
      </c>
      <c r="H52" s="190">
        <f t="shared" si="0"/>
        <v>9.0899999999999995E-2</v>
      </c>
    </row>
    <row r="53" spans="1:8" ht="16.5" customHeight="1" x14ac:dyDescent="0.2">
      <c r="A53" s="1386" t="s">
        <v>519</v>
      </c>
      <c r="B53" s="1386"/>
      <c r="C53" s="188">
        <f>ROUND(C29,4)</f>
        <v>4.0000000000000002E-4</v>
      </c>
      <c r="E53" s="189" t="s">
        <v>558</v>
      </c>
      <c r="F53" s="190">
        <f>C39</f>
        <v>9.0899999999999995E-2</v>
      </c>
      <c r="G53" s="190">
        <f t="shared" si="0"/>
        <v>9.0899999999999995E-2</v>
      </c>
      <c r="H53" s="190">
        <f t="shared" si="0"/>
        <v>9.0899999999999995E-2</v>
      </c>
    </row>
    <row r="54" spans="1:8" ht="16.5" customHeight="1" x14ac:dyDescent="0.2">
      <c r="A54" s="1386" t="s">
        <v>559</v>
      </c>
      <c r="B54" s="1386"/>
      <c r="C54" s="188">
        <f>ROUND(C37,4)</f>
        <v>4.0399999999999998E-2</v>
      </c>
      <c r="E54" s="189" t="s">
        <v>560</v>
      </c>
      <c r="F54" s="190">
        <f>C22</f>
        <v>3.0300000000000001E-2</v>
      </c>
      <c r="G54" s="190">
        <f t="shared" si="0"/>
        <v>3.0300000000000001E-2</v>
      </c>
      <c r="H54" s="190">
        <f t="shared" si="0"/>
        <v>3.0300000000000001E-2</v>
      </c>
    </row>
    <row r="55" spans="1:8" ht="16.5" customHeight="1" x14ac:dyDescent="0.2">
      <c r="A55" s="1386" t="s">
        <v>561</v>
      </c>
      <c r="B55" s="1386"/>
      <c r="C55" s="188">
        <f>ROUND(C46,4)</f>
        <v>0.155</v>
      </c>
      <c r="E55" s="191" t="s">
        <v>515</v>
      </c>
      <c r="F55" s="192">
        <f>SUM(F52:F54)</f>
        <v>0.21209999999999998</v>
      </c>
      <c r="G55" s="192">
        <f>SUM(G52:G54)</f>
        <v>0.21209999999999998</v>
      </c>
      <c r="H55" s="192">
        <f>SUM(H52:H54)</f>
        <v>0.21209999999999998</v>
      </c>
    </row>
    <row r="56" spans="1:8" ht="16.5" customHeight="1" x14ac:dyDescent="0.2">
      <c r="A56" s="1386" t="s">
        <v>546</v>
      </c>
      <c r="B56" s="1386"/>
      <c r="C56" s="188">
        <f>ROUND(C49,4)</f>
        <v>8.0000000000000004E-4</v>
      </c>
      <c r="E56" s="189" t="s">
        <v>562</v>
      </c>
      <c r="F56" s="190">
        <f>F50*F55</f>
        <v>7.2750300000000004E-2</v>
      </c>
      <c r="G56" s="190">
        <f>G50*G55</f>
        <v>8.4415799999999999E-2</v>
      </c>
      <c r="H56" s="190">
        <f>H50*H55</f>
        <v>8.4415800000000013E-2</v>
      </c>
    </row>
    <row r="57" spans="1:8" ht="33" customHeight="1" x14ac:dyDescent="0.2">
      <c r="A57" s="1387" t="s">
        <v>563</v>
      </c>
      <c r="B57" s="1387"/>
      <c r="C57" s="193">
        <f>SUM(C51:C56)</f>
        <v>0.76400000000000001</v>
      </c>
      <c r="E57" s="189" t="s">
        <v>564</v>
      </c>
      <c r="F57" s="190">
        <f>C33</f>
        <v>3.4909999999999997E-2</v>
      </c>
      <c r="G57" s="190">
        <f>F57</f>
        <v>3.4909999999999997E-2</v>
      </c>
      <c r="H57" s="190">
        <f>G57</f>
        <v>3.4909999999999997E-2</v>
      </c>
    </row>
    <row r="58" spans="1:8" x14ac:dyDescent="0.2">
      <c r="A58" s="194" t="s">
        <v>565</v>
      </c>
      <c r="B58" s="195"/>
      <c r="C58" s="196"/>
      <c r="E58" s="197" t="s">
        <v>566</v>
      </c>
      <c r="F58" s="198">
        <f>SUM(F55:F57)</f>
        <v>0.3197603</v>
      </c>
      <c r="G58" s="198">
        <f>SUM(G55:G57)</f>
        <v>0.33142579999999999</v>
      </c>
      <c r="H58" s="199">
        <f>SUM(H55:H57)</f>
        <v>0.33142579999999999</v>
      </c>
    </row>
    <row r="59" spans="1:8" ht="25.5" customHeight="1" x14ac:dyDescent="0.2">
      <c r="A59" s="1388" t="s">
        <v>567</v>
      </c>
      <c r="B59" s="1388"/>
      <c r="C59" s="1388"/>
      <c r="E59" s="189" t="s">
        <v>568</v>
      </c>
      <c r="F59" s="190" t="s">
        <v>88</v>
      </c>
      <c r="G59" s="190" t="s">
        <v>88</v>
      </c>
      <c r="H59" s="190" t="s">
        <v>88</v>
      </c>
    </row>
    <row r="60" spans="1:8" x14ac:dyDescent="0.2">
      <c r="A60" s="1388"/>
      <c r="B60" s="1388"/>
      <c r="C60" s="1388"/>
      <c r="E60" s="191" t="s">
        <v>569</v>
      </c>
      <c r="F60" s="192">
        <f>F58</f>
        <v>0.3197603</v>
      </c>
      <c r="G60" s="192">
        <f>G58</f>
        <v>0.33142579999999999</v>
      </c>
      <c r="H60" s="200">
        <f>H58</f>
        <v>0.33142579999999999</v>
      </c>
    </row>
  </sheetData>
  <sheetProtection sheet="1" objects="1" scenarios="1"/>
  <protectedRanges>
    <protectedRange sqref="C27 C31 C40:C43 C48" name="Intervalo1"/>
  </protectedRanges>
  <mergeCells count="34">
    <mergeCell ref="A19:C19"/>
    <mergeCell ref="A23:B23"/>
    <mergeCell ref="A24:B24"/>
    <mergeCell ref="A25:B25"/>
    <mergeCell ref="B26:C26"/>
    <mergeCell ref="A5:C5"/>
    <mergeCell ref="A6:C6"/>
    <mergeCell ref="A7:C7"/>
    <mergeCell ref="B9:C9"/>
    <mergeCell ref="A18:B18"/>
    <mergeCell ref="A46:B46"/>
    <mergeCell ref="A28:B28"/>
    <mergeCell ref="A29:B29"/>
    <mergeCell ref="B30:C30"/>
    <mergeCell ref="A32:B32"/>
    <mergeCell ref="A35:B35"/>
    <mergeCell ref="E47:E48"/>
    <mergeCell ref="F47:H47"/>
    <mergeCell ref="F48:H48"/>
    <mergeCell ref="A49:B49"/>
    <mergeCell ref="A50:C50"/>
    <mergeCell ref="A37:B37"/>
    <mergeCell ref="B38:C38"/>
    <mergeCell ref="A44:B44"/>
    <mergeCell ref="A45:B45"/>
    <mergeCell ref="E45:H46"/>
    <mergeCell ref="A56:B56"/>
    <mergeCell ref="A57:B57"/>
    <mergeCell ref="A59:C60"/>
    <mergeCell ref="A51:B51"/>
    <mergeCell ref="A52:B52"/>
    <mergeCell ref="A53:B53"/>
    <mergeCell ref="A54:B54"/>
    <mergeCell ref="A55:B55"/>
  </mergeCells>
  <printOptions horizontalCentered="1"/>
  <pageMargins left="0.196527777777778" right="0.196527777777778" top="0.56041666666666701" bottom="0.56041666666666701" header="0.39374999999999999" footer="0.39374999999999999"/>
  <pageSetup paperSize="9" scale="73" orientation="portrait" r:id="rId1"/>
  <headerFooter>
    <oddHeader>&amp;C&amp;12&amp;A</oddHeader>
    <oddFooter>&amp;C&amp;12&amp;P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F5829E6E4D0743A00CC2B33D59A832" ma:contentTypeVersion="5" ma:contentTypeDescription="Create a new document." ma:contentTypeScope="" ma:versionID="4c2ceffde767dd51400722249690d5d4">
  <xsd:schema xmlns:xsd="http://www.w3.org/2001/XMLSchema" xmlns:xs="http://www.w3.org/2001/XMLSchema" xmlns:p="http://schemas.microsoft.com/office/2006/metadata/properties" xmlns:ns3="9ea144d7-005c-49e4-8dd2-6f3b677a2bea" targetNamespace="http://schemas.microsoft.com/office/2006/metadata/properties" ma:root="true" ma:fieldsID="787c6b6d5830b53e4a1451f47f4e340e" ns3:_="">
    <xsd:import namespace="9ea144d7-005c-49e4-8dd2-6f3b677a2bea"/>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a144d7-005c-49e4-8dd2-6f3b677a2b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ea144d7-005c-49e4-8dd2-6f3b677a2bea" xsi:nil="true"/>
  </documentManagement>
</p:properties>
</file>

<file path=customXml/itemProps1.xml><?xml version="1.0" encoding="utf-8"?>
<ds:datastoreItem xmlns:ds="http://schemas.openxmlformats.org/officeDocument/2006/customXml" ds:itemID="{628C999D-1AB5-49E4-AB9E-56F5FF550BC7}">
  <ds:schemaRefs>
    <ds:schemaRef ds:uri="http://schemas.microsoft.com/sharepoint/v3/contenttype/forms"/>
  </ds:schemaRefs>
</ds:datastoreItem>
</file>

<file path=customXml/itemProps2.xml><?xml version="1.0" encoding="utf-8"?>
<ds:datastoreItem xmlns:ds="http://schemas.openxmlformats.org/officeDocument/2006/customXml" ds:itemID="{7D2939B2-7140-4585-997D-1A22F413C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a144d7-005c-49e4-8dd2-6f3b677a2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126A91-247D-4E2C-B73B-6334ED6E31A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39</vt:i4>
      </vt:variant>
      <vt:variant>
        <vt:lpstr>Intervalos Nomeados</vt:lpstr>
      </vt:variant>
      <vt:variant>
        <vt:i4>40</vt:i4>
      </vt:variant>
    </vt:vector>
  </HeadingPairs>
  <TitlesOfParts>
    <vt:vector size="79" baseType="lpstr">
      <vt:lpstr>Ocorrências Mensais - FAT</vt:lpstr>
      <vt:lpstr>INSTRUÇÕES</vt:lpstr>
      <vt:lpstr>Proposta LICITANTE</vt:lpstr>
      <vt:lpstr>Tabelas de Taxonomia</vt:lpstr>
      <vt:lpstr>Salário base considerado</vt:lpstr>
      <vt:lpstr>Resumo_1.1</vt:lpstr>
      <vt:lpstr>CCT</vt:lpstr>
      <vt:lpstr>Dados</vt:lpstr>
      <vt:lpstr>Encargos</vt:lpstr>
      <vt:lpstr>Uniforme</vt:lpstr>
      <vt:lpstr>Ferramentas</vt:lpstr>
      <vt:lpstr>EPI</vt:lpstr>
      <vt:lpstr>Resumo_1.2</vt:lpstr>
      <vt:lpstr>CPUs 1.2</vt:lpstr>
      <vt:lpstr>1.3-Insumos</vt:lpstr>
      <vt:lpstr>1.3-Insumos (exemplos)</vt:lpstr>
      <vt:lpstr>BDI Diferenciado 1.2 E 1.3</vt:lpstr>
      <vt:lpstr>BDI Equipamentos 1.3</vt:lpstr>
      <vt:lpstr>1.4-Serviços Eventuais</vt:lpstr>
      <vt:lpstr>1.4-Serviços Eventuais exemplos</vt:lpstr>
      <vt:lpstr>BDI Comum - 1.4</vt:lpstr>
      <vt:lpstr>Engenheiro</vt:lpstr>
      <vt:lpstr>Lider</vt:lpstr>
      <vt:lpstr>Assistente Eng.</vt:lpstr>
      <vt:lpstr>Técnico Edif.</vt:lpstr>
      <vt:lpstr>Técnico Elet. Diurno</vt:lpstr>
      <vt:lpstr>Técnico Elet. Noturno</vt:lpstr>
      <vt:lpstr>Ofic. Eletricista</vt:lpstr>
      <vt:lpstr>Ajud. Eletricista</vt:lpstr>
      <vt:lpstr>Ofic. Manutenção</vt:lpstr>
      <vt:lpstr>Ajud Manutenção</vt:lpstr>
      <vt:lpstr>Ofic. Eletrônico</vt:lpstr>
      <vt:lpstr>Ofic. Encanador</vt:lpstr>
      <vt:lpstr>Ofic Marceneiro</vt:lpstr>
      <vt:lpstr>Ofic. Pedreiro</vt:lpstr>
      <vt:lpstr>Ofic. Serralheiro</vt:lpstr>
      <vt:lpstr>Ofic. Pintor</vt:lpstr>
      <vt:lpstr>Custo Estimativo Substituto</vt:lpstr>
      <vt:lpstr>IPCA</vt:lpstr>
      <vt:lpstr>'1.3-Insumos'!Area_de_impressao</vt:lpstr>
      <vt:lpstr>'1.3-Insumos (exemplos)'!Area_de_impressao</vt:lpstr>
      <vt:lpstr>'1.4-Serviços Eventuais'!Area_de_impressao</vt:lpstr>
      <vt:lpstr>'1.4-Serviços Eventuais exemplos'!Area_de_impressao</vt:lpstr>
      <vt:lpstr>'Ajud. Eletricista'!Area_de_impressao</vt:lpstr>
      <vt:lpstr>'Assistente Eng.'!Area_de_impressao</vt:lpstr>
      <vt:lpstr>'BDI Comum - 1.4'!Area_de_impressao</vt:lpstr>
      <vt:lpstr>'BDI Diferenciado 1.2 E 1.3'!Area_de_impressao</vt:lpstr>
      <vt:lpstr>'BDI Equipamentos 1.3'!Area_de_impressao</vt:lpstr>
      <vt:lpstr>CCT!Area_de_impressao</vt:lpstr>
      <vt:lpstr>'CPUs 1.2'!Area_de_impressao</vt:lpstr>
      <vt:lpstr>'Custo Estimativo Substituto'!Area_de_impressao</vt:lpstr>
      <vt:lpstr>Dados!Area_de_impressao</vt:lpstr>
      <vt:lpstr>Encargos!Area_de_impressao</vt:lpstr>
      <vt:lpstr>Engenheiro!Area_de_impressao</vt:lpstr>
      <vt:lpstr>EPI!Area_de_impressao</vt:lpstr>
      <vt:lpstr>Ferramentas!Area_de_impressao</vt:lpstr>
      <vt:lpstr>INSTRUÇÕES!Area_de_impressao</vt:lpstr>
      <vt:lpstr>Lider!Area_de_impressao</vt:lpstr>
      <vt:lpstr>'Ofic Marceneiro'!Area_de_impressao</vt:lpstr>
      <vt:lpstr>'Ofic. Eletricista'!Area_de_impressao</vt:lpstr>
      <vt:lpstr>'Ofic. Eletrônico'!Area_de_impressao</vt:lpstr>
      <vt:lpstr>'Ofic. Encanador'!Area_de_impressao</vt:lpstr>
      <vt:lpstr>'Ofic. Manutenção'!Area_de_impressao</vt:lpstr>
      <vt:lpstr>'Ofic. Pintor'!Area_de_impressao</vt:lpstr>
      <vt:lpstr>'Ofic. Serralheiro'!Area_de_impressao</vt:lpstr>
      <vt:lpstr>'Proposta LICITANTE'!Area_de_impressao</vt:lpstr>
      <vt:lpstr>Resumo_1.1!Area_de_impressao</vt:lpstr>
      <vt:lpstr>Resumo_1.2!Area_de_impressao</vt:lpstr>
      <vt:lpstr>'Salário base considerado'!Area_de_impressao</vt:lpstr>
      <vt:lpstr>'Tabelas de Taxonomia'!Area_de_impressao</vt:lpstr>
      <vt:lpstr>'Técnico Edif.'!Area_de_impressao</vt:lpstr>
      <vt:lpstr>'Técnico Elet. Diurno'!Area_de_impressao</vt:lpstr>
      <vt:lpstr>'Técnico Elet. Noturno'!Area_de_impressao</vt:lpstr>
      <vt:lpstr>Uniforme!Area_de_impressao</vt:lpstr>
      <vt:lpstr>'1.3-Insumos'!Titulos_de_impressao</vt:lpstr>
      <vt:lpstr>'1.3-Insumos (exemplos)'!Titulos_de_impressao</vt:lpstr>
      <vt:lpstr>'1.4-Serviços Eventuais'!Titulos_de_impressao</vt:lpstr>
      <vt:lpstr>'1.4-Serviços Eventuais exemplos'!Titulos_de_impressao</vt:lpstr>
      <vt:lpstr>Ferramentas!Titulos_de_impressao</vt:lpstr>
    </vt:vector>
  </TitlesOfParts>
  <Manager/>
  <Company>JFMG_x005f_x0000__x005f_x0000__x005f_x0000_</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MG6403</dc:creator>
  <cp:keywords/>
  <dc:description/>
  <cp:lastModifiedBy>Rafael Augusto Prado Alves</cp:lastModifiedBy>
  <cp:revision>144</cp:revision>
  <cp:lastPrinted>2026-03-13T19:40:05Z</cp:lastPrinted>
  <dcterms:created xsi:type="dcterms:W3CDTF">2001-07-31T19:00:38Z</dcterms:created>
  <dcterms:modified xsi:type="dcterms:W3CDTF">2026-03-20T20:30:56Z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0x01010075F5829E6E4D0743A00CC2B33D59A832</vt:lpwstr>
  </property>
</Properties>
</file>